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<sst xmlns="http://schemas.openxmlformats.org/spreadsheetml/2006/main" count="962" uniqueCount="570">
  <si>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</si>
  <si>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</si>
  <si>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</si>
  <si>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</si>
  <si>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</si>
  <si>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</si>
  <si>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</si>
  <si>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</si>
  <si>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</si>
  <si>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</si>
  <si>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</si>
  <si>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</si>
  <si>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</si>
  <si>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</si>
  <si>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</si>
  <si>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</si>
  <si>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</si>
  <si>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</si>
  <si>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</si>
  <si>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</si>
  <si>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</si>
  <si>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</si>
  <si>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</si>
  <si>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</si>
  <si>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</si>
  <si>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</si>
  <si>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</si>
  <si>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</si>
  <si>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</si>
  <si>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</si>
  <si>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</si>
  <si>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</si>
  <si>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</si>
  <si>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</si>
  <si>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</si>
  <si>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</si>
  <si>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</si>
  <si>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</si>
  <si>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</si>
  <si>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</si>
  <si>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</si>
  <si>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</si>
  <si>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</si>
  <si>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</si>
  <si>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</si>
  <si>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</si>
  <si>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</si>
  <si>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</si>
  <si>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</si>
  <si>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</si>
  <si>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</si>
  <si>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</si>
  <si>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</si>
  <si>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</si>
  <si>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</si>
  <si>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</si>
  <si>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</si>
  <si>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</si>
  <si>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</si>
  <si>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</si>
  <si>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</si>
  <si>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</si>
  <si>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</si>
  <si>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</si>
  <si>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</si>
  <si>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</si>
  <si>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</si>
  <si>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</si>
  <si>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</si>
  <si>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</si>
  <si>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</si>
  <si>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</si>
  <si>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</si>
  <si>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</si>
  <si>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</si>
  <si>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</si>
  <si>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</si>
  <si>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</si>
  <si>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</si>
  <si>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</si>
  <si>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</si>
  <si>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</si>
  <si>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</si>
  <si>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</si>
  <si>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</si>
  <si>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</si>
  <si>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</si>
  <si>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</si>
  <si>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</si>
  <si>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</si>
  <si>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</si>
  <si>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</si>
  <si>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Please direct questions or comments on this cost calculator to: Jean Schwab, U.S. EPA, schwab.jean@epa.gov, 703-308-8669</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</si>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</sst>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4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b/>
      <sz val="12"/>
      <name val="Arial"/>
      <family val="0"/>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6">
    <xf numFmtId="0" fontId="0" fillId="0" borderId="0" xfId="0" applyAlignment="1">
      <alignment/>
    </xf>
    <xf numFmtId="0" fontId="5" fillId="0" borderId="0" xfId="0" applyFont="1" applyAlignment="1">
      <alignment/>
    </xf>
    <xf numFmtId="164" fontId="0" fillId="2" borderId="1"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 borderId="1" xfId="0" applyFill="1" applyBorder="1" applyAlignment="1" applyProtection="1">
      <alignment horizontal="left" wrapText="1"/>
      <protection/>
    </xf>
    <xf numFmtId="0" fontId="0" fillId="3" borderId="1" xfId="0" applyFill="1" applyBorder="1" applyAlignment="1" applyProtection="1">
      <alignment horizontal="center"/>
      <protection/>
    </xf>
    <xf numFmtId="0" fontId="8" fillId="4" borderId="0" xfId="0" applyFont="1" applyFill="1" applyAlignment="1" applyProtection="1">
      <alignment horizontal="left"/>
      <protection/>
    </xf>
    <xf numFmtId="0" fontId="9" fillId="4" borderId="0" xfId="0" applyFont="1" applyFill="1" applyAlignment="1" applyProtection="1">
      <alignment/>
      <protection/>
    </xf>
    <xf numFmtId="0" fontId="0" fillId="2" borderId="0" xfId="0" applyFill="1" applyBorder="1" applyAlignment="1">
      <alignment horizontal="left" indent="1"/>
    </xf>
    <xf numFmtId="0" fontId="0" fillId="2" borderId="0" xfId="0" applyFill="1" applyBorder="1" applyAlignment="1">
      <alignment horizontal="left" wrapText="1" indent="1"/>
    </xf>
    <xf numFmtId="0" fontId="6" fillId="0" borderId="0" xfId="0" applyFont="1" applyAlignment="1" applyProtection="1">
      <alignment/>
      <protection/>
    </xf>
    <xf numFmtId="0" fontId="8" fillId="4" borderId="2" xfId="0" applyFont="1" applyFill="1" applyBorder="1" applyAlignment="1" applyProtection="1">
      <alignment horizontal="left"/>
      <protection/>
    </xf>
    <xf numFmtId="0" fontId="0" fillId="5" borderId="3" xfId="0" applyFill="1" applyBorder="1" applyAlignment="1" applyProtection="1">
      <alignment horizontal="right"/>
      <protection locked="0"/>
    </xf>
    <xf numFmtId="1" fontId="0" fillId="5" borderId="3" xfId="0" applyNumberFormat="1" applyFont="1" applyFill="1" applyBorder="1" applyAlignment="1" applyProtection="1">
      <alignment horizontal="right"/>
      <protection locked="0"/>
    </xf>
    <xf numFmtId="1" fontId="0" fillId="5" borderId="4" xfId="0" applyNumberFormat="1" applyFont="1" applyFill="1" applyBorder="1" applyAlignment="1" applyProtection="1">
      <alignment horizontal="right"/>
      <protection locked="0"/>
    </xf>
    <xf numFmtId="164" fontId="0" fillId="5" borderId="3" xfId="0" applyNumberFormat="1" applyFill="1" applyBorder="1" applyAlignment="1" applyProtection="1">
      <alignment horizontal="right"/>
      <protection locked="0"/>
    </xf>
    <xf numFmtId="0" fontId="0" fillId="0" borderId="0" xfId="0" applyAlignment="1" applyProtection="1">
      <alignment/>
      <protection/>
    </xf>
    <xf numFmtId="9" fontId="0" fillId="5" borderId="3" xfId="0" applyNumberFormat="1" applyFill="1" applyBorder="1" applyAlignment="1" applyProtection="1">
      <alignment horizontal="right"/>
      <protection locked="0"/>
    </xf>
    <xf numFmtId="9" fontId="0" fillId="5" borderId="3"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right" wrapText="1"/>
      <protection/>
    </xf>
    <xf numFmtId="3" fontId="0" fillId="5" borderId="3"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2" borderId="1" xfId="0" applyNumberFormat="1" applyFill="1" applyBorder="1" applyAlignment="1" applyProtection="1">
      <alignment horizontal="right"/>
      <protection locked="0"/>
    </xf>
    <xf numFmtId="49" fontId="0" fillId="3" borderId="1" xfId="0" applyNumberFormat="1" applyFill="1" applyBorder="1" applyAlignment="1" applyProtection="1">
      <alignment horizontal="left"/>
      <protection/>
    </xf>
    <xf numFmtId="49" fontId="0" fillId="3" borderId="1" xfId="0" applyNumberFormat="1" applyFill="1" applyBorder="1" applyAlignment="1" applyProtection="1">
      <alignment horizontal="center"/>
      <protection/>
    </xf>
    <xf numFmtId="164" fontId="0" fillId="3" borderId="4" xfId="0" applyNumberFormat="1" applyFont="1" applyFill="1" applyBorder="1" applyAlignment="1" applyProtection="1">
      <alignment horizontal="right"/>
      <protection locked="0"/>
    </xf>
    <xf numFmtId="3" fontId="0" fillId="5" borderId="4" xfId="0" applyNumberFormat="1"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0" fillId="6" borderId="0" xfId="0" applyFill="1" applyAlignment="1">
      <alignment/>
    </xf>
    <xf numFmtId="0" fontId="1" fillId="6" borderId="0" xfId="0" applyFont="1" applyFill="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0" xfId="0" applyFill="1" applyBorder="1" applyAlignment="1">
      <alignment/>
    </xf>
    <xf numFmtId="0" fontId="0" fillId="2" borderId="8" xfId="0" applyFill="1" applyBorder="1" applyAlignment="1">
      <alignment/>
    </xf>
    <xf numFmtId="0" fontId="1" fillId="2" borderId="7" xfId="0" applyFont="1" applyFill="1" applyBorder="1" applyAlignment="1">
      <alignment/>
    </xf>
    <xf numFmtId="0" fontId="16" fillId="2" borderId="0" xfId="0" applyFont="1" applyFill="1" applyBorder="1" applyAlignment="1">
      <alignment/>
    </xf>
    <xf numFmtId="0" fontId="17" fillId="2" borderId="0" xfId="0" applyFont="1" applyFill="1" applyBorder="1" applyAlignment="1">
      <alignment/>
    </xf>
    <xf numFmtId="0" fontId="0" fillId="2" borderId="7" xfId="0" applyFill="1" applyBorder="1" applyAlignment="1">
      <alignment wrapText="1"/>
    </xf>
    <xf numFmtId="0" fontId="18" fillId="2" borderId="0" xfId="0" applyFont="1" applyFill="1" applyBorder="1" applyAlignment="1">
      <alignment horizontal="left" wrapText="1"/>
    </xf>
    <xf numFmtId="0" fontId="0" fillId="2" borderId="8" xfId="0" applyFill="1" applyBorder="1" applyAlignment="1">
      <alignment wrapText="1"/>
    </xf>
    <xf numFmtId="0" fontId="0" fillId="6" borderId="0" xfId="0" applyFill="1" applyAlignment="1">
      <alignment wrapText="1"/>
    </xf>
    <xf numFmtId="0" fontId="19" fillId="2" borderId="0" xfId="0" applyFont="1" applyFill="1" applyBorder="1" applyAlignment="1">
      <alignment/>
    </xf>
    <xf numFmtId="2" fontId="0" fillId="2" borderId="0" xfId="0" applyNumberFormat="1" applyFill="1" applyBorder="1" applyAlignment="1">
      <alignment wrapText="1"/>
    </xf>
    <xf numFmtId="0" fontId="0" fillId="2" borderId="0" xfId="0" applyFill="1" applyBorder="1" applyAlignment="1">
      <alignment wrapText="1"/>
    </xf>
    <xf numFmtId="0" fontId="20" fillId="2" borderId="0" xfId="0" applyFont="1" applyFill="1" applyBorder="1" applyAlignment="1">
      <alignment/>
    </xf>
    <xf numFmtId="0" fontId="21" fillId="2" borderId="0" xfId="0" applyFont="1" applyFill="1" applyBorder="1" applyAlignment="1">
      <alignment/>
    </xf>
    <xf numFmtId="0" fontId="0" fillId="2" borderId="0" xfId="0" applyFont="1" applyFill="1" applyBorder="1" applyAlignment="1">
      <alignment horizontal="left" indent="1"/>
    </xf>
    <xf numFmtId="0" fontId="0" fillId="2" borderId="0" xfId="0" applyFont="1" applyFill="1" applyBorder="1" applyAlignment="1">
      <alignment/>
    </xf>
    <xf numFmtId="0" fontId="18" fillId="2" borderId="0" xfId="0" applyFont="1" applyFill="1" applyBorder="1" applyAlignment="1">
      <alignment wrapText="1"/>
    </xf>
    <xf numFmtId="0" fontId="23" fillId="2" borderId="0" xfId="0" applyFont="1" applyFill="1" applyBorder="1" applyAlignment="1">
      <alignment wrapText="1"/>
    </xf>
    <xf numFmtId="0" fontId="2" fillId="2" borderId="0" xfId="20" applyFill="1" applyBorder="1" applyAlignment="1">
      <alignment/>
    </xf>
    <xf numFmtId="0" fontId="0" fillId="7" borderId="0" xfId="0" applyFill="1" applyAlignment="1">
      <alignment/>
    </xf>
    <xf numFmtId="0" fontId="0" fillId="2" borderId="0" xfId="0" applyFont="1"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wrapText="1"/>
    </xf>
    <xf numFmtId="0" fontId="2" fillId="2" borderId="0" xfId="20" applyFill="1" applyAlignment="1">
      <alignment/>
    </xf>
    <xf numFmtId="0" fontId="0" fillId="3" borderId="1"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2" borderId="0" xfId="0" applyNumberFormat="1" applyFont="1" applyFill="1" applyBorder="1" applyAlignment="1">
      <alignment horizontal="left" wrapText="1"/>
    </xf>
    <xf numFmtId="0" fontId="0" fillId="2" borderId="0" xfId="0" applyFill="1" applyAlignment="1">
      <alignment/>
    </xf>
    <xf numFmtId="0" fontId="0" fillId="2" borderId="12" xfId="0" applyFill="1" applyBorder="1" applyAlignment="1" applyProtection="1">
      <alignment/>
      <protection/>
    </xf>
    <xf numFmtId="0" fontId="2" fillId="2" borderId="0" xfId="20" applyNumberFormat="1" applyFill="1" applyBorder="1" applyAlignment="1">
      <alignment horizontal="left" wrapText="1"/>
    </xf>
    <xf numFmtId="0" fontId="0" fillId="2" borderId="13" xfId="0" applyFill="1" applyBorder="1" applyAlignment="1" applyProtection="1">
      <alignment/>
      <protection/>
    </xf>
    <xf numFmtId="0" fontId="0" fillId="2" borderId="0" xfId="0" applyFill="1" applyBorder="1" applyAlignment="1">
      <alignment/>
    </xf>
    <xf numFmtId="0" fontId="0" fillId="3" borderId="1" xfId="0" applyNumberFormat="1" applyFill="1" applyBorder="1" applyAlignment="1" applyProtection="1">
      <alignment horizontal="left"/>
      <protection/>
    </xf>
    <xf numFmtId="171" fontId="0" fillId="2" borderId="1"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 borderId="1" xfId="0" applyNumberFormat="1" applyFont="1" applyFill="1" applyBorder="1" applyAlignment="1" applyProtection="1">
      <alignment horizontal="right"/>
      <protection/>
    </xf>
    <xf numFmtId="0" fontId="6" fillId="0" borderId="0" xfId="0" applyFont="1" applyAlignment="1" applyProtection="1">
      <alignment/>
      <protection/>
    </xf>
    <xf numFmtId="164" fontId="0" fillId="5" borderId="3" xfId="0" applyNumberFormat="1" applyFont="1" applyFill="1" applyBorder="1" applyAlignment="1" applyProtection="1">
      <alignment horizontal="right"/>
      <protection locked="0"/>
    </xf>
    <xf numFmtId="0" fontId="0" fillId="0" borderId="0" xfId="0" applyAlignment="1">
      <alignment wrapText="1"/>
    </xf>
    <xf numFmtId="0" fontId="0" fillId="3" borderId="14" xfId="0" applyFill="1" applyBorder="1" applyAlignment="1" applyProtection="1">
      <alignment horizontal="left" wrapText="1"/>
      <protection/>
    </xf>
    <xf numFmtId="3" fontId="0" fillId="5" borderId="3" xfId="0" applyNumberFormat="1" applyFont="1" applyFill="1" applyBorder="1" applyAlignment="1" applyProtection="1">
      <alignment horizontal="right"/>
      <protection locked="0"/>
    </xf>
    <xf numFmtId="9" fontId="0" fillId="5" borderId="4" xfId="0" applyNumberFormat="1" applyFont="1" applyFill="1" applyBorder="1" applyAlignment="1" applyProtection="1">
      <alignment horizontal="right"/>
      <protection locked="0"/>
    </xf>
    <xf numFmtId="171"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2" borderId="0" xfId="20" applyFont="1" applyFill="1" applyBorder="1" applyAlignment="1">
      <alignment wrapText="1"/>
    </xf>
    <xf numFmtId="0" fontId="0" fillId="2" borderId="0" xfId="0" applyFont="1" applyFill="1" applyBorder="1" applyAlignment="1" applyProtection="1">
      <alignment/>
      <protection/>
    </xf>
    <xf numFmtId="0" fontId="0" fillId="2"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2" borderId="0" xfId="0" applyFont="1" applyFill="1" applyBorder="1" applyAlignment="1" applyProtection="1">
      <alignment/>
      <protection/>
    </xf>
    <xf numFmtId="0" fontId="0" fillId="2" borderId="12"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protection/>
    </xf>
    <xf numFmtId="0" fontId="0" fillId="2" borderId="18" xfId="0" applyFill="1" applyBorder="1" applyAlignment="1">
      <alignment wrapText="1"/>
    </xf>
    <xf numFmtId="0" fontId="7" fillId="2" borderId="18" xfId="0" applyFont="1" applyFill="1" applyBorder="1" applyAlignment="1">
      <alignment/>
    </xf>
    <xf numFmtId="0" fontId="0" fillId="2" borderId="18" xfId="0" applyFill="1" applyBorder="1" applyAlignment="1" applyProtection="1">
      <alignment horizontal="left" wrapText="1"/>
      <protection/>
    </xf>
    <xf numFmtId="0" fontId="6" fillId="2" borderId="18" xfId="0" applyNumberFormat="1" applyFont="1" applyFill="1" applyBorder="1" applyAlignment="1">
      <alignment horizontal="left" wrapText="1"/>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1" fillId="2" borderId="1"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 borderId="1" xfId="0" applyNumberFormat="1" applyFont="1" applyFill="1" applyBorder="1" applyAlignment="1" applyProtection="1">
      <alignment horizontal="right"/>
      <protection/>
    </xf>
    <xf numFmtId="170" fontId="0" fillId="3" borderId="1"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2" borderId="1" xfId="0" applyNumberForma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wrapText="1"/>
      <protection locked="0"/>
    </xf>
    <xf numFmtId="6"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wrapText="1"/>
      <protection/>
    </xf>
    <xf numFmtId="0" fontId="0" fillId="3" borderId="0" xfId="0" applyFill="1" applyAlignment="1" applyProtection="1">
      <alignment/>
      <protection/>
    </xf>
    <xf numFmtId="0" fontId="0" fillId="0" borderId="21" xfId="0" applyBorder="1" applyAlignment="1" applyProtection="1">
      <alignment horizontal="left"/>
      <protection/>
    </xf>
    <xf numFmtId="0" fontId="0" fillId="0" borderId="21" xfId="0" applyFill="1" applyBorder="1" applyAlignment="1" applyProtection="1">
      <alignment horizontal="left" wrapText="1" indent="1"/>
      <protection/>
    </xf>
    <xf numFmtId="0" fontId="0" fillId="0" borderId="22" xfId="0" applyFill="1" applyBorder="1" applyAlignment="1" applyProtection="1">
      <alignment horizontal="left" wrapText="1" indent="1"/>
      <protection/>
    </xf>
    <xf numFmtId="0" fontId="0" fillId="3" borderId="1" xfId="0" applyFill="1" applyBorder="1" applyAlignment="1" applyProtection="1">
      <alignment/>
      <protection/>
    </xf>
    <xf numFmtId="0" fontId="8" fillId="4" borderId="0" xfId="0" applyFont="1" applyFill="1" applyAlignment="1" applyProtection="1">
      <alignment/>
      <protection/>
    </xf>
    <xf numFmtId="0" fontId="0" fillId="4"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 borderId="1" xfId="0" applyNumberFormat="1" applyFill="1" applyBorder="1" applyAlignment="1" applyProtection="1">
      <alignment/>
      <protection/>
    </xf>
    <xf numFmtId="178" fontId="0" fillId="3" borderId="4" xfId="17" applyNumberFormat="1" applyFont="1" applyFill="1" applyBorder="1" applyAlignment="1" applyProtection="1">
      <alignment horizontal="right"/>
      <protection/>
    </xf>
    <xf numFmtId="178" fontId="0" fillId="3" borderId="1" xfId="17" applyNumberFormat="1" applyFill="1" applyBorder="1" applyAlignment="1" applyProtection="1">
      <alignment/>
      <protection/>
    </xf>
    <xf numFmtId="8" fontId="0" fillId="3" borderId="1" xfId="17" applyNumberFormat="1" applyFill="1" applyBorder="1" applyAlignment="1" applyProtection="1">
      <alignment/>
      <protection/>
    </xf>
    <xf numFmtId="164" fontId="0" fillId="3" borderId="1" xfId="0" applyNumberFormat="1" applyFill="1" applyBorder="1" applyAlignment="1" applyProtection="1">
      <alignment wrapText="1"/>
      <protection/>
    </xf>
    <xf numFmtId="6" fontId="0" fillId="3" borderId="1" xfId="17" applyNumberFormat="1" applyFill="1" applyBorder="1" applyAlignment="1" applyProtection="1">
      <alignment horizontal="right"/>
      <protection/>
    </xf>
    <xf numFmtId="6" fontId="0" fillId="3" borderId="1" xfId="17" applyNumberFormat="1" applyFill="1" applyBorder="1" applyAlignment="1" applyProtection="1">
      <alignment/>
      <protection/>
    </xf>
    <xf numFmtId="6" fontId="0" fillId="3" borderId="1" xfId="0" applyNumberFormat="1" applyFill="1" applyBorder="1" applyAlignment="1" applyProtection="1">
      <alignment/>
      <protection/>
    </xf>
    <xf numFmtId="0" fontId="0" fillId="3" borderId="14" xfId="0" applyFill="1" applyBorder="1" applyAlignment="1" applyProtection="1">
      <alignment wrapText="1"/>
      <protection/>
    </xf>
    <xf numFmtId="171" fontId="0" fillId="3" borderId="14" xfId="0" applyNumberFormat="1" applyFill="1" applyBorder="1" applyAlignment="1" applyProtection="1">
      <alignment wrapText="1"/>
      <protection/>
    </xf>
    <xf numFmtId="164" fontId="0" fillId="3" borderId="14" xfId="0" applyNumberFormat="1" applyFill="1" applyBorder="1" applyAlignment="1" applyProtection="1">
      <alignment wrapText="1"/>
      <protection/>
    </xf>
    <xf numFmtId="6" fontId="0" fillId="3" borderId="1" xfId="0" applyNumberFormat="1" applyFill="1" applyBorder="1" applyAlignment="1" applyProtection="1">
      <alignment horizontal="right"/>
      <protection/>
    </xf>
    <xf numFmtId="2" fontId="0" fillId="3" borderId="1" xfId="0" applyNumberFormat="1" applyFill="1" applyBorder="1" applyAlignment="1" applyProtection="1">
      <alignment horizontal="right"/>
      <protection/>
    </xf>
    <xf numFmtId="171" fontId="0" fillId="3" borderId="1" xfId="0" applyNumberFormat="1" applyFill="1" applyBorder="1" applyAlignment="1" applyProtection="1">
      <alignment/>
      <protection/>
    </xf>
    <xf numFmtId="0" fontId="8" fillId="4"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 borderId="1" xfId="0" applyNumberFormat="1" applyFont="1" applyFill="1" applyBorder="1" applyAlignment="1" applyProtection="1">
      <alignment/>
      <protection/>
    </xf>
    <xf numFmtId="43" fontId="0" fillId="0" borderId="0" xfId="15" applyAlignment="1" applyProtection="1">
      <alignment/>
      <protection/>
    </xf>
    <xf numFmtId="43" fontId="0" fillId="0" borderId="0" xfId="0" applyNumberFormat="1" applyAlignment="1" applyProtection="1">
      <alignment/>
      <protection/>
    </xf>
    <xf numFmtId="164" fontId="0" fillId="3" borderId="1" xfId="0" applyNumberFormat="1" applyFill="1" applyBorder="1" applyAlignment="1" applyProtection="1">
      <alignment/>
      <protection/>
    </xf>
    <xf numFmtId="171" fontId="0" fillId="3" borderId="1" xfId="0" applyNumberFormat="1" applyFill="1" applyBorder="1" applyAlignment="1" applyProtection="1">
      <alignment wrapText="1"/>
      <protection/>
    </xf>
    <xf numFmtId="171" fontId="0" fillId="0" borderId="0" xfId="0" applyNumberFormat="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4" fontId="0" fillId="0" borderId="0" xfId="0" applyNumberFormat="1" applyAlignment="1" applyProtection="1">
      <alignment/>
      <protection/>
    </xf>
    <xf numFmtId="0" fontId="0" fillId="3" borderId="23" xfId="0" applyFill="1" applyBorder="1" applyAlignment="1" applyProtection="1">
      <alignment/>
      <protection/>
    </xf>
    <xf numFmtId="0" fontId="8" fillId="4" borderId="0" xfId="0" applyFont="1" applyFill="1" applyAlignment="1" applyProtection="1">
      <alignment/>
      <protection/>
    </xf>
    <xf numFmtId="2" fontId="0" fillId="3" borderId="14" xfId="0" applyNumberFormat="1" applyFill="1" applyBorder="1" applyAlignment="1" applyProtection="1">
      <alignment/>
      <protection/>
    </xf>
    <xf numFmtId="171" fontId="0" fillId="3" borderId="14" xfId="0" applyNumberFormat="1" applyFill="1" applyBorder="1" applyAlignment="1" applyProtection="1">
      <alignment/>
      <protection/>
    </xf>
    <xf numFmtId="1" fontId="0" fillId="3" borderId="14" xfId="0" applyNumberFormat="1" applyFill="1" applyBorder="1" applyAlignment="1" applyProtection="1">
      <alignment/>
      <protection/>
    </xf>
    <xf numFmtId="164" fontId="0" fillId="3" borderId="14" xfId="0" applyNumberFormat="1" applyFill="1" applyBorder="1" applyAlignment="1" applyProtection="1">
      <alignment/>
      <protection/>
    </xf>
    <xf numFmtId="1" fontId="0" fillId="3" borderId="1" xfId="0" applyNumberFormat="1" applyFill="1" applyBorder="1" applyAlignment="1" applyProtection="1">
      <alignment/>
      <protection/>
    </xf>
    <xf numFmtId="171" fontId="0" fillId="3" borderId="1" xfId="0" applyNumberFormat="1" applyFill="1" applyBorder="1" applyAlignment="1" applyProtection="1">
      <alignment/>
      <protection/>
    </xf>
    <xf numFmtId="170" fontId="0" fillId="3" borderId="1" xfId="0" applyNumberFormat="1" applyFill="1" applyBorder="1" applyAlignment="1" applyProtection="1">
      <alignment/>
      <protection/>
    </xf>
    <xf numFmtId="171" fontId="0" fillId="3" borderId="1" xfId="0" applyNumberFormat="1" applyFont="1" applyFill="1" applyBorder="1" applyAlignment="1" applyProtection="1">
      <alignment/>
      <protection/>
    </xf>
    <xf numFmtId="2" fontId="1" fillId="3" borderId="1" xfId="0" applyNumberFormat="1" applyFont="1" applyFill="1" applyBorder="1" applyAlignment="1" applyProtection="1">
      <alignment/>
      <protection/>
    </xf>
    <xf numFmtId="1" fontId="1" fillId="3" borderId="1" xfId="0" applyNumberFormat="1" applyFont="1" applyFill="1" applyBorder="1" applyAlignment="1" applyProtection="1">
      <alignment/>
      <protection/>
    </xf>
    <xf numFmtId="0" fontId="1" fillId="3" borderId="2" xfId="0" applyFont="1" applyFill="1" applyBorder="1" applyAlignment="1" applyProtection="1">
      <alignment/>
      <protection/>
    </xf>
    <xf numFmtId="171" fontId="1" fillId="3" borderId="1" xfId="0" applyNumberFormat="1" applyFont="1" applyFill="1" applyBorder="1" applyAlignment="1" applyProtection="1">
      <alignment/>
      <protection/>
    </xf>
    <xf numFmtId="2" fontId="0" fillId="3" borderId="1" xfId="0" applyNumberFormat="1" applyFill="1" applyBorder="1" applyAlignment="1" applyProtection="1">
      <alignment/>
      <protection/>
    </xf>
    <xf numFmtId="0" fontId="0" fillId="0" borderId="0" xfId="0" applyAlignment="1" applyProtection="1">
      <alignment/>
      <protection locked="0"/>
    </xf>
    <xf numFmtId="0" fontId="0" fillId="3" borderId="1" xfId="0" applyFill="1" applyBorder="1" applyAlignment="1" applyProtection="1">
      <alignment/>
      <protection locked="0"/>
    </xf>
    <xf numFmtId="49" fontId="0" fillId="3" borderId="1" xfId="0" applyNumberFormat="1" applyFill="1" applyBorder="1" applyAlignment="1" applyProtection="1">
      <alignment/>
      <protection locked="0"/>
    </xf>
    <xf numFmtId="171" fontId="0" fillId="3" borderId="1"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5" borderId="3"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 borderId="1" xfId="0" applyFont="1" applyFill="1" applyBorder="1" applyAlignment="1" applyProtection="1">
      <alignment/>
      <protection/>
    </xf>
    <xf numFmtId="0" fontId="0" fillId="3" borderId="24" xfId="0" applyFont="1" applyFill="1" applyBorder="1" applyAlignment="1">
      <alignment/>
    </xf>
    <xf numFmtId="0" fontId="0" fillId="3" borderId="24" xfId="0" applyFont="1" applyFill="1" applyBorder="1" applyAlignment="1" applyProtection="1">
      <alignment/>
      <protection/>
    </xf>
    <xf numFmtId="0" fontId="0" fillId="3" borderId="3" xfId="0" applyFont="1" applyFill="1" applyBorder="1" applyAlignment="1">
      <alignment/>
    </xf>
    <xf numFmtId="0" fontId="0" fillId="3" borderId="19" xfId="0" applyFont="1" applyFill="1" applyBorder="1" applyAlignment="1" applyProtection="1">
      <alignment wrapText="1"/>
      <protection/>
    </xf>
    <xf numFmtId="0" fontId="0" fillId="3" borderId="20" xfId="0" applyFont="1" applyFill="1" applyBorder="1" applyAlignment="1" applyProtection="1">
      <alignment wrapText="1"/>
      <protection/>
    </xf>
    <xf numFmtId="0" fontId="0" fillId="3" borderId="4" xfId="0" applyFont="1" applyFill="1" applyBorder="1" applyAlignment="1" applyProtection="1">
      <alignment wrapText="1"/>
      <protection/>
    </xf>
    <xf numFmtId="0" fontId="0" fillId="3" borderId="2" xfId="0" applyFont="1" applyFill="1" applyBorder="1" applyAlignment="1" applyProtection="1">
      <alignment/>
      <protection/>
    </xf>
    <xf numFmtId="0" fontId="0" fillId="3" borderId="24" xfId="0" applyFont="1" applyFill="1" applyBorder="1" applyAlignment="1">
      <alignment horizontal="right"/>
    </xf>
    <xf numFmtId="0" fontId="8" fillId="4" borderId="1" xfId="0" applyFont="1" applyFill="1" applyBorder="1" applyAlignment="1" applyProtection="1">
      <alignment horizontal="center" wrapText="1"/>
      <protection/>
    </xf>
    <xf numFmtId="174" fontId="0" fillId="3" borderId="23" xfId="0" applyNumberFormat="1" applyFill="1" applyBorder="1" applyAlignment="1" applyProtection="1">
      <alignment horizontal="center" vertical="center"/>
      <protection/>
    </xf>
    <xf numFmtId="174" fontId="0" fillId="3" borderId="1" xfId="0" applyNumberFormat="1" applyFill="1" applyBorder="1" applyAlignment="1" applyProtection="1">
      <alignment horizontal="center" vertical="center" wrapText="1"/>
      <protection/>
    </xf>
    <xf numFmtId="174" fontId="0" fillId="3" borderId="14" xfId="0" applyNumberFormat="1" applyFill="1" applyBorder="1" applyAlignment="1" applyProtection="1">
      <alignment horizontal="center" vertical="center" wrapText="1"/>
      <protection/>
    </xf>
    <xf numFmtId="0" fontId="0" fillId="2" borderId="17" xfId="0" applyFont="1" applyFill="1" applyBorder="1" applyAlignment="1">
      <alignment horizontal="left" wrapText="1" indent="1"/>
    </xf>
    <xf numFmtId="0" fontId="8" fillId="0" borderId="0" xfId="0" applyFont="1" applyFill="1" applyBorder="1" applyAlignment="1" applyProtection="1">
      <alignment horizontal="right"/>
      <protection/>
    </xf>
    <xf numFmtId="0" fontId="32" fillId="0" borderId="0" xfId="0" applyFont="1" applyFill="1" applyBorder="1" applyAlignment="1" applyProtection="1">
      <alignment vertical="top" wrapText="1"/>
      <protection/>
    </xf>
    <xf numFmtId="171" fontId="0" fillId="5" borderId="3" xfId="0" applyNumberFormat="1" applyFill="1" applyBorder="1" applyAlignment="1" applyProtection="1">
      <alignment horizontal="right"/>
      <protection locked="0"/>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8" fillId="4" borderId="24" xfId="0" applyFont="1" applyFill="1" applyBorder="1" applyAlignment="1" applyProtection="1">
      <alignment horizontal="left"/>
      <protection/>
    </xf>
    <xf numFmtId="0" fontId="0" fillId="0" borderId="0" xfId="0" applyFont="1" applyAlignment="1">
      <alignment/>
    </xf>
    <xf numFmtId="0" fontId="1" fillId="2" borderId="17" xfId="0" applyFont="1" applyFill="1" applyBorder="1" applyAlignment="1">
      <alignment horizontal="left" indent="1"/>
    </xf>
    <xf numFmtId="0" fontId="0" fillId="2" borderId="18" xfId="0" applyFill="1" applyBorder="1" applyAlignment="1">
      <alignment horizontal="left" indent="1"/>
    </xf>
    <xf numFmtId="0" fontId="0" fillId="2" borderId="18" xfId="0" applyFill="1" applyBorder="1" applyAlignment="1">
      <alignment/>
    </xf>
    <xf numFmtId="0" fontId="1" fillId="2" borderId="17" xfId="0" applyFont="1" applyFill="1" applyBorder="1" applyAlignment="1">
      <alignment horizontal="left" wrapText="1" indent="1"/>
    </xf>
    <xf numFmtId="0" fontId="0" fillId="2" borderId="18" xfId="0" applyFill="1" applyBorder="1" applyAlignment="1">
      <alignment horizontal="left" wrapText="1" indent="1"/>
    </xf>
    <xf numFmtId="0" fontId="0" fillId="2" borderId="20" xfId="0" applyFill="1" applyBorder="1" applyAlignment="1">
      <alignment/>
    </xf>
    <xf numFmtId="0" fontId="0" fillId="2" borderId="4" xfId="0" applyFill="1" applyBorder="1" applyAlignment="1">
      <alignment/>
    </xf>
    <xf numFmtId="0" fontId="0" fillId="2" borderId="19" xfId="0" applyFont="1" applyFill="1" applyBorder="1" applyAlignment="1">
      <alignment horizontal="left" indent="2"/>
    </xf>
    <xf numFmtId="180" fontId="0" fillId="3" borderId="14" xfId="15" applyNumberFormat="1" applyFill="1" applyBorder="1" applyAlignment="1" applyProtection="1">
      <alignment horizontal="left" wrapText="1" indent="1"/>
      <protection/>
    </xf>
    <xf numFmtId="180" fontId="1" fillId="3" borderId="1" xfId="15" applyNumberFormat="1" applyFont="1" applyFill="1" applyBorder="1" applyAlignment="1" applyProtection="1">
      <alignment horizontal="left" wrapText="1" indent="1"/>
      <protection/>
    </xf>
    <xf numFmtId="0" fontId="0" fillId="3" borderId="23" xfId="0" applyFill="1" applyBorder="1" applyAlignment="1" applyProtection="1">
      <alignment vertical="center"/>
      <protection/>
    </xf>
    <xf numFmtId="0" fontId="0" fillId="3" borderId="1" xfId="0" applyFill="1" applyBorder="1" applyAlignment="1" applyProtection="1">
      <alignment vertical="center"/>
      <protection/>
    </xf>
    <xf numFmtId="174" fontId="0" fillId="3" borderId="1" xfId="0" applyNumberFormat="1" applyFont="1" applyFill="1" applyBorder="1" applyAlignment="1" applyProtection="1">
      <alignment horizontal="center"/>
      <protection/>
    </xf>
    <xf numFmtId="171" fontId="0" fillId="3" borderId="3" xfId="0" applyNumberFormat="1" applyFill="1" applyBorder="1" applyAlignment="1" applyProtection="1">
      <alignment horizontal="right"/>
      <protection/>
    </xf>
    <xf numFmtId="171" fontId="0" fillId="3" borderId="14" xfId="0" applyNumberFormat="1" applyFill="1" applyBorder="1" applyAlignment="1" applyProtection="1">
      <alignment horizontal="right"/>
      <protection/>
    </xf>
    <xf numFmtId="171" fontId="0" fillId="3" borderId="16" xfId="0" applyNumberFormat="1" applyFill="1" applyBorder="1" applyAlignment="1" applyProtection="1">
      <alignment horizontal="right"/>
      <protection/>
    </xf>
    <xf numFmtId="171" fontId="0" fillId="3" borderId="23" xfId="0" applyNumberFormat="1" applyFill="1" applyBorder="1" applyAlignment="1" applyProtection="1">
      <alignment horizontal="right"/>
      <protection/>
    </xf>
    <xf numFmtId="171" fontId="0" fillId="3" borderId="4" xfId="0" applyNumberFormat="1" applyFill="1" applyBorder="1" applyAlignment="1" applyProtection="1">
      <alignment horizontal="right"/>
      <protection/>
    </xf>
    <xf numFmtId="171" fontId="1" fillId="3" borderId="1" xfId="0" applyNumberFormat="1" applyFont="1" applyFill="1" applyBorder="1" applyAlignment="1" applyProtection="1">
      <alignment horizontal="right"/>
      <protection/>
    </xf>
    <xf numFmtId="0" fontId="0" fillId="3" borderId="1" xfId="0" applyFill="1" applyBorder="1" applyAlignment="1" applyProtection="1">
      <alignment vertical="center" wrapText="1"/>
      <protection/>
    </xf>
    <xf numFmtId="0" fontId="29" fillId="3" borderId="0" xfId="20" applyNumberFormat="1" applyFont="1" applyFill="1" applyAlignment="1" applyProtection="1">
      <alignment horizontal="left" wrapText="1"/>
      <protection/>
    </xf>
    <xf numFmtId="0" fontId="29" fillId="3" borderId="1" xfId="20"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2" borderId="13" xfId="0" applyFill="1" applyBorder="1" applyAlignment="1" applyProtection="1">
      <alignment vertical="top"/>
      <protection/>
    </xf>
    <xf numFmtId="0" fontId="0" fillId="2" borderId="12" xfId="0" applyFill="1" applyBorder="1" applyAlignment="1" applyProtection="1">
      <alignment vertical="top"/>
      <protection/>
    </xf>
    <xf numFmtId="0" fontId="0" fillId="2" borderId="12" xfId="0" applyFill="1" applyBorder="1" applyAlignment="1" applyProtection="1">
      <alignment horizontal="left" vertical="top"/>
      <protection/>
    </xf>
    <xf numFmtId="0" fontId="0" fillId="0" borderId="0" xfId="0" applyAlignment="1" applyProtection="1">
      <alignment vertical="top"/>
      <protection/>
    </xf>
    <xf numFmtId="0" fontId="0" fillId="2" borderId="0" xfId="20" applyFont="1" applyFill="1" applyAlignment="1">
      <alignment/>
    </xf>
    <xf numFmtId="171" fontId="1" fillId="3" borderId="23" xfId="0" applyNumberFormat="1" applyFont="1" applyFill="1" applyBorder="1" applyAlignment="1" applyProtection="1">
      <alignment/>
      <protection/>
    </xf>
    <xf numFmtId="171" fontId="0" fillId="3" borderId="25" xfId="0" applyNumberFormat="1" applyFont="1" applyFill="1" applyBorder="1" applyAlignment="1" applyProtection="1">
      <alignment horizontal="right"/>
      <protection/>
    </xf>
    <xf numFmtId="0" fontId="4" fillId="3" borderId="2" xfId="0" applyFont="1" applyFill="1" applyBorder="1" applyAlignment="1" applyProtection="1">
      <alignment horizontal="left"/>
      <protection/>
    </xf>
    <xf numFmtId="0" fontId="33" fillId="2" borderId="17" xfId="0" applyFont="1" applyFill="1" applyBorder="1" applyAlignment="1">
      <alignment horizontal="left" indent="1"/>
    </xf>
    <xf numFmtId="179" fontId="0" fillId="3" borderId="1" xfId="15" applyNumberFormat="1" applyFill="1" applyBorder="1" applyAlignment="1" applyProtection="1">
      <alignment horizontal="left" wrapText="1"/>
      <protection/>
    </xf>
    <xf numFmtId="179" fontId="1" fillId="3" borderId="1" xfId="15" applyNumberFormat="1" applyFont="1" applyFill="1" applyBorder="1" applyAlignment="1" applyProtection="1">
      <alignment horizontal="left" wrapText="1"/>
      <protection/>
    </xf>
    <xf numFmtId="0" fontId="29" fillId="3" borderId="0" xfId="20" applyFont="1" applyFill="1" applyAlignment="1">
      <alignment wrapText="1"/>
    </xf>
    <xf numFmtId="174" fontId="0" fillId="3" borderId="1"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15" applyNumberFormat="1" applyFont="1" applyAlignment="1" applyProtection="1">
      <alignment horizontal="left" wrapText="1"/>
      <protection/>
    </xf>
    <xf numFmtId="180" fontId="1" fillId="0" borderId="0" xfId="15" applyNumberFormat="1" applyFont="1" applyAlignment="1" applyProtection="1">
      <alignment horizontal="left" wrapText="1" indent="2"/>
      <protection/>
    </xf>
    <xf numFmtId="0" fontId="4" fillId="3" borderId="3" xfId="0" applyFont="1" applyFill="1" applyBorder="1" applyAlignment="1" applyProtection="1">
      <alignment horizontal="lef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8" fillId="4" borderId="24" xfId="0" applyFont="1" applyFill="1" applyBorder="1" applyAlignment="1" applyProtection="1">
      <alignment horizontal="left" wrapText="1"/>
      <protection/>
    </xf>
    <xf numFmtId="0" fontId="8" fillId="4" borderId="3" xfId="0" applyFont="1"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2" xfId="0" applyFill="1" applyBorder="1" applyAlignment="1" applyProtection="1">
      <alignment horizontal="right" wrapText="1"/>
      <protection/>
    </xf>
    <xf numFmtId="164" fontId="0" fillId="0" borderId="12" xfId="0" applyNumberFormat="1" applyFill="1" applyBorder="1" applyAlignment="1" applyProtection="1">
      <alignment horizontal="right"/>
      <protection/>
    </xf>
    <xf numFmtId="0" fontId="0" fillId="0" borderId="1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3" borderId="14" xfId="0" applyFill="1" applyBorder="1" applyAlignment="1" applyProtection="1">
      <alignment horizontal="right" wrapText="1"/>
      <protection/>
    </xf>
    <xf numFmtId="0" fontId="8" fillId="4" borderId="2" xfId="0" applyFont="1" applyFill="1" applyBorder="1" applyAlignment="1" applyProtection="1">
      <alignment horizontal="center"/>
      <protection/>
    </xf>
    <xf numFmtId="16" fontId="8" fillId="4" borderId="24" xfId="0" applyNumberFormat="1" applyFont="1" applyFill="1" applyBorder="1" applyAlignment="1" applyProtection="1">
      <alignment horizontal="left" wrapText="1"/>
      <protection/>
    </xf>
    <xf numFmtId="0" fontId="11" fillId="4" borderId="16" xfId="0" applyFont="1" applyFill="1" applyBorder="1" applyAlignment="1" applyProtection="1">
      <alignment/>
      <protection/>
    </xf>
    <xf numFmtId="0" fontId="11" fillId="4" borderId="19" xfId="0" applyFont="1" applyFill="1" applyBorder="1" applyAlignment="1" applyProtection="1">
      <alignment horizontal="left"/>
      <protection/>
    </xf>
    <xf numFmtId="0" fontId="0" fillId="3" borderId="20"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0" borderId="0" xfId="0" applyFont="1" applyFill="1" applyBorder="1" applyAlignment="1">
      <alignment vertical="top" wrapText="1"/>
    </xf>
    <xf numFmtId="0" fontId="8" fillId="4" borderId="24"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8" fillId="4" borderId="24" xfId="0" applyFont="1" applyFill="1" applyBorder="1" applyAlignment="1" applyProtection="1">
      <alignment horizontal="right"/>
      <protection/>
    </xf>
    <xf numFmtId="0" fontId="8" fillId="4" borderId="3" xfId="0" applyFont="1" applyFill="1" applyBorder="1" applyAlignment="1" applyProtection="1">
      <alignment horizontal="right"/>
      <protection/>
    </xf>
    <xf numFmtId="0" fontId="8" fillId="4" borderId="3" xfId="0" applyFont="1" applyFill="1" applyBorder="1" applyAlignment="1" applyProtection="1">
      <alignment horizontal="right" wrapText="1"/>
      <protection/>
    </xf>
    <xf numFmtId="0" fontId="1" fillId="2" borderId="16" xfId="0" applyFont="1" applyFill="1" applyBorder="1" applyAlignment="1" applyProtection="1">
      <alignment horizontal="right" vertical="top"/>
      <protection/>
    </xf>
    <xf numFmtId="0" fontId="0" fillId="0" borderId="0" xfId="0" applyFont="1" applyAlignment="1" applyProtection="1">
      <alignment/>
      <protection/>
    </xf>
    <xf numFmtId="0" fontId="0" fillId="0" borderId="1" xfId="0" applyFont="1" applyBorder="1" applyAlignment="1" applyProtection="1">
      <alignment horizontal="left" wrapText="1"/>
      <protection/>
    </xf>
    <xf numFmtId="0" fontId="0" fillId="0" borderId="1" xfId="0" applyFont="1" applyBorder="1" applyAlignment="1" applyProtection="1">
      <alignment/>
      <protection/>
    </xf>
    <xf numFmtId="3" fontId="0" fillId="0" borderId="1" xfId="0" applyNumberFormat="1" applyFont="1" applyBorder="1" applyAlignment="1" applyProtection="1">
      <alignment horizontal="left" wrapText="1"/>
      <protection/>
    </xf>
    <xf numFmtId="170" fontId="0" fillId="0" borderId="1" xfId="0" applyNumberFormat="1" applyFont="1" applyBorder="1" applyAlignment="1" applyProtection="1">
      <alignment/>
      <protection/>
    </xf>
    <xf numFmtId="0" fontId="0" fillId="0" borderId="1" xfId="0" applyBorder="1" applyAlignment="1" applyProtection="1">
      <alignment/>
      <protection/>
    </xf>
    <xf numFmtId="191" fontId="0" fillId="0" borderId="1" xfId="0" applyNumberFormat="1" applyFont="1" applyBorder="1" applyAlignment="1" applyProtection="1">
      <alignment/>
      <protection/>
    </xf>
    <xf numFmtId="4" fontId="0" fillId="0" borderId="1" xfId="0" applyNumberFormat="1" applyFont="1" applyBorder="1" applyAlignment="1" applyProtection="1">
      <alignment horizontal="left" wrapText="1"/>
      <protection/>
    </xf>
    <xf numFmtId="43" fontId="0" fillId="0" borderId="1" xfId="15" applyNumberFormat="1" applyFont="1" applyBorder="1" applyAlignment="1" applyProtection="1">
      <alignment/>
      <protection/>
    </xf>
    <xf numFmtId="0" fontId="0" fillId="0" borderId="1" xfId="0" applyBorder="1" applyAlignment="1" applyProtection="1" quotePrefix="1">
      <alignment/>
      <protection/>
    </xf>
    <xf numFmtId="180" fontId="0" fillId="5" borderId="4" xfId="15" applyNumberFormat="1" applyFont="1" applyFill="1" applyBorder="1" applyAlignment="1" applyProtection="1">
      <alignment horizontal="right"/>
      <protection locked="0"/>
    </xf>
    <xf numFmtId="6" fontId="0" fillId="5" borderId="3" xfId="15" applyNumberFormat="1" applyFont="1" applyFill="1" applyBorder="1" applyAlignment="1" applyProtection="1">
      <alignment horizontal="right"/>
      <protection locked="0"/>
    </xf>
    <xf numFmtId="171" fontId="0" fillId="5" borderId="3" xfId="0" applyNumberFormat="1" applyFont="1" applyFill="1" applyBorder="1" applyAlignment="1" applyProtection="1">
      <alignment horizontal="right"/>
      <protection locked="0"/>
    </xf>
    <xf numFmtId="174" fontId="0" fillId="3" borderId="23" xfId="0" applyNumberFormat="1" applyFill="1" applyBorder="1" applyAlignment="1" applyProtection="1">
      <alignment horizontal="right" vertical="center" wrapText="1" indent="1"/>
      <protection/>
    </xf>
    <xf numFmtId="3" fontId="1" fillId="3" borderId="23" xfId="0" applyNumberFormat="1" applyFont="1" applyFill="1" applyBorder="1" applyAlignment="1" applyProtection="1">
      <alignment horizontal="right" vertical="center" wrapText="1" indent="1"/>
      <protection/>
    </xf>
    <xf numFmtId="3" fontId="1" fillId="3" borderId="1" xfId="0" applyNumberFormat="1" applyFont="1" applyFill="1" applyBorder="1" applyAlignment="1" applyProtection="1">
      <alignment horizontal="right" vertical="center" wrapText="1" indent="1"/>
      <protection/>
    </xf>
    <xf numFmtId="3" fontId="1" fillId="3" borderId="14"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0" xfId="0" applyBorder="1" applyAlignment="1" applyProtection="1">
      <alignment horizontal="right"/>
      <protection locked="0"/>
    </xf>
    <xf numFmtId="0" fontId="9" fillId="4" borderId="3" xfId="0" applyFont="1" applyFill="1" applyBorder="1" applyAlignment="1" applyProtection="1">
      <alignment horizontal="right"/>
      <protection locked="0"/>
    </xf>
    <xf numFmtId="0" fontId="34" fillId="0" borderId="0" xfId="0" applyFont="1" applyAlignment="1" applyProtection="1">
      <alignment/>
      <protection locked="0"/>
    </xf>
    <xf numFmtId="0" fontId="6" fillId="0" borderId="20" xfId="0" applyFont="1" applyBorder="1" applyAlignment="1" applyProtection="1">
      <alignment horizontal="right"/>
      <protection locked="0"/>
    </xf>
    <xf numFmtId="0" fontId="0" fillId="3" borderId="13"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 borderId="2" xfId="0" applyFont="1" applyFill="1" applyBorder="1" applyAlignment="1" applyProtection="1">
      <alignment horizontal="left" wrapText="1"/>
      <protection locked="0"/>
    </xf>
    <xf numFmtId="0" fontId="0" fillId="0" borderId="17" xfId="0" applyBorder="1" applyAlignment="1" applyProtection="1">
      <alignment horizontal="right"/>
      <protection locked="0"/>
    </xf>
    <xf numFmtId="1" fontId="27" fillId="0" borderId="0" xfId="0" applyNumberFormat="1" applyFont="1" applyFill="1" applyBorder="1" applyAlignment="1" applyProtection="1">
      <alignment horizontal="right"/>
      <protection locked="0"/>
    </xf>
    <xf numFmtId="9" fontId="27"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7" fillId="0" borderId="0" xfId="0" applyNumberFormat="1" applyFont="1" applyFill="1" applyAlignment="1" applyProtection="1">
      <alignment horizontal="right"/>
      <protection locked="0"/>
    </xf>
    <xf numFmtId="0" fontId="27"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4" borderId="19"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0" fillId="3" borderId="19" xfId="0" applyFont="1" applyFill="1" applyBorder="1" applyAlignment="1" applyProtection="1">
      <alignment horizontal="left" wrapText="1"/>
      <protection locked="0"/>
    </xf>
    <xf numFmtId="0" fontId="14" fillId="3" borderId="2" xfId="0" applyFont="1" applyFill="1" applyBorder="1" applyAlignment="1" applyProtection="1">
      <alignment horizontal="left" wrapText="1"/>
      <protection locked="0"/>
    </xf>
    <xf numFmtId="0" fontId="0" fillId="0" borderId="17"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Border="1" applyAlignment="1" applyProtection="1">
      <alignment/>
      <protection locked="0"/>
    </xf>
    <xf numFmtId="0" fontId="30" fillId="2" borderId="1" xfId="0" applyFont="1" applyFill="1" applyBorder="1" applyAlignment="1" applyProtection="1">
      <alignment horizontal="center" wrapText="1"/>
      <protection locked="0"/>
    </xf>
    <xf numFmtId="0" fontId="29" fillId="3" borderId="1" xfId="0" applyFont="1" applyFill="1" applyBorder="1" applyAlignment="1" applyProtection="1">
      <alignment/>
      <protection locked="0"/>
    </xf>
    <xf numFmtId="171" fontId="29" fillId="3" borderId="1" xfId="0" applyNumberFormat="1" applyFont="1" applyFill="1" applyBorder="1" applyAlignment="1" applyProtection="1">
      <alignment/>
      <protection locked="0"/>
    </xf>
    <xf numFmtId="164" fontId="29" fillId="3" borderId="1"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29" fillId="0" borderId="17" xfId="0" applyFont="1" applyFill="1" applyBorder="1" applyAlignment="1" applyProtection="1">
      <alignment horizontal="right"/>
      <protection locked="0"/>
    </xf>
    <xf numFmtId="0" fontId="29"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29" fillId="0" borderId="18"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9" fillId="0" borderId="17"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8" fillId="4" borderId="2" xfId="0" applyFont="1" applyFill="1" applyBorder="1" applyAlignment="1" applyProtection="1">
      <alignment horizontal="left"/>
      <protection locked="0"/>
    </xf>
    <xf numFmtId="170" fontId="0" fillId="3" borderId="1" xfId="0" applyNumberFormat="1" applyFont="1" applyFill="1" applyBorder="1" applyAlignment="1" applyProtection="1">
      <alignment wrapText="1"/>
      <protection/>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1" fontId="0" fillId="3" borderId="1" xfId="0" applyNumberFormat="1" applyFill="1" applyBorder="1" applyAlignment="1" applyProtection="1">
      <alignment horizontal="left"/>
      <protection/>
    </xf>
    <xf numFmtId="1" fontId="0" fillId="7" borderId="1" xfId="0" applyNumberFormat="1" applyFill="1" applyBorder="1" applyAlignment="1" applyProtection="1">
      <alignment/>
      <protection/>
    </xf>
    <xf numFmtId="164" fontId="11" fillId="0" borderId="1" xfId="0" applyNumberFormat="1" applyFont="1" applyBorder="1" applyAlignment="1" applyProtection="1">
      <alignment horizontal="right"/>
      <protection/>
    </xf>
    <xf numFmtId="0" fontId="29" fillId="2" borderId="2" xfId="20" applyFont="1" applyFill="1" applyBorder="1" applyAlignment="1" applyProtection="1">
      <alignment horizontal="left" wrapText="1"/>
      <protection locked="0"/>
    </xf>
    <xf numFmtId="0" fontId="29" fillId="2" borderId="24" xfId="20" applyFont="1" applyFill="1" applyBorder="1" applyAlignment="1" applyProtection="1">
      <alignment wrapText="1"/>
      <protection locked="0"/>
    </xf>
    <xf numFmtId="0" fontId="29" fillId="2" borderId="3" xfId="20" applyFont="1" applyFill="1" applyBorder="1" applyAlignment="1" applyProtection="1">
      <alignment wrapText="1"/>
      <protection locked="0"/>
    </xf>
    <xf numFmtId="0" fontId="29" fillId="0" borderId="18"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2" borderId="3" xfId="0" applyFont="1" applyFill="1" applyBorder="1" applyAlignment="1" applyProtection="1">
      <alignment horizontal="left" wrapText="1"/>
      <protection locked="0"/>
    </xf>
    <xf numFmtId="0" fontId="29" fillId="0" borderId="17" xfId="0" applyFont="1" applyFill="1" applyBorder="1" applyAlignment="1" applyProtection="1">
      <alignment horizontal="center"/>
      <protection locked="0"/>
    </xf>
    <xf numFmtId="0" fontId="29" fillId="2" borderId="16" xfId="20" applyNumberFormat="1" applyFont="1" applyFill="1" applyBorder="1" applyAlignment="1" applyProtection="1">
      <alignment horizontal="left" vertical="top" wrapText="1"/>
      <protection locked="0"/>
    </xf>
    <xf numFmtId="0" fontId="29" fillId="2" borderId="19" xfId="20" applyNumberFormat="1" applyFont="1" applyFill="1" applyBorder="1" applyAlignment="1" applyProtection="1">
      <alignment horizontal="left" vertical="top" wrapText="1"/>
      <protection locked="0"/>
    </xf>
    <xf numFmtId="0" fontId="29" fillId="2" borderId="20" xfId="20" applyNumberFormat="1" applyFont="1" applyFill="1" applyBorder="1" applyAlignment="1" applyProtection="1">
      <alignment horizontal="left" vertical="top" wrapText="1"/>
      <protection locked="0"/>
    </xf>
    <xf numFmtId="0" fontId="29" fillId="2" borderId="4" xfId="20" applyNumberFormat="1" applyFont="1" applyFill="1" applyBorder="1" applyAlignment="1" applyProtection="1">
      <alignment horizontal="left" vertical="top" wrapText="1"/>
      <protection locked="0"/>
    </xf>
    <xf numFmtId="0" fontId="29" fillId="2" borderId="2" xfId="0" applyFont="1" applyFill="1" applyBorder="1" applyAlignment="1" applyProtection="1">
      <alignment horizontal="left" wrapText="1"/>
      <protection locked="0"/>
    </xf>
    <xf numFmtId="0" fontId="29" fillId="2" borderId="24" xfId="0" applyFont="1" applyFill="1" applyBorder="1" applyAlignment="1" applyProtection="1">
      <alignment horizontal="left" wrapText="1"/>
      <protection locked="0"/>
    </xf>
    <xf numFmtId="0" fontId="29" fillId="2" borderId="12" xfId="20" applyNumberFormat="1"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37" fillId="2" borderId="17"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29" fillId="2" borderId="13" xfId="20" applyNumberFormat="1" applyFont="1" applyFill="1" applyBorder="1" applyAlignment="1" applyProtection="1">
      <alignment horizontal="left" vertical="top" wrapText="1"/>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36" fillId="2" borderId="17"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top" wrapText="1"/>
      <protection/>
    </xf>
    <xf numFmtId="0" fontId="36" fillId="2" borderId="18" xfId="0" applyFont="1" applyFill="1" applyBorder="1" applyAlignment="1" applyProtection="1">
      <alignment horizontal="left" vertical="top" wrapText="1"/>
      <protection/>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29" fillId="2" borderId="2" xfId="0" applyFont="1" applyFill="1" applyBorder="1" applyAlignment="1" applyProtection="1">
      <alignment horizontal="left"/>
      <protection locked="0"/>
    </xf>
    <xf numFmtId="0" fontId="29" fillId="2" borderId="24"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29" fillId="2" borderId="24" xfId="20" applyFont="1" applyFill="1" applyBorder="1" applyAlignment="1" applyProtection="1">
      <alignment horizontal="left" wrapText="1"/>
      <protection locked="0"/>
    </xf>
    <xf numFmtId="0" fontId="29" fillId="2" borderId="3" xfId="20" applyFont="1" applyFill="1" applyBorder="1" applyAlignment="1" applyProtection="1">
      <alignment horizontal="left"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4"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29" fillId="2" borderId="2"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29" fillId="2" borderId="3" xfId="0" applyFont="1" applyFill="1" applyBorder="1" applyAlignment="1" applyProtection="1">
      <alignment horizontal="left" vertical="top"/>
      <protection locked="0"/>
    </xf>
    <xf numFmtId="0" fontId="30" fillId="2" borderId="13" xfId="20" applyFont="1" applyFill="1" applyBorder="1" applyAlignment="1" applyProtection="1">
      <alignment horizontal="left" vertical="top" wrapText="1"/>
      <protection locked="0"/>
    </xf>
    <xf numFmtId="0" fontId="29" fillId="2" borderId="12" xfId="20" applyFont="1" applyFill="1" applyBorder="1" applyAlignment="1" applyProtection="1">
      <alignment horizontal="left" vertical="top" wrapText="1"/>
      <protection locked="0"/>
    </xf>
    <xf numFmtId="0" fontId="29" fillId="2" borderId="16" xfId="20" applyFont="1" applyFill="1" applyBorder="1" applyAlignment="1" applyProtection="1">
      <alignment horizontal="left" vertical="top" wrapText="1"/>
      <protection locked="0"/>
    </xf>
    <xf numFmtId="0" fontId="29" fillId="2" borderId="17" xfId="20" applyFont="1" applyFill="1" applyBorder="1" applyAlignment="1" applyProtection="1">
      <alignment horizontal="left" vertical="top" wrapText="1"/>
      <protection locked="0"/>
    </xf>
    <xf numFmtId="0" fontId="29" fillId="2" borderId="0" xfId="20" applyFont="1" applyFill="1" applyBorder="1" applyAlignment="1" applyProtection="1">
      <alignment horizontal="left" vertical="top" wrapText="1"/>
      <protection locked="0"/>
    </xf>
    <xf numFmtId="0" fontId="29" fillId="2" borderId="18" xfId="20" applyFont="1" applyFill="1" applyBorder="1" applyAlignment="1" applyProtection="1">
      <alignment horizontal="left" vertical="top" wrapText="1"/>
      <protection locked="0"/>
    </xf>
    <xf numFmtId="0" fontId="29" fillId="2" borderId="19" xfId="20" applyFont="1" applyFill="1" applyBorder="1" applyAlignment="1" applyProtection="1">
      <alignment horizontal="left" vertical="top" wrapText="1"/>
      <protection locked="0"/>
    </xf>
    <xf numFmtId="0" fontId="29" fillId="2" borderId="20" xfId="20" applyFont="1" applyFill="1" applyBorder="1" applyAlignment="1" applyProtection="1">
      <alignment horizontal="left" vertical="top" wrapText="1"/>
      <protection locked="0"/>
    </xf>
    <xf numFmtId="0" fontId="29" fillId="2" borderId="4" xfId="20" applyFont="1" applyFill="1" applyBorder="1" applyAlignment="1" applyProtection="1">
      <alignment horizontal="left" vertical="top" wrapText="1"/>
      <protection locked="0"/>
    </xf>
    <xf numFmtId="0" fontId="29" fillId="2" borderId="2" xfId="20" applyFont="1" applyFill="1" applyBorder="1" applyAlignment="1" applyProtection="1">
      <alignment horizontal="left"/>
      <protection locked="0"/>
    </xf>
    <xf numFmtId="0" fontId="29" fillId="2" borderId="24" xfId="20" applyFont="1" applyFill="1" applyBorder="1" applyAlignment="1" applyProtection="1">
      <alignment horizontal="left"/>
      <protection locked="0"/>
    </xf>
    <xf numFmtId="0" fontId="29" fillId="2" borderId="3" xfId="20" applyFont="1" applyFill="1" applyBorder="1" applyAlignment="1" applyProtection="1">
      <alignment horizontal="left"/>
      <protection locked="0"/>
    </xf>
    <xf numFmtId="0" fontId="28" fillId="2" borderId="17" xfId="0" applyFont="1" applyFill="1"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wrapText="1"/>
      <protection locked="0"/>
    </xf>
    <xf numFmtId="0" fontId="0" fillId="3" borderId="17" xfId="0" applyFont="1" applyFill="1" applyBorder="1" applyAlignment="1" applyProtection="1">
      <alignment horizontal="left" wrapText="1"/>
      <protection locked="0"/>
    </xf>
    <xf numFmtId="0" fontId="0" fillId="0" borderId="19" xfId="0" applyBorder="1" applyAlignment="1" applyProtection="1">
      <alignment horizontal="left" wrapText="1"/>
      <protection locked="0"/>
    </xf>
    <xf numFmtId="164" fontId="0" fillId="5" borderId="18"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2" xfId="20" applyFont="1" applyFill="1" applyBorder="1" applyAlignment="1" applyProtection="1">
      <alignment wrapText="1"/>
      <protection locked="0"/>
    </xf>
    <xf numFmtId="0" fontId="29" fillId="0" borderId="24" xfId="20" applyFont="1" applyBorder="1" applyAlignment="1" applyProtection="1">
      <alignment wrapText="1"/>
      <protection locked="0"/>
    </xf>
    <xf numFmtId="0" fontId="29" fillId="0" borderId="3" xfId="20" applyFont="1" applyBorder="1" applyAlignment="1" applyProtection="1">
      <alignment wrapText="1"/>
      <protection locked="0"/>
    </xf>
    <xf numFmtId="0" fontId="29" fillId="2" borderId="13" xfId="20" applyFont="1" applyFill="1" applyBorder="1" applyAlignment="1" applyProtection="1">
      <alignment horizontal="left" vertical="top" wrapText="1"/>
      <protection locked="0"/>
    </xf>
    <xf numFmtId="0" fontId="8" fillId="4" borderId="24" xfId="0" applyFont="1" applyFill="1" applyBorder="1" applyAlignment="1" applyProtection="1">
      <alignment horizontal="center"/>
      <protection/>
    </xf>
    <xf numFmtId="0" fontId="1" fillId="2" borderId="13" xfId="20" applyFont="1" applyFill="1" applyBorder="1" applyAlignment="1" applyProtection="1">
      <alignment horizontal="left" wrapText="1"/>
      <protection/>
    </xf>
    <xf numFmtId="0" fontId="1" fillId="2" borderId="12" xfId="20" applyFont="1" applyFill="1" applyBorder="1" applyAlignment="1" applyProtection="1">
      <alignment horizontal="left" wrapText="1"/>
      <protection/>
    </xf>
    <xf numFmtId="0" fontId="1" fillId="2" borderId="16" xfId="20" applyFont="1" applyFill="1" applyBorder="1" applyAlignment="1" applyProtection="1">
      <alignment horizontal="left" wrapText="1"/>
      <protection/>
    </xf>
    <xf numFmtId="0" fontId="1" fillId="2" borderId="17" xfId="20" applyFont="1" applyFill="1" applyBorder="1" applyAlignment="1" applyProtection="1">
      <alignment horizontal="left" wrapText="1"/>
      <protection/>
    </xf>
    <xf numFmtId="0" fontId="1" fillId="2" borderId="0" xfId="20" applyFont="1" applyFill="1" applyBorder="1" applyAlignment="1" applyProtection="1">
      <alignment horizontal="left" wrapText="1"/>
      <protection/>
    </xf>
    <xf numFmtId="0" fontId="1" fillId="2" borderId="18" xfId="20" applyFont="1" applyFill="1" applyBorder="1" applyAlignment="1" applyProtection="1">
      <alignment horizontal="left" wrapText="1"/>
      <protection/>
    </xf>
    <xf numFmtId="0" fontId="1" fillId="2" borderId="19" xfId="20" applyFont="1" applyFill="1" applyBorder="1" applyAlignment="1" applyProtection="1">
      <alignment horizontal="left" wrapText="1"/>
      <protection/>
    </xf>
    <xf numFmtId="0" fontId="1" fillId="2" borderId="20" xfId="20" applyFont="1" applyFill="1" applyBorder="1" applyAlignment="1" applyProtection="1">
      <alignment horizontal="left" wrapText="1"/>
      <protection/>
    </xf>
    <xf numFmtId="0" fontId="1" fillId="2" borderId="4" xfId="20" applyFont="1" applyFill="1" applyBorder="1" applyAlignment="1" applyProtection="1">
      <alignment horizontal="left" wrapText="1"/>
      <protection/>
    </xf>
    <xf numFmtId="0" fontId="32" fillId="2" borderId="13" xfId="0" applyFont="1" applyFill="1" applyBorder="1" applyAlignment="1" applyProtection="1">
      <alignment horizontal="left" vertical="top" wrapText="1"/>
      <protection/>
    </xf>
    <xf numFmtId="0" fontId="32" fillId="2" borderId="12" xfId="0" applyFont="1" applyFill="1" applyBorder="1" applyAlignment="1" applyProtection="1">
      <alignment horizontal="left" vertical="top" wrapText="1"/>
      <protection/>
    </xf>
    <xf numFmtId="0" fontId="32" fillId="2" borderId="16" xfId="0" applyFont="1" applyFill="1" applyBorder="1" applyAlignment="1" applyProtection="1">
      <alignment horizontal="left" vertical="top" wrapText="1"/>
      <protection/>
    </xf>
    <xf numFmtId="0" fontId="32" fillId="2" borderId="17" xfId="0" applyFont="1" applyFill="1" applyBorder="1" applyAlignment="1" applyProtection="1">
      <alignment horizontal="left" vertical="top" wrapText="1"/>
      <protection/>
    </xf>
    <xf numFmtId="0" fontId="32" fillId="2" borderId="0" xfId="0" applyFont="1" applyFill="1" applyBorder="1" applyAlignment="1" applyProtection="1">
      <alignment horizontal="left" vertical="top" wrapText="1"/>
      <protection/>
    </xf>
    <xf numFmtId="0" fontId="32" fillId="2" borderId="18" xfId="0" applyFont="1" applyFill="1" applyBorder="1" applyAlignment="1" applyProtection="1">
      <alignment horizontal="left" vertical="top" wrapText="1"/>
      <protection/>
    </xf>
    <xf numFmtId="0" fontId="32" fillId="2" borderId="19" xfId="0" applyFont="1" applyFill="1" applyBorder="1" applyAlignment="1" applyProtection="1">
      <alignment horizontal="left" vertical="top" wrapText="1"/>
      <protection/>
    </xf>
    <xf numFmtId="0" fontId="32" fillId="2" borderId="20" xfId="0" applyFont="1" applyFill="1" applyBorder="1" applyAlignment="1" applyProtection="1">
      <alignment horizontal="left" vertical="top" wrapText="1"/>
      <protection/>
    </xf>
    <xf numFmtId="0" fontId="32" fillId="2" borderId="4" xfId="0" applyFont="1" applyFill="1" applyBorder="1" applyAlignment="1" applyProtection="1">
      <alignment horizontal="left" vertical="top" wrapText="1"/>
      <protection/>
    </xf>
    <xf numFmtId="0" fontId="28" fillId="2" borderId="13" xfId="20" applyFont="1" applyFill="1" applyBorder="1" applyAlignment="1" applyProtection="1">
      <alignment horizontal="left" vertical="top" wrapText="1"/>
      <protection/>
    </xf>
    <xf numFmtId="0" fontId="28" fillId="2" borderId="12" xfId="20" applyFont="1" applyFill="1" applyBorder="1" applyAlignment="1" applyProtection="1">
      <alignment horizontal="left" vertical="top" wrapText="1"/>
      <protection/>
    </xf>
    <xf numFmtId="0" fontId="28" fillId="2" borderId="16" xfId="20" applyFont="1" applyFill="1" applyBorder="1" applyAlignment="1" applyProtection="1">
      <alignment horizontal="left" vertical="top" wrapText="1"/>
      <protection/>
    </xf>
    <xf numFmtId="0" fontId="28" fillId="2" borderId="17" xfId="20" applyFont="1" applyFill="1" applyBorder="1" applyAlignment="1" applyProtection="1">
      <alignment horizontal="left" vertical="top" wrapText="1"/>
      <protection/>
    </xf>
    <xf numFmtId="0" fontId="28" fillId="2" borderId="0" xfId="20" applyFont="1" applyFill="1" applyBorder="1" applyAlignment="1" applyProtection="1">
      <alignment horizontal="left" vertical="top" wrapText="1"/>
      <protection/>
    </xf>
    <xf numFmtId="0" fontId="28" fillId="2" borderId="18" xfId="20" applyFont="1" applyFill="1" applyBorder="1" applyAlignment="1" applyProtection="1">
      <alignment horizontal="lef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8" fillId="4" borderId="13" xfId="0" applyFont="1" applyFill="1" applyBorder="1" applyAlignment="1" applyProtection="1">
      <alignment horizontal="center"/>
      <protection/>
    </xf>
    <xf numFmtId="0" fontId="8" fillId="4" borderId="12" xfId="0" applyFont="1" applyFill="1" applyBorder="1" applyAlignment="1" applyProtection="1">
      <alignment horizontal="center"/>
      <protection/>
    </xf>
    <xf numFmtId="0" fontId="0" fillId="3" borderId="1" xfId="0" applyFill="1" applyBorder="1" applyAlignment="1" applyProtection="1">
      <alignment horizontal="left"/>
      <protection/>
    </xf>
    <xf numFmtId="0" fontId="0" fillId="3" borderId="1" xfId="0" applyFont="1" applyFill="1" applyBorder="1" applyAlignment="1" applyProtection="1">
      <alignment horizontal="left"/>
      <protection/>
    </xf>
    <xf numFmtId="0" fontId="1" fillId="3" borderId="1" xfId="0" applyFont="1" applyFill="1" applyBorder="1" applyAlignment="1" applyProtection="1">
      <alignment horizontal="left"/>
      <protection/>
    </xf>
    <xf numFmtId="0" fontId="1" fillId="3" borderId="15"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1" fillId="3" borderId="14" xfId="0" applyFont="1" applyFill="1" applyBorder="1" applyAlignment="1" applyProtection="1">
      <alignment horizontal="left"/>
      <protection/>
    </xf>
    <xf numFmtId="0" fontId="6" fillId="0" borderId="0" xfId="0" applyFont="1" applyAlignment="1" applyProtection="1">
      <alignment horizontal="left"/>
      <protection/>
    </xf>
    <xf numFmtId="0" fontId="8" fillId="4" borderId="13" xfId="0" applyFont="1" applyFill="1" applyBorder="1" applyAlignment="1" applyProtection="1">
      <alignment horizontal="center" wrapText="1"/>
      <protection/>
    </xf>
    <xf numFmtId="0" fontId="8" fillId="4" borderId="12" xfId="0" applyFont="1" applyFill="1" applyBorder="1" applyAlignment="1" applyProtection="1">
      <alignment horizontal="center" wrapText="1"/>
      <protection/>
    </xf>
    <xf numFmtId="0" fontId="1" fillId="3" borderId="1" xfId="0" applyFont="1"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 borderId="1" xfId="0" applyNumberFormat="1" applyFill="1" applyBorder="1" applyAlignment="1" applyProtection="1">
      <alignment horizontal="center" wrapText="1"/>
      <protection/>
    </xf>
    <xf numFmtId="0" fontId="0" fillId="3" borderId="1" xfId="0" applyFill="1" applyBorder="1" applyAlignment="1" applyProtection="1">
      <alignment wrapText="1"/>
      <protection/>
    </xf>
    <xf numFmtId="0" fontId="0" fillId="0" borderId="1" xfId="0" applyBorder="1" applyAlignment="1" applyProtection="1">
      <alignment wrapText="1"/>
      <protection/>
    </xf>
    <xf numFmtId="0" fontId="12" fillId="4" borderId="13" xfId="0" applyFont="1" applyFill="1" applyBorder="1" applyAlignment="1" applyProtection="1">
      <alignment horizontal="left"/>
      <protection/>
    </xf>
    <xf numFmtId="0" fontId="11" fillId="4" borderId="12" xfId="0" applyFont="1" applyFill="1" applyBorder="1" applyAlignment="1" applyProtection="1">
      <alignment horizontal="left"/>
      <protection/>
    </xf>
    <xf numFmtId="0" fontId="11" fillId="4" borderId="20" xfId="0" applyFont="1" applyFill="1" applyBorder="1" applyAlignment="1" applyProtection="1">
      <alignment horizontal="left" wrapText="1"/>
      <protection/>
    </xf>
    <xf numFmtId="0" fontId="11" fillId="4" borderId="4" xfId="0" applyFont="1" applyFill="1" applyBorder="1" applyAlignment="1" applyProtection="1">
      <alignment wrapText="1"/>
      <protection/>
    </xf>
    <xf numFmtId="164" fontId="0" fillId="3" borderId="2" xfId="0" applyNumberFormat="1" applyFill="1" applyBorder="1" applyAlignment="1" applyProtection="1">
      <alignment horizontal="center" wrapText="1"/>
      <protection/>
    </xf>
    <xf numFmtId="0" fontId="0" fillId="0" borderId="3" xfId="0" applyBorder="1" applyAlignment="1" applyProtection="1">
      <alignment wrapText="1"/>
      <protection/>
    </xf>
    <xf numFmtId="17" fontId="0" fillId="3" borderId="2" xfId="0" applyNumberFormat="1" applyFill="1" applyBorder="1" applyAlignment="1" applyProtection="1">
      <alignment horizontal="left" wrapText="1"/>
      <protection/>
    </xf>
    <xf numFmtId="0" fontId="0" fillId="0" borderId="3" xfId="0" applyBorder="1" applyAlignment="1" applyProtection="1">
      <alignment horizontal="left"/>
      <protection/>
    </xf>
    <xf numFmtId="0" fontId="0" fillId="3" borderId="14"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protection/>
    </xf>
    <xf numFmtId="0" fontId="34" fillId="0" borderId="0" xfId="0" applyFont="1" applyAlignment="1" applyProtection="1">
      <alignment wrapText="1"/>
      <protection/>
    </xf>
    <xf numFmtId="0" fontId="35" fillId="0" borderId="0" xfId="0" applyFont="1" applyAlignment="1" applyProtection="1">
      <alignment wrapText="1"/>
      <protection/>
    </xf>
    <xf numFmtId="0" fontId="16" fillId="0" borderId="0" xfId="0" applyFont="1" applyAlignment="1" applyProtection="1">
      <alignment wrapText="1"/>
      <protection/>
    </xf>
    <xf numFmtId="0" fontId="0" fillId="0" borderId="23" xfId="0" applyBorder="1" applyAlignment="1" applyProtection="1">
      <alignment horizontal="left" vertical="top" wrapText="1"/>
      <protection/>
    </xf>
    <xf numFmtId="0" fontId="0" fillId="3" borderId="14" xfId="0" applyFill="1" applyBorder="1" applyAlignment="1" applyProtection="1">
      <alignment horizontal="left" wrapText="1"/>
      <protection/>
    </xf>
    <xf numFmtId="0" fontId="0" fillId="3" borderId="23" xfId="0" applyFill="1" applyBorder="1" applyAlignment="1" applyProtection="1">
      <alignment horizontal="left" wrapText="1"/>
      <protection/>
    </xf>
    <xf numFmtId="16" fontId="8" fillId="4" borderId="24" xfId="0" applyNumberFormat="1" applyFont="1" applyFill="1" applyBorder="1" applyAlignment="1" applyProtection="1">
      <alignment horizontal="left" wrapText="1"/>
      <protection/>
    </xf>
    <xf numFmtId="0" fontId="0" fillId="0" borderId="3" xfId="0" applyBorder="1" applyAlignment="1" applyProtection="1">
      <alignment/>
      <protection/>
    </xf>
    <xf numFmtId="0" fontId="0" fillId="3" borderId="15"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23" xfId="0" applyBorder="1" applyAlignment="1" applyProtection="1">
      <alignment horizontal="left"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2" borderId="17" xfId="0" applyFont="1" applyFill="1" applyBorder="1" applyAlignment="1">
      <alignment horizontal="left" wrapText="1" indent="2"/>
    </xf>
    <xf numFmtId="0" fontId="0" fillId="2" borderId="0" xfId="0" applyFill="1" applyBorder="1" applyAlignment="1">
      <alignment horizontal="left" wrapText="1" indent="2"/>
    </xf>
    <xf numFmtId="0" fontId="0" fillId="2" borderId="18" xfId="0" applyFill="1" applyBorder="1" applyAlignment="1">
      <alignment horizontal="left" wrapText="1" indent="2"/>
    </xf>
    <xf numFmtId="0" fontId="24" fillId="2" borderId="13" xfId="0" applyFont="1" applyFill="1" applyBorder="1" applyAlignment="1">
      <alignment horizontal="center" wrapText="1"/>
    </xf>
    <xf numFmtId="0" fontId="0" fillId="2" borderId="12" xfId="0" applyFill="1" applyBorder="1" applyAlignment="1">
      <alignment horizontal="center" wrapText="1"/>
    </xf>
    <xf numFmtId="0" fontId="0" fillId="2" borderId="16" xfId="0" applyFill="1" applyBorder="1" applyAlignment="1">
      <alignment horizontal="center" wrapText="1"/>
    </xf>
    <xf numFmtId="0" fontId="1" fillId="2" borderId="17" xfId="0" applyFont="1" applyFill="1" applyBorder="1" applyAlignment="1">
      <alignment horizontal="left" wrapText="1" indent="1"/>
    </xf>
    <xf numFmtId="0" fontId="0" fillId="2" borderId="0" xfId="0" applyFill="1" applyBorder="1" applyAlignment="1">
      <alignment/>
    </xf>
    <xf numFmtId="0" fontId="0" fillId="2" borderId="18" xfId="0" applyFill="1" applyBorder="1" applyAlignment="1">
      <alignment/>
    </xf>
    <xf numFmtId="0" fontId="0" fillId="3" borderId="13" xfId="0" applyFill="1" applyBorder="1" applyAlignment="1" applyProtection="1">
      <alignment horizontal="left" wrapText="1"/>
      <protection/>
    </xf>
    <xf numFmtId="0" fontId="0" fillId="3" borderId="12" xfId="0" applyFill="1" applyBorder="1" applyAlignment="1" applyProtection="1">
      <alignment horizontal="left" wrapText="1"/>
      <protection/>
    </xf>
    <xf numFmtId="0" fontId="0" fillId="3" borderId="16" xfId="0" applyFill="1" applyBorder="1" applyAlignment="1" applyProtection="1">
      <alignment horizontal="left" wrapText="1"/>
      <protection/>
    </xf>
    <xf numFmtId="0" fontId="8" fillId="4" borderId="2" xfId="0" applyFont="1" applyFill="1" applyBorder="1" applyAlignment="1" applyProtection="1">
      <alignment horizontal="center" wrapText="1"/>
      <protection/>
    </xf>
    <xf numFmtId="0" fontId="8" fillId="4" borderId="24" xfId="0" applyFont="1" applyFill="1" applyBorder="1" applyAlignment="1" applyProtection="1">
      <alignment horizontal="center" wrapText="1"/>
      <protection/>
    </xf>
    <xf numFmtId="0" fontId="8" fillId="4" borderId="3" xfId="0" applyFont="1" applyFill="1" applyBorder="1" applyAlignment="1" applyProtection="1">
      <alignment horizontal="center" wrapText="1"/>
      <protection/>
    </xf>
    <xf numFmtId="0" fontId="2" fillId="3" borderId="19" xfId="20" applyFill="1" applyBorder="1" applyAlignment="1" applyProtection="1">
      <alignment horizontal="left" wrapText="1"/>
      <protection/>
    </xf>
    <xf numFmtId="0" fontId="2" fillId="3" borderId="20" xfId="20" applyFill="1" applyBorder="1" applyAlignment="1" applyProtection="1">
      <alignment horizontal="left" wrapText="1"/>
      <protection/>
    </xf>
    <xf numFmtId="49" fontId="1" fillId="3" borderId="1" xfId="0" applyNumberFormat="1" applyFont="1" applyFill="1" applyBorder="1" applyAlignment="1" applyProtection="1">
      <alignment horizontal="left" wrapText="1"/>
      <protection/>
    </xf>
    <xf numFmtId="174" fontId="1" fillId="3" borderId="2" xfId="0" applyNumberFormat="1" applyFont="1" applyFill="1" applyBorder="1" applyAlignment="1" applyProtection="1">
      <alignment horizontal="left" wrapText="1"/>
      <protection/>
    </xf>
    <xf numFmtId="174" fontId="1" fillId="3" borderId="24" xfId="0" applyNumberFormat="1" applyFont="1" applyFill="1" applyBorder="1" applyAlignment="1" applyProtection="1">
      <alignment horizontal="left" wrapText="1"/>
      <protection/>
    </xf>
    <xf numFmtId="174" fontId="1" fillId="3" borderId="3" xfId="0" applyNumberFormat="1" applyFont="1" applyFill="1" applyBorder="1" applyAlignment="1" applyProtection="1">
      <alignment horizontal="left" wrapText="1"/>
      <protection/>
    </xf>
    <xf numFmtId="0" fontId="0" fillId="3" borderId="13" xfId="0" applyFill="1" applyBorder="1" applyAlignment="1" applyProtection="1">
      <alignment horizontal="left" vertical="top" wrapText="1"/>
      <protection/>
    </xf>
    <xf numFmtId="0" fontId="0" fillId="3" borderId="12"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3" borderId="17"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0" fillId="3" borderId="0" xfId="0" applyFill="1" applyBorder="1" applyAlignment="1">
      <alignment horizontal="center"/>
    </xf>
    <xf numFmtId="0" fontId="0" fillId="3" borderId="18" xfId="0" applyFill="1" applyBorder="1" applyAlignment="1">
      <alignment horizontal="center"/>
    </xf>
    <xf numFmtId="0" fontId="2" fillId="3" borderId="17" xfId="20" applyFill="1" applyBorder="1" applyAlignment="1">
      <alignment horizontal="left"/>
    </xf>
    <xf numFmtId="0" fontId="2" fillId="3" borderId="0" xfId="20" applyFill="1" applyBorder="1" applyAlignment="1">
      <alignment horizontal="left"/>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4" xfId="0" applyFill="1" applyBorder="1" applyAlignment="1">
      <alignment horizontal="left" wrapText="1"/>
    </xf>
    <xf numFmtId="44" fontId="8" fillId="4" borderId="2" xfId="17" applyFont="1" applyFill="1" applyBorder="1" applyAlignment="1" applyProtection="1">
      <alignment horizontal="center" wrapText="1"/>
      <protection/>
    </xf>
    <xf numFmtId="44" fontId="8" fillId="4" borderId="24" xfId="17" applyFont="1" applyFill="1" applyBorder="1" applyAlignment="1" applyProtection="1">
      <alignment horizontal="center" wrapText="1"/>
      <protection/>
    </xf>
    <xf numFmtId="44" fontId="8" fillId="4" borderId="3" xfId="17" applyFont="1" applyFill="1" applyBorder="1" applyAlignment="1" applyProtection="1">
      <alignment horizontal="center" wrapText="1"/>
      <protection/>
    </xf>
    <xf numFmtId="0" fontId="16" fillId="0" borderId="0" xfId="0" applyFont="1" applyAlignment="1">
      <alignment wrapText="1"/>
    </xf>
    <xf numFmtId="49" fontId="0" fillId="3" borderId="1" xfId="0" applyNumberForma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2" borderId="0" xfId="0" applyFont="1" applyFill="1" applyBorder="1" applyAlignment="1" applyProtection="1">
      <alignment horizontal="left" wrapText="1"/>
      <protection/>
    </xf>
    <xf numFmtId="0" fontId="0" fillId="2" borderId="0" xfId="0" applyFont="1" applyFill="1" applyBorder="1" applyAlignment="1">
      <alignment wrapText="1"/>
    </xf>
    <xf numFmtId="0" fontId="26" fillId="2" borderId="0" xfId="0" applyFont="1" applyFill="1" applyBorder="1" applyAlignment="1" applyProtection="1">
      <alignment horizontal="center" wrapText="1"/>
      <protection/>
    </xf>
    <xf numFmtId="0" fontId="25" fillId="2" borderId="0" xfId="0" applyFont="1" applyFill="1" applyBorder="1" applyAlignment="1" applyProtection="1">
      <alignment horizontal="center" wrapText="1"/>
      <protection/>
    </xf>
    <xf numFmtId="0" fontId="25" fillId="2" borderId="0" xfId="0" applyFont="1" applyFill="1" applyBorder="1" applyAlignment="1">
      <alignment horizontal="center" wrapText="1"/>
    </xf>
    <xf numFmtId="0" fontId="0" fillId="2" borderId="0" xfId="0" applyFont="1" applyFill="1" applyBorder="1" applyAlignment="1">
      <alignment horizontal="center" wrapText="1"/>
    </xf>
    <xf numFmtId="0" fontId="1" fillId="2" borderId="0" xfId="0" applyFont="1" applyFill="1" applyBorder="1" applyAlignment="1" applyProtection="1">
      <alignment horizontal="left" wrapText="1"/>
      <protection/>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0" fillId="2" borderId="0" xfId="0" applyFill="1" applyAlignment="1">
      <alignment wrapText="1"/>
    </xf>
    <xf numFmtId="0" fontId="40" fillId="2" borderId="0" xfId="20" applyFont="1" applyFill="1" applyAlignment="1">
      <alignment horizontal="left" wrapText="1"/>
    </xf>
    <xf numFmtId="0" fontId="2" fillId="2" borderId="0" xfId="20" applyFill="1" applyAlignment="1">
      <alignment/>
    </xf>
    <xf numFmtId="0" fontId="0" fillId="2" borderId="0" xfId="0" applyFill="1" applyAlignment="1">
      <alignment/>
    </xf>
    <xf numFmtId="0" fontId="2" fillId="2" borderId="0" xfId="20" applyFill="1" applyAlignment="1">
      <alignment horizontal="left"/>
    </xf>
    <xf numFmtId="0" fontId="2" fillId="2" borderId="0" xfId="20"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2" fillId="2" borderId="0" xfId="20" applyFill="1" applyAlignment="1">
      <alignment wrapText="1"/>
    </xf>
    <xf numFmtId="0" fontId="0" fillId="2" borderId="0" xfId="0" applyNumberFormat="1" applyFont="1" applyFill="1" applyBorder="1" applyAlignment="1">
      <alignment horizontal="left" wrapText="1"/>
    </xf>
    <xf numFmtId="0" fontId="18" fillId="2" borderId="0" xfId="0" applyFont="1" applyFill="1" applyBorder="1" applyAlignment="1">
      <alignment horizontal="left" wrapText="1"/>
    </xf>
    <xf numFmtId="0" fontId="0" fillId="2" borderId="0" xfId="20" applyFont="1" applyFill="1" applyBorder="1" applyAlignment="1">
      <alignment wrapText="1"/>
    </xf>
    <xf numFmtId="0" fontId="2" fillId="2" borderId="0" xfId="20" applyFill="1" applyBorder="1" applyAlignment="1">
      <alignment horizontal="left" wrapText="1"/>
    </xf>
    <xf numFmtId="0" fontId="0" fillId="0" borderId="0" xfId="0" applyAlignment="1">
      <alignment horizontal="left" wrapText="1"/>
    </xf>
    <xf numFmtId="0" fontId="23" fillId="2" borderId="0" xfId="0" applyFont="1" applyFill="1" applyBorder="1" applyAlignment="1">
      <alignment horizontal="left" wrapText="1"/>
    </xf>
    <xf numFmtId="0" fontId="0" fillId="2" borderId="0" xfId="20" applyFont="1" applyFill="1" applyBorder="1" applyAlignment="1">
      <alignment wrapText="1"/>
    </xf>
    <xf numFmtId="0" fontId="0" fillId="0" borderId="8" xfId="0" applyBorder="1" applyAlignment="1">
      <alignment wrapText="1"/>
    </xf>
    <xf numFmtId="0" fontId="22" fillId="2" borderId="0" xfId="0" applyFont="1" applyFill="1" applyBorder="1" applyAlignment="1">
      <alignment horizontal="left" wrapText="1" indent="1"/>
    </xf>
    <xf numFmtId="0" fontId="2" fillId="2" borderId="0" xfId="20" applyFont="1" applyFill="1" applyAlignment="1">
      <alignment horizontal="left" wrapText="1" indent="1"/>
    </xf>
    <xf numFmtId="0" fontId="0" fillId="0" borderId="0" xfId="0" applyAlignment="1">
      <alignment horizontal="left" wrapText="1" indent="1"/>
    </xf>
    <xf numFmtId="0" fontId="2" fillId="2" borderId="0" xfId="20" applyFill="1" applyBorder="1" applyAlignment="1">
      <alignment horizontal="left" vertical="top" wrapText="1" indent="1"/>
    </xf>
    <xf numFmtId="0" fontId="22" fillId="2" borderId="0" xfId="0" applyFont="1" applyFill="1" applyBorder="1" applyAlignment="1">
      <alignment horizontal="left" vertical="center" wrapText="1" indent="1"/>
    </xf>
    <xf numFmtId="0" fontId="2" fillId="2" borderId="0" xfId="20" applyFill="1" applyBorder="1" applyAlignment="1">
      <alignment horizontal="left" wrapText="1" indent="1"/>
    </xf>
    <xf numFmtId="0" fontId="2" fillId="2" borderId="26" xfId="20" applyFont="1" applyFill="1" applyBorder="1" applyAlignment="1">
      <alignment horizontal="left" indent="3"/>
    </xf>
    <xf numFmtId="0" fontId="2" fillId="2" borderId="5" xfId="20" applyFill="1" applyBorder="1" applyAlignment="1">
      <alignment horizontal="left" indent="3"/>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0" fillId="0" borderId="3" xfId="0" applyBorder="1" applyAlignment="1">
      <alignment/>
    </xf>
    <xf numFmtId="0" fontId="0" fillId="0" borderId="15" xfId="0" applyBorder="1" applyAlignment="1">
      <alignment horizontal="left" wrapText="1"/>
    </xf>
    <xf numFmtId="0" fontId="0" fillId="0" borderId="23" xfId="0" applyBorder="1" applyAlignment="1">
      <alignment horizontal="left" wrapText="1"/>
    </xf>
    <xf numFmtId="0" fontId="0" fillId="0" borderId="23" xfId="0" applyBorder="1" applyAlignment="1">
      <alignment horizontal="left" vertical="top" wrapText="1"/>
    </xf>
    <xf numFmtId="0" fontId="0" fillId="0" borderId="15" xfId="0" applyBorder="1" applyAlignment="1">
      <alignment/>
    </xf>
    <xf numFmtId="0" fontId="0" fillId="0" borderId="3" xfId="0" applyBorder="1" applyAlignment="1">
      <alignment horizontal="left"/>
    </xf>
    <xf numFmtId="0" fontId="34" fillId="0" borderId="27" xfId="0" applyFont="1" applyFill="1" applyBorder="1" applyAlignment="1" applyProtection="1">
      <alignment horizontal="left" wrapText="1"/>
      <protection/>
    </xf>
    <xf numFmtId="0" fontId="35" fillId="0" borderId="21" xfId="0" applyFont="1" applyBorder="1" applyAlignment="1" applyProtection="1">
      <alignment horizontal="left" wrapText="1"/>
      <protection/>
    </xf>
    <xf numFmtId="0" fontId="0" fillId="3" borderId="14" xfId="0" applyFill="1" applyBorder="1" applyAlignment="1" applyProtection="1">
      <alignment wrapText="1"/>
      <protection/>
    </xf>
    <xf numFmtId="0" fontId="0" fillId="0" borderId="15" xfId="0" applyBorder="1" applyAlignment="1" applyProtection="1">
      <alignment wrapText="1"/>
      <protection/>
    </xf>
    <xf numFmtId="0" fontId="0" fillId="0" borderId="23" xfId="0" applyBorder="1" applyAlignment="1" applyProtection="1">
      <alignment wrapText="1"/>
      <protection/>
    </xf>
    <xf numFmtId="0" fontId="0" fillId="3" borderId="2" xfId="0" applyFill="1" applyBorder="1" applyAlignment="1" applyProtection="1">
      <alignment/>
      <protection/>
    </xf>
    <xf numFmtId="171" fontId="0" fillId="3" borderId="14" xfId="0" applyNumberFormat="1" applyFill="1" applyBorder="1" applyAlignment="1" applyProtection="1">
      <alignment wrapText="1"/>
      <protection/>
    </xf>
    <xf numFmtId="171" fontId="0" fillId="3" borderId="15" xfId="0" applyNumberFormat="1" applyFill="1" applyBorder="1" applyAlignment="1" applyProtection="1">
      <alignment wrapText="1"/>
      <protection/>
    </xf>
    <xf numFmtId="171" fontId="0" fillId="0" borderId="23" xfId="0" applyNumberFormat="1" applyBorder="1" applyAlignment="1" applyProtection="1">
      <alignment wrapText="1"/>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0" fontId="0" fillId="3" borderId="14" xfId="0" applyFill="1" applyBorder="1" applyAlignment="1" applyProtection="1">
      <alignment vertical="center" wrapText="1"/>
      <protection/>
    </xf>
    <xf numFmtId="0" fontId="0" fillId="3" borderId="15" xfId="0" applyFill="1" applyBorder="1" applyAlignment="1" applyProtection="1">
      <alignment vertical="center" wrapText="1"/>
      <protection/>
    </xf>
    <xf numFmtId="0" fontId="0" fillId="3" borderId="23" xfId="0" applyFill="1" applyBorder="1" applyAlignment="1" applyProtection="1">
      <alignment vertical="center" wrapText="1"/>
      <protection/>
    </xf>
    <xf numFmtId="171" fontId="0" fillId="3" borderId="23" xfId="0" applyNumberFormat="1" applyFill="1" applyBorder="1" applyAlignment="1" applyProtection="1">
      <alignment wrapText="1"/>
      <protection/>
    </xf>
    <xf numFmtId="171" fontId="0" fillId="3" borderId="2" xfId="0" applyNumberFormat="1" applyFill="1" applyBorder="1" applyAlignment="1" applyProtection="1">
      <alignment wrapText="1"/>
      <protection/>
    </xf>
    <xf numFmtId="171" fontId="0" fillId="0" borderId="3" xfId="0" applyNumberFormat="1" applyBorder="1" applyAlignment="1" applyProtection="1">
      <alignment wrapText="1"/>
      <protection/>
    </xf>
    <xf numFmtId="171" fontId="0" fillId="0" borderId="23" xfId="0" applyNumberFormat="1" applyBorder="1" applyAlignment="1" applyProtection="1">
      <alignment/>
      <protection/>
    </xf>
    <xf numFmtId="0" fontId="8" fillId="4" borderId="0" xfId="0" applyFont="1" applyFill="1" applyBorder="1" applyAlignment="1" applyProtection="1">
      <alignment horizontal="left"/>
      <protection/>
    </xf>
    <xf numFmtId="164" fontId="0" fillId="3" borderId="14" xfId="0" applyNumberFormat="1" applyFill="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3" fontId="0" fillId="3" borderId="16" xfId="0" applyNumberFormat="1" applyFill="1" applyBorder="1" applyAlignment="1" applyProtection="1">
      <alignment wrapText="1"/>
      <protection/>
    </xf>
    <xf numFmtId="3" fontId="0" fillId="3" borderId="18" xfId="0" applyNumberFormat="1" applyFill="1" applyBorder="1" applyAlignment="1" applyProtection="1">
      <alignment wrapText="1"/>
      <protection/>
    </xf>
    <xf numFmtId="3" fontId="0" fillId="0" borderId="18" xfId="0" applyNumberFormat="1" applyBorder="1" applyAlignment="1" applyProtection="1">
      <alignment/>
      <protection/>
    </xf>
    <xf numFmtId="164" fontId="0" fillId="3" borderId="14" xfId="0" applyNumberFormat="1" applyFill="1" applyBorder="1" applyAlignment="1" applyProtection="1">
      <alignment/>
      <protection/>
    </xf>
    <xf numFmtId="0" fontId="0" fillId="3" borderId="2" xfId="0" applyFill="1" applyBorder="1" applyAlignment="1" applyProtection="1">
      <alignment wrapText="1"/>
      <protection/>
    </xf>
    <xf numFmtId="0" fontId="0" fillId="3" borderId="3" xfId="0" applyFill="1" applyBorder="1" applyAlignment="1" applyProtection="1">
      <alignment wrapText="1"/>
      <protection/>
    </xf>
    <xf numFmtId="171" fontId="0" fillId="0" borderId="15" xfId="0" applyNumberFormat="1" applyBorder="1" applyAlignment="1" applyProtection="1">
      <alignment wrapText="1"/>
      <protection/>
    </xf>
    <xf numFmtId="0" fontId="0" fillId="3" borderId="15" xfId="0" applyFill="1" applyBorder="1" applyAlignment="1" applyProtection="1">
      <alignment wrapText="1"/>
      <protection/>
    </xf>
    <xf numFmtId="0" fontId="0" fillId="3" borderId="23" xfId="0" applyFill="1" applyBorder="1" applyAlignment="1" applyProtection="1">
      <alignment wrapText="1"/>
      <protection/>
    </xf>
    <xf numFmtId="0" fontId="8" fillId="4" borderId="20" xfId="0" applyFont="1" applyFill="1" applyBorder="1" applyAlignment="1" applyProtection="1">
      <alignment horizontal="left"/>
      <protection/>
    </xf>
    <xf numFmtId="8" fontId="0" fillId="3" borderId="2" xfId="0" applyNumberFormat="1" applyFill="1" applyBorder="1" applyAlignment="1" applyProtection="1">
      <alignment horizontal="left"/>
      <protection/>
    </xf>
    <xf numFmtId="8" fontId="0" fillId="3" borderId="24" xfId="0" applyNumberFormat="1" applyFill="1" applyBorder="1" applyAlignment="1" applyProtection="1">
      <alignment horizontal="left"/>
      <protection/>
    </xf>
    <xf numFmtId="8" fontId="0" fillId="3" borderId="3" xfId="0" applyNumberFormat="1" applyFill="1" applyBorder="1" applyAlignment="1" applyProtection="1">
      <alignment horizontal="left"/>
      <protection/>
    </xf>
    <xf numFmtId="171" fontId="0" fillId="3" borderId="14" xfId="0" applyNumberFormat="1" applyFill="1" applyBorder="1" applyAlignment="1" applyProtection="1">
      <alignment/>
      <protection/>
    </xf>
    <xf numFmtId="171" fontId="0" fillId="3" borderId="15" xfId="0" applyNumberFormat="1" applyFill="1" applyBorder="1" applyAlignment="1" applyProtection="1">
      <alignment/>
      <protection/>
    </xf>
    <xf numFmtId="0" fontId="0" fillId="3" borderId="15" xfId="0" applyFill="1" applyBorder="1" applyAlignment="1" applyProtection="1">
      <alignment/>
      <protection/>
    </xf>
    <xf numFmtId="171" fontId="0" fillId="3" borderId="23" xfId="0" applyNumberFormat="1" applyFill="1" applyBorder="1" applyAlignment="1" applyProtection="1">
      <alignment/>
      <protection/>
    </xf>
    <xf numFmtId="2" fontId="0" fillId="3" borderId="14" xfId="0" applyNumberFormat="1" applyFill="1" applyBorder="1" applyAlignment="1" applyProtection="1">
      <alignment/>
      <protection/>
    </xf>
    <xf numFmtId="2" fontId="0" fillId="3" borderId="15" xfId="0" applyNumberFormat="1" applyFill="1" applyBorder="1" applyAlignment="1" applyProtection="1">
      <alignment/>
      <protection/>
    </xf>
    <xf numFmtId="2" fontId="0" fillId="0" borderId="15" xfId="0" applyNumberFormat="1" applyBorder="1" applyAlignment="1" applyProtection="1">
      <alignment/>
      <protection/>
    </xf>
    <xf numFmtId="0" fontId="1" fillId="7" borderId="2" xfId="0" applyFont="1" applyFill="1" applyBorder="1" applyAlignment="1">
      <alignment horizontal="center"/>
    </xf>
    <xf numFmtId="0" fontId="1" fillId="7" borderId="24" xfId="0" applyFont="1" applyFill="1" applyBorder="1" applyAlignment="1">
      <alignment horizontal="center"/>
    </xf>
    <xf numFmtId="0" fontId="1" fillId="7" borderId="3" xfId="0" applyFont="1" applyFill="1" applyBorder="1" applyAlignment="1">
      <alignment horizontal="center"/>
    </xf>
    <xf numFmtId="0" fontId="0" fillId="3" borderId="19" xfId="0" applyFont="1" applyFill="1" applyBorder="1" applyAlignment="1" applyProtection="1">
      <alignment horizontal="left" wrapText="1"/>
      <protection/>
    </xf>
    <xf numFmtId="0" fontId="0" fillId="3" borderId="20"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7" borderId="2" xfId="0" applyFont="1" applyFill="1" applyBorder="1" applyAlignment="1" applyProtection="1">
      <alignment horizontal="right" wrapText="1"/>
      <protection locked="0"/>
    </xf>
    <xf numFmtId="0" fontId="1" fillId="7" borderId="24" xfId="0" applyFont="1" applyFill="1" applyBorder="1" applyAlignment="1" applyProtection="1">
      <alignment horizontal="right" wrapText="1"/>
      <protection locked="0"/>
    </xf>
    <xf numFmtId="0" fontId="1" fillId="7" borderId="3" xfId="0" applyFont="1" applyFill="1" applyBorder="1" applyAlignment="1" applyProtection="1">
      <alignment horizontal="right" wrapText="1"/>
      <protection locked="0"/>
    </xf>
    <xf numFmtId="49" fontId="0" fillId="7" borderId="2" xfId="0" applyNumberFormat="1" applyFill="1" applyBorder="1" applyAlignment="1" applyProtection="1">
      <alignment horizontal="center"/>
      <protection/>
    </xf>
    <xf numFmtId="0" fontId="0" fillId="7" borderId="2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 Over Ten Years </a:t>
            </a:r>
          </a:p>
        </c:rich>
      </c:tx>
      <c:layout/>
      <c:spPr>
        <a:noFill/>
        <a:ln>
          <a:noFill/>
        </a:ln>
      </c:spPr>
    </c:title>
    <c:plotArea>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axId val="16455031"/>
        <c:axId val="2278892"/>
      </c:lineChart>
      <c:catAx>
        <c:axId val="16455031"/>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2278892"/>
        <c:crosses val="autoZero"/>
        <c:auto val="1"/>
        <c:lblOffset val="100"/>
        <c:noMultiLvlLbl val="0"/>
      </c:catAx>
      <c:valAx>
        <c:axId val="2278892"/>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1645503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Savings of Alternative Scenario and Source Reduction Compared to Baseline Scenario</a:t>
            </a:r>
          </a:p>
        </c:rich>
      </c:tx>
      <c:layout/>
      <c:spPr>
        <a:noFill/>
        <a:ln>
          <a:noFill/>
        </a:ln>
      </c:spPr>
    </c:title>
    <c:plotArea>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35441277"/>
        <c:axId val="51353594"/>
      </c:barChart>
      <c:catAx>
        <c:axId val="35441277"/>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51353594"/>
        <c:crosses val="autoZero"/>
        <c:auto val="1"/>
        <c:lblOffset val="100"/>
        <c:noMultiLvlLbl val="0"/>
      </c:catAx>
      <c:valAx>
        <c:axId val="51353594"/>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3544127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3.emf"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30.emf" /><Relationship Id="rId11" Type="http://schemas.openxmlformats.org/officeDocument/2006/relationships/image" Target="../media/image31.emf" /><Relationship Id="rId12" Type="http://schemas.openxmlformats.org/officeDocument/2006/relationships/image" Target="../media/image17.emf" /><Relationship Id="rId13" Type="http://schemas.openxmlformats.org/officeDocument/2006/relationships/image" Target="../media/image3.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4.emf" /><Relationship Id="rId20" Type="http://schemas.openxmlformats.org/officeDocument/2006/relationships/image" Target="../media/image10.emf" /><Relationship Id="rId21" Type="http://schemas.openxmlformats.org/officeDocument/2006/relationships/image" Target="../media/image2.emf" /><Relationship Id="rId22" Type="http://schemas.openxmlformats.org/officeDocument/2006/relationships/image" Target="../media/image28.emf" /><Relationship Id="rId23" Type="http://schemas.openxmlformats.org/officeDocument/2006/relationships/image" Target="../media/image7.emf" /><Relationship Id="rId24" Type="http://schemas.openxmlformats.org/officeDocument/2006/relationships/image" Target="../media/image25.emf" /><Relationship Id="rId25" Type="http://schemas.openxmlformats.org/officeDocument/2006/relationships/image" Target="../media/image1.emf" /><Relationship Id="rId2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workbookViewId="0" topLeftCell="A1">
      <selection activeCell="A2" sqref="A2:I2"/>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123</v>
      </c>
    </row>
    <row r="2" spans="1:9" ht="39" customHeight="1">
      <c r="A2" s="366" t="s">
        <v>303</v>
      </c>
      <c r="B2" s="367"/>
      <c r="C2" s="367"/>
      <c r="D2" s="367"/>
      <c r="E2" s="367"/>
      <c r="F2" s="367"/>
      <c r="G2" s="367"/>
      <c r="H2" s="367"/>
      <c r="I2" s="368"/>
    </row>
    <row r="3" spans="1:9" ht="84" customHeight="1">
      <c r="A3" s="369" t="s">
        <v>77</v>
      </c>
      <c r="B3" s="356"/>
      <c r="C3" s="356"/>
      <c r="D3" s="356"/>
      <c r="E3" s="356"/>
      <c r="F3" s="356"/>
      <c r="G3" s="356"/>
      <c r="H3" s="356"/>
      <c r="I3" s="357"/>
    </row>
    <row r="4" spans="1:9" ht="44.25" customHeight="1">
      <c r="A4" s="369" t="s">
        <v>353</v>
      </c>
      <c r="B4" s="358"/>
      <c r="C4" s="358"/>
      <c r="D4" s="358"/>
      <c r="E4" s="358"/>
      <c r="F4" s="358"/>
      <c r="G4" s="358"/>
      <c r="H4" s="358"/>
      <c r="I4" s="359"/>
    </row>
    <row r="5" spans="1:9" ht="31.5" customHeight="1">
      <c r="A5" s="369" t="s">
        <v>95</v>
      </c>
      <c r="B5" s="356"/>
      <c r="C5" s="356"/>
      <c r="D5" s="356"/>
      <c r="E5" s="356"/>
      <c r="F5" s="356"/>
      <c r="G5" s="356"/>
      <c r="H5" s="356"/>
      <c r="I5" s="357"/>
    </row>
    <row r="6" spans="1:9" ht="37.5" customHeight="1">
      <c r="A6" s="369" t="s">
        <v>101</v>
      </c>
      <c r="B6" s="356"/>
      <c r="C6" s="356"/>
      <c r="D6" s="356"/>
      <c r="E6" s="356"/>
      <c r="F6" s="356"/>
      <c r="G6" s="356"/>
      <c r="H6" s="356"/>
      <c r="I6" s="357"/>
    </row>
    <row r="7" spans="1:9" ht="33.75" customHeight="1">
      <c r="A7" s="369" t="s">
        <v>45</v>
      </c>
      <c r="B7" s="370"/>
      <c r="C7" s="370"/>
      <c r="D7" s="370"/>
      <c r="E7" s="370"/>
      <c r="F7" s="370"/>
      <c r="G7" s="370"/>
      <c r="H7" s="370"/>
      <c r="I7" s="371"/>
    </row>
    <row r="8" spans="1:9" s="177" customFormat="1" ht="18" customHeight="1">
      <c r="A8" s="369" t="s">
        <v>96</v>
      </c>
      <c r="B8" s="356"/>
      <c r="C8" s="356"/>
      <c r="D8" s="356"/>
      <c r="E8" s="356"/>
      <c r="F8" s="356"/>
      <c r="G8" s="356"/>
      <c r="H8" s="356"/>
      <c r="I8" s="357"/>
    </row>
    <row r="9" spans="1:9" ht="70.5" customHeight="1">
      <c r="A9" s="369" t="s">
        <v>354</v>
      </c>
      <c r="B9" s="370"/>
      <c r="C9" s="370"/>
      <c r="D9" s="370"/>
      <c r="E9" s="370"/>
      <c r="F9" s="370"/>
      <c r="G9" s="370"/>
      <c r="H9" s="370"/>
      <c r="I9" s="371"/>
    </row>
    <row r="10" spans="1:9" ht="30.75" customHeight="1">
      <c r="A10" s="369" t="s">
        <v>97</v>
      </c>
      <c r="B10" s="370"/>
      <c r="C10" s="370"/>
      <c r="D10" s="370"/>
      <c r="E10" s="370"/>
      <c r="F10" s="370"/>
      <c r="G10" s="370"/>
      <c r="H10" s="370"/>
      <c r="I10" s="371"/>
    </row>
    <row r="11" spans="1:9" ht="31.5" customHeight="1">
      <c r="A11" s="369" t="s">
        <v>98</v>
      </c>
      <c r="B11" s="370"/>
      <c r="C11" s="370"/>
      <c r="D11" s="370"/>
      <c r="E11" s="370"/>
      <c r="F11" s="370"/>
      <c r="G11" s="370"/>
      <c r="H11" s="370"/>
      <c r="I11" s="371"/>
    </row>
    <row r="12" spans="1:9" ht="32.25" customHeight="1">
      <c r="A12" s="369" t="s">
        <v>99</v>
      </c>
      <c r="B12" s="356"/>
      <c r="C12" s="356"/>
      <c r="D12" s="356"/>
      <c r="E12" s="356"/>
      <c r="F12" s="356"/>
      <c r="G12" s="356"/>
      <c r="H12" s="356"/>
      <c r="I12" s="357"/>
    </row>
    <row r="13" spans="1:9" ht="17.25" customHeight="1">
      <c r="A13" s="369" t="s">
        <v>100</v>
      </c>
      <c r="B13" s="356"/>
      <c r="C13" s="356"/>
      <c r="D13" s="356"/>
      <c r="E13" s="356"/>
      <c r="F13" s="356"/>
      <c r="G13" s="356"/>
      <c r="H13" s="356"/>
      <c r="I13" s="357"/>
    </row>
    <row r="14" spans="1:9" ht="43.5" customHeight="1">
      <c r="A14" s="369" t="s">
        <v>46</v>
      </c>
      <c r="B14" s="370"/>
      <c r="C14" s="370"/>
      <c r="D14" s="370"/>
      <c r="E14" s="370"/>
      <c r="F14" s="370"/>
      <c r="G14" s="370"/>
      <c r="H14" s="370"/>
      <c r="I14" s="371"/>
    </row>
    <row r="15" spans="1:10" ht="34.5" customHeight="1">
      <c r="A15" s="360" t="s">
        <v>128</v>
      </c>
      <c r="B15" s="361"/>
      <c r="C15" s="361"/>
      <c r="D15" s="361"/>
      <c r="E15" s="361"/>
      <c r="F15" s="361"/>
      <c r="G15" s="361"/>
      <c r="H15" s="361"/>
      <c r="I15" s="362"/>
      <c r="J15" s="30"/>
    </row>
    <row r="16" spans="1:10" ht="17.25" customHeight="1">
      <c r="A16" s="369" t="s">
        <v>92</v>
      </c>
      <c r="B16" s="370"/>
      <c r="C16" s="370"/>
      <c r="D16" s="370"/>
      <c r="E16" s="370"/>
      <c r="F16" s="370"/>
      <c r="G16" s="370"/>
      <c r="H16" s="370"/>
      <c r="I16" s="371"/>
      <c r="J16" s="264"/>
    </row>
    <row r="17" spans="1:10" ht="18" customHeight="1" hidden="1">
      <c r="A17" s="369"/>
      <c r="B17" s="370"/>
      <c r="C17" s="370"/>
      <c r="D17" s="370"/>
      <c r="E17" s="370"/>
      <c r="F17" s="370"/>
      <c r="G17" s="370"/>
      <c r="H17" s="370"/>
      <c r="I17" s="371"/>
      <c r="J17" s="264"/>
    </row>
    <row r="18" spans="1:10" ht="46.5" customHeight="1">
      <c r="A18" s="364"/>
      <c r="B18" s="365"/>
      <c r="C18" s="365"/>
      <c r="D18" s="365"/>
      <c r="E18" s="365"/>
      <c r="F18" s="365"/>
      <c r="G18" s="365"/>
      <c r="H18" s="365"/>
      <c r="I18" s="355"/>
      <c r="J18" s="264"/>
    </row>
  </sheetData>
  <sheetProtection password="E70C" sheet="1" objects="1" scenarios="1"/>
  <mergeCells count="15">
    <mergeCell ref="A15:I15"/>
    <mergeCell ref="A9:I9"/>
    <mergeCell ref="A10:I10"/>
    <mergeCell ref="A7:I7"/>
    <mergeCell ref="A14:I14"/>
    <mergeCell ref="A2:I2"/>
    <mergeCell ref="A16:I18"/>
    <mergeCell ref="A3:I3"/>
    <mergeCell ref="A4:I4"/>
    <mergeCell ref="A5:I5"/>
    <mergeCell ref="A12:I12"/>
    <mergeCell ref="A8:I8"/>
    <mergeCell ref="A6:I6"/>
    <mergeCell ref="A11:I11"/>
    <mergeCell ref="A13:I13"/>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87"/>
      <c r="F6" s="29"/>
    </row>
    <row r="7" spans="1:6" ht="12.75">
      <c r="A7" s="10" t="s">
        <v>419</v>
      </c>
      <c r="B7" s="26" t="s">
        <v>426</v>
      </c>
      <c r="C7" s="80" t="s">
        <v>433</v>
      </c>
      <c r="D7" s="80" t="s">
        <v>15</v>
      </c>
      <c r="E7" s="587"/>
      <c r="F7" s="29"/>
    </row>
    <row r="8" spans="1:6" ht="12.75">
      <c r="A8" s="10" t="s">
        <v>420</v>
      </c>
      <c r="B8" s="26" t="s">
        <v>427</v>
      </c>
      <c r="C8" s="80" t="s">
        <v>434</v>
      </c>
      <c r="D8" s="80" t="s">
        <v>16</v>
      </c>
      <c r="E8" s="587"/>
      <c r="F8" s="29"/>
    </row>
    <row r="9" spans="1:6" ht="12.75">
      <c r="A9" s="10" t="s">
        <v>421</v>
      </c>
      <c r="B9" s="26" t="s">
        <v>428</v>
      </c>
      <c r="C9" s="80" t="s">
        <v>435</v>
      </c>
      <c r="D9" s="80" t="s">
        <v>17</v>
      </c>
      <c r="E9" s="587"/>
      <c r="F9" s="29"/>
    </row>
    <row r="10" spans="1:6" ht="12.75">
      <c r="A10" s="10" t="s">
        <v>422</v>
      </c>
      <c r="B10" s="26" t="s">
        <v>426</v>
      </c>
      <c r="C10" s="80" t="s">
        <v>436</v>
      </c>
      <c r="D10" s="80" t="s">
        <v>18</v>
      </c>
      <c r="E10" s="587"/>
      <c r="F10" s="29"/>
    </row>
    <row r="11" spans="1:6" ht="12.75">
      <c r="A11" s="10" t="s">
        <v>423</v>
      </c>
      <c r="B11" s="26" t="s">
        <v>429</v>
      </c>
      <c r="C11" s="80" t="s">
        <v>437</v>
      </c>
      <c r="D11" s="80" t="s">
        <v>18</v>
      </c>
      <c r="E11" s="588"/>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589"/>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590"/>
      <c r="E27" s="590"/>
    </row>
    <row r="28" spans="1:5" s="30" customFormat="1" ht="25.5">
      <c r="A28" s="84" t="s">
        <v>410</v>
      </c>
      <c r="B28" s="257" t="s">
        <v>531</v>
      </c>
      <c r="C28" s="114">
        <v>1.07</v>
      </c>
      <c r="D28" s="590"/>
      <c r="E28" s="590"/>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9"/>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86"/>
      <c r="E40" s="4"/>
    </row>
    <row r="41" spans="1:5" ht="51" customHeight="1">
      <c r="A41" s="68" t="s">
        <v>478</v>
      </c>
      <c r="B41" s="115">
        <f>9.35*B57</f>
        <v>9.536999999999999</v>
      </c>
      <c r="C41" s="487" t="s">
        <v>5</v>
      </c>
      <c r="D41" s="591"/>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110">
        <v>0.2</v>
      </c>
      <c r="E44" s="4"/>
    </row>
    <row r="45" spans="1:5" ht="12.75">
      <c r="A45" s="68" t="s">
        <v>396</v>
      </c>
      <c r="B45" s="26" t="s">
        <v>402</v>
      </c>
      <c r="C45" s="26" t="s">
        <v>324</v>
      </c>
      <c r="D45" s="110">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sheet="1" objects="1" scenarios="1"/>
  <mergeCells count="21">
    <mergeCell ref="A58:D58"/>
    <mergeCell ref="B55:C55"/>
    <mergeCell ref="B57:C57"/>
    <mergeCell ref="A48:B48"/>
    <mergeCell ref="B49:C49"/>
    <mergeCell ref="B50:C50"/>
    <mergeCell ref="B54:C54"/>
    <mergeCell ref="B53:C53"/>
    <mergeCell ref="B56:C56"/>
    <mergeCell ref="C41:D41"/>
    <mergeCell ref="E22:E24"/>
    <mergeCell ref="B52:C52"/>
    <mergeCell ref="B51:C51"/>
    <mergeCell ref="E26:E28"/>
    <mergeCell ref="A1:C1"/>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592" t="s">
        <v>362</v>
      </c>
      <c r="B1" s="593"/>
      <c r="C1" s="593"/>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258</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259</v>
      </c>
      <c r="F4" s="33" t="s">
        <v>260</v>
      </c>
      <c r="G4" s="33" t="s">
        <v>261</v>
      </c>
      <c r="H4" s="33" t="s">
        <v>262</v>
      </c>
      <c r="I4" s="33" t="s">
        <v>263</v>
      </c>
      <c r="J4" s="33" t="s">
        <v>264</v>
      </c>
      <c r="K4" s="33" t="s">
        <v>265</v>
      </c>
      <c r="L4" s="33" t="s">
        <v>266</v>
      </c>
      <c r="M4" s="33" t="s">
        <v>267</v>
      </c>
      <c r="N4" s="33" t="s">
        <v>268</v>
      </c>
      <c r="O4" s="33" t="s">
        <v>269</v>
      </c>
      <c r="P4" s="33" t="s">
        <v>270</v>
      </c>
      <c r="Q4" s="33" t="s">
        <v>271</v>
      </c>
      <c r="R4" s="33" t="s">
        <v>272</v>
      </c>
      <c r="S4" s="33" t="s">
        <v>273</v>
      </c>
      <c r="T4" s="33" t="s">
        <v>274</v>
      </c>
      <c r="U4" s="33" t="s">
        <v>275</v>
      </c>
      <c r="V4" s="33" t="s">
        <v>276</v>
      </c>
      <c r="W4" s="33" t="s">
        <v>277</v>
      </c>
      <c r="X4" s="33" t="s">
        <v>278</v>
      </c>
      <c r="Y4" s="33" t="s">
        <v>279</v>
      </c>
      <c r="Z4" s="33" t="s">
        <v>280</v>
      </c>
      <c r="AA4" s="33" t="s">
        <v>281</v>
      </c>
      <c r="AB4" s="33" t="s">
        <v>282</v>
      </c>
      <c r="AC4" s="33" t="s">
        <v>283</v>
      </c>
      <c r="AD4" s="33" t="s">
        <v>284</v>
      </c>
      <c r="AE4" s="33" t="s">
        <v>285</v>
      </c>
      <c r="AF4" s="33" t="s">
        <v>286</v>
      </c>
      <c r="AG4" s="33" t="s">
        <v>287</v>
      </c>
      <c r="AH4" s="33" t="s">
        <v>376</v>
      </c>
      <c r="AI4" s="33" t="s">
        <v>401</v>
      </c>
      <c r="AJ4" s="33" t="s">
        <v>448</v>
      </c>
      <c r="AK4" s="33" t="s">
        <v>453</v>
      </c>
      <c r="AL4" s="33" t="s">
        <v>454</v>
      </c>
      <c r="AM4" s="33" t="s">
        <v>457</v>
      </c>
      <c r="AN4" s="33" t="s">
        <v>465</v>
      </c>
      <c r="AO4" s="33" t="s">
        <v>467</v>
      </c>
      <c r="AP4" s="33" t="s">
        <v>468</v>
      </c>
      <c r="AQ4" s="33" t="s">
        <v>469</v>
      </c>
      <c r="AR4" s="33" t="s">
        <v>470</v>
      </c>
      <c r="AS4" s="33" t="s">
        <v>28</v>
      </c>
      <c r="AT4" s="33" t="s">
        <v>29</v>
      </c>
      <c r="AU4" s="33" t="s">
        <v>31</v>
      </c>
      <c r="AV4" s="33" t="s">
        <v>32</v>
      </c>
      <c r="AW4" s="33" t="s">
        <v>33</v>
      </c>
    </row>
    <row r="5" spans="1:49" ht="12.75">
      <c r="A5" s="603" t="s">
        <v>289</v>
      </c>
      <c r="B5" s="32" t="s">
        <v>207</v>
      </c>
      <c r="C5" s="32" t="s">
        <v>213</v>
      </c>
      <c r="D5" s="32" t="s">
        <v>190</v>
      </c>
      <c r="E5" s="32" t="s">
        <v>190</v>
      </c>
      <c r="F5" s="32" t="s">
        <v>190</v>
      </c>
      <c r="G5" s="32" t="s">
        <v>190</v>
      </c>
      <c r="H5" s="32" t="s">
        <v>190</v>
      </c>
      <c r="I5" s="32" t="s">
        <v>190</v>
      </c>
      <c r="J5" s="32" t="s">
        <v>190</v>
      </c>
      <c r="K5" s="32" t="s">
        <v>190</v>
      </c>
      <c r="L5" s="32" t="s">
        <v>190</v>
      </c>
      <c r="M5" s="32" t="s">
        <v>190</v>
      </c>
      <c r="N5" s="32" t="s">
        <v>190</v>
      </c>
      <c r="O5" s="32" t="s">
        <v>190</v>
      </c>
      <c r="P5" s="32" t="s">
        <v>190</v>
      </c>
      <c r="Q5" s="32" t="s">
        <v>190</v>
      </c>
      <c r="R5" s="32" t="s">
        <v>190</v>
      </c>
      <c r="S5" s="32" t="s">
        <v>190</v>
      </c>
      <c r="T5" s="32" t="s">
        <v>190</v>
      </c>
      <c r="U5" s="32" t="s">
        <v>190</v>
      </c>
      <c r="V5" s="32" t="s">
        <v>190</v>
      </c>
      <c r="W5" s="32" t="s">
        <v>190</v>
      </c>
      <c r="X5" s="32" t="s">
        <v>190</v>
      </c>
      <c r="Y5" s="32" t="s">
        <v>190</v>
      </c>
      <c r="Z5" s="32" t="s">
        <v>190</v>
      </c>
      <c r="AA5" s="32" t="s">
        <v>190</v>
      </c>
      <c r="AB5" s="32" t="s">
        <v>190</v>
      </c>
      <c r="AC5" s="77">
        <f>IF(Inputs!J87="N/A","","Outdoor")</f>
      </c>
      <c r="AD5" s="32" t="s">
        <v>190</v>
      </c>
      <c r="AE5" s="32" t="s">
        <v>190</v>
      </c>
      <c r="AF5" s="32" t="s">
        <v>190</v>
      </c>
      <c r="AG5" s="32" t="s">
        <v>190</v>
      </c>
      <c r="AH5" s="32" t="s">
        <v>190</v>
      </c>
      <c r="AI5" s="32" t="s">
        <v>324</v>
      </c>
      <c r="AJ5" s="32" t="s">
        <v>445</v>
      </c>
      <c r="AK5" s="32" t="s">
        <v>190</v>
      </c>
      <c r="AL5" s="32" t="s">
        <v>190</v>
      </c>
      <c r="AM5" s="32" t="s">
        <v>190</v>
      </c>
      <c r="AN5" s="32" t="s">
        <v>190</v>
      </c>
      <c r="AO5" s="32" t="s">
        <v>190</v>
      </c>
      <c r="AP5" s="32" t="s">
        <v>190</v>
      </c>
      <c r="AQ5" s="32" t="s">
        <v>190</v>
      </c>
      <c r="AR5" s="32" t="s">
        <v>471</v>
      </c>
      <c r="AS5" s="32" t="s">
        <v>471</v>
      </c>
      <c r="AT5" s="32" t="s">
        <v>446</v>
      </c>
      <c r="AU5" s="32" t="s">
        <v>446</v>
      </c>
      <c r="AV5" s="32" t="s">
        <v>446</v>
      </c>
      <c r="AW5" s="32" t="s">
        <v>446</v>
      </c>
    </row>
    <row r="6" spans="1:49" ht="12.75">
      <c r="A6" s="604"/>
      <c r="B6" s="32" t="s">
        <v>206</v>
      </c>
      <c r="C6" s="32" t="s">
        <v>214</v>
      </c>
      <c r="D6" s="32" t="s">
        <v>191</v>
      </c>
      <c r="E6" s="32" t="s">
        <v>191</v>
      </c>
      <c r="F6" s="32" t="s">
        <v>191</v>
      </c>
      <c r="G6" s="32" t="s">
        <v>191</v>
      </c>
      <c r="H6" s="32" t="s">
        <v>191</v>
      </c>
      <c r="I6" s="32" t="s">
        <v>191</v>
      </c>
      <c r="J6" s="32" t="s">
        <v>191</v>
      </c>
      <c r="K6" s="32" t="s">
        <v>191</v>
      </c>
      <c r="L6" s="32" t="s">
        <v>191</v>
      </c>
      <c r="M6" s="32" t="s">
        <v>191</v>
      </c>
      <c r="N6" s="32" t="s">
        <v>191</v>
      </c>
      <c r="O6" s="32" t="s">
        <v>191</v>
      </c>
      <c r="P6" s="32" t="s">
        <v>191</v>
      </c>
      <c r="Q6" s="32" t="s">
        <v>191</v>
      </c>
      <c r="R6" s="32" t="s">
        <v>191</v>
      </c>
      <c r="S6" s="32" t="s">
        <v>191</v>
      </c>
      <c r="T6" s="32" t="s">
        <v>191</v>
      </c>
      <c r="U6" s="32" t="s">
        <v>191</v>
      </c>
      <c r="V6" s="32" t="s">
        <v>191</v>
      </c>
      <c r="W6" s="32" t="s">
        <v>191</v>
      </c>
      <c r="X6" s="32" t="s">
        <v>191</v>
      </c>
      <c r="Y6" s="32" t="s">
        <v>191</v>
      </c>
      <c r="Z6" s="32" t="s">
        <v>191</v>
      </c>
      <c r="AA6" s="32" t="s">
        <v>191</v>
      </c>
      <c r="AB6" s="32" t="s">
        <v>191</v>
      </c>
      <c r="AC6" s="77">
        <f>IF(Inputs!J88="N/A","","In-Vessel")</f>
      </c>
      <c r="AD6" s="32" t="s">
        <v>191</v>
      </c>
      <c r="AE6" s="32" t="s">
        <v>191</v>
      </c>
      <c r="AF6" s="32" t="s">
        <v>191</v>
      </c>
      <c r="AG6" s="32" t="s">
        <v>191</v>
      </c>
      <c r="AH6" s="32" t="s">
        <v>191</v>
      </c>
      <c r="AI6" s="32" t="s">
        <v>402</v>
      </c>
      <c r="AJ6" s="32" t="s">
        <v>446</v>
      </c>
      <c r="AK6" s="32" t="s">
        <v>191</v>
      </c>
      <c r="AL6" s="32" t="s">
        <v>191</v>
      </c>
      <c r="AM6" s="32" t="s">
        <v>191</v>
      </c>
      <c r="AN6" s="32" t="s">
        <v>191</v>
      </c>
      <c r="AO6" s="32" t="s">
        <v>191</v>
      </c>
      <c r="AP6" s="32" t="s">
        <v>191</v>
      </c>
      <c r="AQ6" s="32" t="s">
        <v>191</v>
      </c>
      <c r="AR6" s="32" t="s">
        <v>472</v>
      </c>
      <c r="AS6" s="32" t="s">
        <v>472</v>
      </c>
      <c r="AT6" s="32" t="s">
        <v>30</v>
      </c>
      <c r="AU6" s="32" t="s">
        <v>30</v>
      </c>
      <c r="AV6" s="32" t="s">
        <v>30</v>
      </c>
      <c r="AW6" s="32" t="s">
        <v>30</v>
      </c>
    </row>
    <row r="7" spans="1:49" ht="12.75">
      <c r="A7" s="604"/>
      <c r="B7" s="32" t="s">
        <v>208</v>
      </c>
      <c r="C7" s="32" t="s">
        <v>215</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447</v>
      </c>
      <c r="AK7" s="32"/>
      <c r="AL7" s="32"/>
      <c r="AM7" s="32"/>
      <c r="AN7" s="32"/>
      <c r="AO7" s="32"/>
      <c r="AP7" s="32"/>
      <c r="AQ7" s="32"/>
      <c r="AR7" s="32"/>
      <c r="AS7" s="32"/>
      <c r="AT7" s="32" t="s">
        <v>445</v>
      </c>
      <c r="AU7" s="32" t="s">
        <v>445</v>
      </c>
      <c r="AV7" s="32" t="s">
        <v>445</v>
      </c>
      <c r="AW7" s="32" t="s">
        <v>445</v>
      </c>
    </row>
    <row r="8" spans="1:49" ht="12.75">
      <c r="A8" s="604"/>
      <c r="B8" s="32" t="s">
        <v>209</v>
      </c>
      <c r="C8" s="32" t="s">
        <v>296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464</v>
      </c>
      <c r="AK8" s="32"/>
      <c r="AL8" s="32"/>
      <c r="AM8" s="32"/>
      <c r="AN8" s="32"/>
      <c r="AO8" s="32"/>
      <c r="AP8" s="32"/>
      <c r="AQ8" s="32"/>
      <c r="AR8" s="32"/>
      <c r="AS8" s="32"/>
      <c r="AT8" s="32"/>
      <c r="AU8" s="32"/>
      <c r="AV8" s="32"/>
      <c r="AW8" s="32"/>
    </row>
    <row r="9" spans="1:49" ht="12.75">
      <c r="A9" s="604"/>
      <c r="B9" s="32" t="s">
        <v>210</v>
      </c>
      <c r="C9" s="32" t="s">
        <v>216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04"/>
      <c r="B10" s="32" t="s">
        <v>224</v>
      </c>
      <c r="C10" s="32" t="s">
        <v>217</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04"/>
      <c r="B11" s="32" t="s">
        <v>212</v>
      </c>
      <c r="C11" s="32" t="s">
        <v>218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05"/>
      <c r="B12" s="32" t="s">
        <v>211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288</v>
      </c>
      <c r="B13" s="171" t="s">
        <v>207</v>
      </c>
      <c r="C13" s="172" t="s">
        <v>213</v>
      </c>
      <c r="D13" s="171" t="s">
        <v>191</v>
      </c>
      <c r="E13" s="171"/>
      <c r="F13" s="171"/>
      <c r="G13" s="171"/>
      <c r="H13" s="171"/>
      <c r="I13" s="171" t="s">
        <v>191</v>
      </c>
      <c r="J13" s="171"/>
      <c r="K13" s="171"/>
      <c r="L13" s="171"/>
      <c r="M13" s="171"/>
      <c r="N13" s="171"/>
      <c r="O13" s="171" t="s">
        <v>191</v>
      </c>
      <c r="P13" s="171"/>
      <c r="Q13" s="171"/>
      <c r="R13" s="171"/>
      <c r="S13" s="171"/>
      <c r="T13" s="171"/>
      <c r="U13" s="171" t="s">
        <v>191</v>
      </c>
      <c r="V13" s="171"/>
      <c r="W13" s="171" t="s">
        <v>191</v>
      </c>
      <c r="X13" s="171" t="s">
        <v>191</v>
      </c>
      <c r="Y13" s="171"/>
      <c r="Z13" s="171"/>
      <c r="AA13" s="171"/>
      <c r="AB13" s="171"/>
      <c r="AC13" s="171"/>
      <c r="AD13" s="171" t="s">
        <v>191</v>
      </c>
      <c r="AE13" s="171"/>
      <c r="AF13" s="171"/>
      <c r="AG13" s="171"/>
      <c r="AH13" s="171"/>
      <c r="AI13" s="171" t="s">
        <v>324</v>
      </c>
      <c r="AJ13" s="171" t="s">
        <v>446</v>
      </c>
      <c r="AK13" s="171"/>
      <c r="AL13" s="171"/>
      <c r="AM13" s="171"/>
      <c r="AN13" s="171" t="s">
        <v>191</v>
      </c>
      <c r="AO13" s="171"/>
      <c r="AP13" s="171"/>
      <c r="AQ13" s="171"/>
      <c r="AR13" s="171"/>
      <c r="AS13" s="171"/>
      <c r="AT13" s="171"/>
      <c r="AU13" s="171"/>
      <c r="AV13" s="171"/>
      <c r="AW13" s="171"/>
    </row>
    <row r="15" spans="1:2" ht="12.75">
      <c r="A15" s="123" t="s">
        <v>404</v>
      </c>
      <c r="B15" s="124"/>
    </row>
    <row r="16" spans="1:7" ht="12.75">
      <c r="A16" s="597" t="s">
        <v>406</v>
      </c>
      <c r="B16" s="500"/>
      <c r="F16" s="125"/>
      <c r="G16" s="126"/>
    </row>
    <row r="17" spans="1:2" ht="12.75">
      <c r="A17" s="601">
        <f>IF(I29="Disposal",0,IF(H25="With Food Scraps",(Inputs!D13+Inputs!B8*(1-Inputs!B9))*52/2000,Inputs!D13*52/2000))</f>
        <v>0</v>
      </c>
      <c r="B17" s="602"/>
    </row>
    <row r="19" spans="1:8" ht="12.75">
      <c r="A19" s="123" t="s">
        <v>187</v>
      </c>
      <c r="B19" s="124"/>
      <c r="C19" s="124"/>
      <c r="D19" s="124"/>
      <c r="E19" s="124"/>
      <c r="H19" s="126"/>
    </row>
    <row r="20" spans="1:5" ht="38.25">
      <c r="A20" s="122" t="s">
        <v>295</v>
      </c>
      <c r="B20" s="117" t="s">
        <v>363</v>
      </c>
      <c r="C20" s="117" t="s">
        <v>547</v>
      </c>
      <c r="D20" s="122" t="s">
        <v>297</v>
      </c>
      <c r="E20" s="122" t="s">
        <v>288</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521</v>
      </c>
      <c r="B23" s="124"/>
      <c r="C23" s="124"/>
      <c r="D23" s="124"/>
      <c r="E23" s="124"/>
      <c r="F23" s="124"/>
      <c r="G23" s="124"/>
      <c r="H23" s="124"/>
    </row>
    <row r="24" spans="1:41" ht="76.5">
      <c r="A24" s="122" t="s">
        <v>298</v>
      </c>
      <c r="B24" s="122" t="s">
        <v>295</v>
      </c>
      <c r="C24" s="117" t="s">
        <v>558</v>
      </c>
      <c r="D24" s="117" t="s">
        <v>559</v>
      </c>
      <c r="E24" s="117" t="s">
        <v>561</v>
      </c>
      <c r="F24" s="117" t="s">
        <v>302</v>
      </c>
      <c r="G24" s="117" t="s">
        <v>288</v>
      </c>
      <c r="H24" s="117" t="s">
        <v>294</v>
      </c>
      <c r="AO24" s="4" t="e">
        <f>1/0</f>
        <v>#DIV/0!</v>
      </c>
    </row>
    <row r="25" spans="1:8" ht="25.5">
      <c r="A25" s="127" t="s">
        <v>230</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522</v>
      </c>
      <c r="B27" s="124"/>
      <c r="C27" s="124"/>
      <c r="D27" s="124"/>
      <c r="E27" s="124"/>
      <c r="F27" s="124"/>
      <c r="G27" s="124"/>
      <c r="H27" s="124"/>
      <c r="I27" s="124"/>
      <c r="J27" s="124"/>
      <c r="K27" s="124"/>
    </row>
    <row r="28" spans="1:11" ht="89.25">
      <c r="A28" s="122" t="s">
        <v>298</v>
      </c>
      <c r="B28" s="122" t="s">
        <v>295</v>
      </c>
      <c r="C28" s="122" t="s">
        <v>405</v>
      </c>
      <c r="D28" s="117" t="s">
        <v>558</v>
      </c>
      <c r="E28" s="117" t="s">
        <v>559</v>
      </c>
      <c r="F28" s="117" t="s">
        <v>561</v>
      </c>
      <c r="G28" s="117" t="s">
        <v>302</v>
      </c>
      <c r="H28" s="117" t="s">
        <v>387</v>
      </c>
      <c r="I28" s="117" t="s">
        <v>288</v>
      </c>
      <c r="J28" s="117" t="s">
        <v>548</v>
      </c>
      <c r="K28" s="117" t="s">
        <v>140</v>
      </c>
    </row>
    <row r="29" spans="1:11" ht="12.75">
      <c r="A29" s="122" t="s">
        <v>299</v>
      </c>
      <c r="B29" s="122" t="str">
        <f>IF($R$13="Yes","Yes",IF($T$13="Yes","Yes","No"))</f>
        <v>No</v>
      </c>
      <c r="C29" s="132" t="s">
        <v>388</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594">
        <f>IF(AC13="","",AC13)</f>
      </c>
      <c r="I29" s="594" t="str">
        <f>IF(G29=A29,A29,IF(H29="Outdoor",A30,IF(H29="In-Vessel",A31,IF(H29="Off-Site",A32,"Disposal"))))</f>
        <v>Disposal</v>
      </c>
      <c r="J29" s="598">
        <f>IF(I29=A29,D29,IF(I29=A30,D30,IF(I29=A31,D31,IF(I29=A32,D32,C78*F47))))</f>
        <v>0</v>
      </c>
      <c r="K29" s="611">
        <f>IF(K62="Yes"," and Pulp",IF(K65="Yes",IF(I29="Disposal"," and Pulp",""),""))</f>
      </c>
    </row>
    <row r="30" spans="1:11" ht="12.75">
      <c r="A30" s="122" t="s">
        <v>300</v>
      </c>
      <c r="B30" s="122" t="str">
        <f>IF($V$13="Yes","Yes","No")</f>
        <v>No</v>
      </c>
      <c r="C30" s="138" t="s">
        <v>388</v>
      </c>
      <c r="D30" s="133">
        <f>-(((Inputs!D11*(1-Inputs!D12)*'Cost Data'!D44)*Inputs!B86))*52</f>
        <v>0</v>
      </c>
      <c r="E30" s="134">
        <f>E29</f>
        <v>0</v>
      </c>
      <c r="F30" s="122" t="str">
        <f>IF((D30*10+A89*Inputs!D11*(1-Inputs!D12))&gt;E30*10,"No","Yes")</f>
        <v>Yes</v>
      </c>
      <c r="G30" s="122" t="str">
        <f>IF(F30="Yes",IF(B30="Yes",A30,"Disposal"),"Disposal")</f>
        <v>Disposal</v>
      </c>
      <c r="H30" s="595"/>
      <c r="I30" s="621"/>
      <c r="J30" s="599"/>
      <c r="K30" s="612"/>
    </row>
    <row r="31" spans="1:11" ht="12.75">
      <c r="A31" s="122" t="s">
        <v>379</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595"/>
      <c r="I31" s="621"/>
      <c r="J31" s="599"/>
      <c r="K31" s="612"/>
    </row>
    <row r="32" spans="1:11" ht="12.75">
      <c r="A32" s="122" t="s">
        <v>301</v>
      </c>
      <c r="B32" s="122" t="str">
        <f>IF($Z$13="Yes","Yes",IF($AB$13="Yes","Yes","No"))</f>
        <v>No</v>
      </c>
      <c r="C32" s="138" t="s">
        <v>388</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596"/>
      <c r="I32" s="622"/>
      <c r="J32" s="606"/>
      <c r="K32" s="613"/>
    </row>
    <row r="34" spans="1:11" ht="12.75" customHeight="1">
      <c r="A34" s="123" t="s">
        <v>378</v>
      </c>
      <c r="B34" s="124"/>
      <c r="C34" s="124"/>
      <c r="D34" s="124"/>
      <c r="E34" s="124"/>
      <c r="F34" s="124"/>
      <c r="G34" s="124"/>
      <c r="H34" s="124"/>
      <c r="I34" s="124"/>
      <c r="J34" s="124"/>
      <c r="K34" s="124"/>
    </row>
    <row r="35" spans="1:11" ht="89.25">
      <c r="A35" s="122" t="s">
        <v>298</v>
      </c>
      <c r="B35" s="122" t="s">
        <v>295</v>
      </c>
      <c r="C35" s="122" t="s">
        <v>405</v>
      </c>
      <c r="D35" s="117" t="s">
        <v>558</v>
      </c>
      <c r="E35" s="117" t="s">
        <v>559</v>
      </c>
      <c r="F35" s="117" t="s">
        <v>561</v>
      </c>
      <c r="G35" s="117" t="s">
        <v>302</v>
      </c>
      <c r="H35" s="117" t="s">
        <v>387</v>
      </c>
      <c r="I35" s="117" t="s">
        <v>288</v>
      </c>
      <c r="J35" s="117" t="s">
        <v>562</v>
      </c>
      <c r="K35" s="117" t="s">
        <v>140</v>
      </c>
    </row>
    <row r="36" spans="1:11" ht="12.75" customHeight="1">
      <c r="A36" s="122" t="s">
        <v>299</v>
      </c>
      <c r="B36" s="127" t="str">
        <f>B29</f>
        <v>No</v>
      </c>
      <c r="C36" s="139" t="s">
        <v>388</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594">
        <f>IF(AC13="","",AC13)</f>
      </c>
      <c r="I36" s="594" t="str">
        <f>IF(G36=A36,A36,IF(H36="Outdoor",A37,IF(H36="In-Vessel",A38,IF(H36="Off-Site",A39,"Disposal"))))</f>
        <v>Disposal</v>
      </c>
      <c r="J36" s="598">
        <f>IF(I36=A36,D36,IF(I36=A37,D37,IF(I36=A38,D38,IF(I36=A39,D39,(C78+C77)*F47))))</f>
        <v>0</v>
      </c>
      <c r="K36" s="611">
        <f>IF(K63="Yes"," and Pulp",IF(K66="Yes",IF(I36="Disposal"," and Pulp",""),""))</f>
      </c>
    </row>
    <row r="37" spans="1:11" ht="12.75">
      <c r="A37" s="122" t="s">
        <v>300</v>
      </c>
      <c r="B37" s="127" t="str">
        <f>B30</f>
        <v>No</v>
      </c>
      <c r="C37" s="139" t="s">
        <v>388</v>
      </c>
      <c r="D37" s="134">
        <f>-(((Inputs!D11*(1-Inputs!D12))+(Inputs!B8*(1-Inputs!B9)))*'Cost Data'!D44*Inputs!B86)*52</f>
        <v>0</v>
      </c>
      <c r="E37" s="140">
        <f>E36</f>
        <v>0</v>
      </c>
      <c r="F37" s="122" t="str">
        <f>IF(D37*10+A89*((Inputs!D11*(1-Inputs!D12))+(Inputs!B8*(1-Inputs!B9)))&gt;E37*10,"No","Yes")</f>
        <v>Yes</v>
      </c>
      <c r="G37" s="122" t="str">
        <f>IF(F37="Yes",IF(B37="Yes",A37,"Disposal"),"Disposal")</f>
        <v>Disposal</v>
      </c>
      <c r="H37" s="595"/>
      <c r="I37" s="595"/>
      <c r="J37" s="620"/>
      <c r="K37" s="612"/>
    </row>
    <row r="38" spans="1:11" ht="12.75">
      <c r="A38" s="122" t="s">
        <v>379</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595"/>
      <c r="I38" s="595"/>
      <c r="J38" s="620"/>
      <c r="K38" s="612"/>
    </row>
    <row r="39" spans="1:11" ht="12.75">
      <c r="A39" s="122" t="s">
        <v>301</v>
      </c>
      <c r="B39" s="127" t="str">
        <f>B32</f>
        <v>No</v>
      </c>
      <c r="C39" s="139" t="s">
        <v>388</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596"/>
      <c r="I39" s="596"/>
      <c r="J39" s="600"/>
      <c r="K39" s="613"/>
    </row>
    <row r="41" spans="1:10" ht="12.75">
      <c r="A41" s="141" t="s">
        <v>396</v>
      </c>
      <c r="B41" s="124"/>
      <c r="C41" s="124"/>
      <c r="D41" s="124"/>
      <c r="E41" s="124"/>
      <c r="G41" s="142"/>
      <c r="H41" s="142"/>
      <c r="I41" s="143"/>
      <c r="J41" s="144"/>
    </row>
    <row r="42" spans="1:10" ht="38.25">
      <c r="A42" s="122" t="s">
        <v>295</v>
      </c>
      <c r="B42" s="117" t="s">
        <v>364</v>
      </c>
      <c r="C42" s="117" t="s">
        <v>547</v>
      </c>
      <c r="D42" s="117" t="s">
        <v>561</v>
      </c>
      <c r="E42" s="122" t="s">
        <v>288</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460</v>
      </c>
      <c r="B45" s="141"/>
      <c r="C45" s="141"/>
      <c r="D45" s="141"/>
      <c r="E45" s="141"/>
      <c r="F45" s="141"/>
      <c r="H45" s="147"/>
      <c r="I45" s="148"/>
    </row>
    <row r="46" spans="1:6" ht="25.5">
      <c r="A46" s="122" t="s">
        <v>298</v>
      </c>
      <c r="B46" s="149" t="s">
        <v>295</v>
      </c>
      <c r="C46" s="117" t="s">
        <v>449</v>
      </c>
      <c r="D46" s="117" t="s">
        <v>450</v>
      </c>
      <c r="E46" s="117" t="s">
        <v>545</v>
      </c>
      <c r="F46" s="117" t="s">
        <v>546</v>
      </c>
    </row>
    <row r="47" spans="1:7" ht="12.75">
      <c r="A47" s="122" t="s">
        <v>445</v>
      </c>
      <c r="B47" s="149" t="str">
        <f>IF($AJ$13="Flat Fee","Yes","No")</f>
        <v>No</v>
      </c>
      <c r="C47" s="150">
        <f>Inputs!B103</f>
        <v>0</v>
      </c>
      <c r="D47" s="131">
        <v>0</v>
      </c>
      <c r="E47" s="598">
        <f>VLOOKUP("Yes",$B47:C50,2,FALSE)</f>
        <v>0</v>
      </c>
      <c r="F47" s="598">
        <f>VLOOKUP("Yes",$B47:D50,3,FALSE)</f>
        <v>0</v>
      </c>
      <c r="G47" s="151"/>
    </row>
    <row r="48" spans="1:9" ht="12.75">
      <c r="A48" s="122" t="s">
        <v>446</v>
      </c>
      <c r="B48" s="149" t="str">
        <f>IF($AJ$13="By Weight","Yes","No")</f>
        <v>Yes</v>
      </c>
      <c r="C48" s="131">
        <f>Inputs!B110</f>
        <v>0</v>
      </c>
      <c r="D48" s="131">
        <f>Inputs!B106</f>
        <v>0</v>
      </c>
      <c r="E48" s="599"/>
      <c r="F48" s="599"/>
      <c r="H48" s="147"/>
      <c r="I48" s="111"/>
    </row>
    <row r="49" spans="1:8" ht="12.75">
      <c r="A49" s="122" t="s">
        <v>447</v>
      </c>
      <c r="B49" s="149" t="str">
        <f>IF($AJ$13="Per Pull","Yes","No")</f>
        <v>No</v>
      </c>
      <c r="C49" s="131">
        <f>Inputs!B110</f>
        <v>0</v>
      </c>
      <c r="D49" s="131">
        <f>IF(Inputs!B108="",0,IF(Inputs!B108=0,0,Inputs!B107/(Inputs!B108/2000)+Inputs!B113))</f>
        <v>0</v>
      </c>
      <c r="E49" s="599"/>
      <c r="F49" s="599"/>
      <c r="H49" s="148"/>
    </row>
    <row r="50" spans="1:8" ht="12.75">
      <c r="A50" s="122" t="s">
        <v>464</v>
      </c>
      <c r="B50" s="149" t="str">
        <f>IF($AJ$13="In Rent","Yes","No")</f>
        <v>No</v>
      </c>
      <c r="C50" s="150">
        <f>Inputs!B103</f>
        <v>0</v>
      </c>
      <c r="D50" s="131">
        <v>0</v>
      </c>
      <c r="E50" s="600"/>
      <c r="F50" s="600"/>
      <c r="H50" s="151"/>
    </row>
    <row r="52" spans="1:7" ht="12.75" customHeight="1">
      <c r="A52" s="610" t="s">
        <v>543</v>
      </c>
      <c r="B52" s="610"/>
      <c r="C52" s="610"/>
      <c r="D52" s="610"/>
      <c r="E52" s="610"/>
      <c r="F52" s="610"/>
      <c r="G52" s="610"/>
    </row>
    <row r="53" spans="1:11" ht="37.5" customHeight="1">
      <c r="A53" s="122" t="s">
        <v>298</v>
      </c>
      <c r="B53" s="149" t="s">
        <v>462</v>
      </c>
      <c r="C53" s="131" t="s">
        <v>542</v>
      </c>
      <c r="D53" s="618" t="s">
        <v>544</v>
      </c>
      <c r="E53" s="619"/>
      <c r="F53" s="131" t="s">
        <v>288</v>
      </c>
      <c r="G53" s="152"/>
      <c r="I53" s="125"/>
      <c r="J53" s="111"/>
      <c r="K53" s="111"/>
    </row>
    <row r="54" spans="1:9" ht="12.75">
      <c r="A54" s="122" t="s">
        <v>445</v>
      </c>
      <c r="B54" s="617" t="str">
        <f>AJ13</f>
        <v>By Weight</v>
      </c>
      <c r="C54" s="614">
        <f>(Inputs!B6+Inputs!B8+Inputs!B10+Inputs!B12+Inputs!D14)/2000*52</f>
        <v>0</v>
      </c>
      <c r="D54" s="607">
        <f>IF($AK$13="Yes",(Inputs!$B$105)/Lookup!$C$54,0)</f>
        <v>0</v>
      </c>
      <c r="E54" s="608"/>
      <c r="F54" s="598">
        <f>VLOOKUP(B54,A54:E57,4,FALSE)</f>
        <v>0</v>
      </c>
      <c r="G54" s="153"/>
      <c r="I54" s="154"/>
    </row>
    <row r="55" spans="1:9" ht="12.75" customHeight="1">
      <c r="A55" s="122" t="s">
        <v>446</v>
      </c>
      <c r="B55" s="612"/>
      <c r="C55" s="615"/>
      <c r="D55" s="607">
        <f>IF($AM$13="Yes",(Inputs!$B$112)/Lookup!$C$54,0)</f>
        <v>0</v>
      </c>
      <c r="E55" s="608"/>
      <c r="F55" s="599"/>
      <c r="G55" s="153"/>
      <c r="I55" s="111"/>
    </row>
    <row r="56" spans="1:10" ht="12.75" customHeight="1">
      <c r="A56" s="122" t="s">
        <v>447</v>
      </c>
      <c r="B56" s="612"/>
      <c r="C56" s="615"/>
      <c r="D56" s="607">
        <f>IF($AM$13="Yes",(Inputs!$B$112)/Lookup!$C$54,0)</f>
        <v>0</v>
      </c>
      <c r="E56" s="608"/>
      <c r="F56" s="599"/>
      <c r="G56" s="153"/>
      <c r="H56" s="111"/>
      <c r="I56" s="111"/>
      <c r="J56" s="111"/>
    </row>
    <row r="57" spans="1:7" ht="12.75">
      <c r="A57" s="122" t="s">
        <v>464</v>
      </c>
      <c r="B57" s="612"/>
      <c r="C57" s="616"/>
      <c r="D57" s="607">
        <f>IF($AK$13="Yes",(Inputs!$B$105)/Lookup!$C$54,0)</f>
        <v>0</v>
      </c>
      <c r="E57" s="608"/>
      <c r="F57" s="609"/>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298</v>
      </c>
      <c r="B60" s="122" t="s">
        <v>295</v>
      </c>
      <c r="C60" s="117" t="s">
        <v>466</v>
      </c>
      <c r="D60" s="117" t="s">
        <v>137</v>
      </c>
      <c r="E60" s="117" t="s">
        <v>551</v>
      </c>
      <c r="F60" s="117" t="s">
        <v>141</v>
      </c>
      <c r="G60" s="117" t="s">
        <v>549</v>
      </c>
      <c r="H60" s="117" t="s">
        <v>142</v>
      </c>
      <c r="I60" s="117" t="s">
        <v>143</v>
      </c>
      <c r="J60" s="117" t="s">
        <v>561</v>
      </c>
      <c r="K60" s="117" t="s">
        <v>288</v>
      </c>
      <c r="L60" s="117" t="s">
        <v>540</v>
      </c>
      <c r="M60" s="117" t="s">
        <v>539</v>
      </c>
      <c r="N60" s="117" t="s">
        <v>550</v>
      </c>
    </row>
    <row r="61" spans="1:14" ht="12.75">
      <c r="A61" s="157" t="s">
        <v>481</v>
      </c>
      <c r="B61" s="157" t="str">
        <f>IF(C61="None","No",IF($AN$13="Yes",IF($Z$13="Yes",IF($H$36="Off-Site","Yes","No"),"No"),"No"))</f>
        <v>No</v>
      </c>
      <c r="C61" s="631" t="str">
        <f>IF(Inputs!D13&gt;Inputs!B116*'Cost Data'!C23,IF(Inputs!D13&gt;Inputs!B116*'Cost Data'!C27,"None",'Cost Data'!A25),'Cost Data'!A21)</f>
        <v>Small Pulper</v>
      </c>
      <c r="D61" s="627">
        <f>IF(C61="None",0,IF(Lookup!AS13="Finance",Inputs!$B$118,IF(Lookup!C61='Cost Data'!A21,'Cost Data'!C22,'Cost Data'!C26)))</f>
        <v>24062</v>
      </c>
      <c r="E61" s="627">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388</v>
      </c>
      <c r="M61" s="135" t="s">
        <v>388</v>
      </c>
      <c r="N61" s="627">
        <f>IF(Lookup!C61='Cost Data'!A21,'Cost Data'!C22,'Cost Data'!C26)</f>
        <v>24062</v>
      </c>
    </row>
    <row r="62" spans="1:14" ht="12.75">
      <c r="A62" s="157" t="s">
        <v>482</v>
      </c>
      <c r="B62" s="157" t="str">
        <f>IF(C61="None","No",IF($AN$13="Yes",IF($Z$13="Yes",IF(H29="Off-Site","Yes","No"),"No"),"No"))</f>
        <v>No</v>
      </c>
      <c r="C62" s="632"/>
      <c r="D62" s="628"/>
      <c r="E62" s="629"/>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388</v>
      </c>
      <c r="M62" s="135" t="s">
        <v>388</v>
      </c>
      <c r="N62" s="628"/>
    </row>
    <row r="63" spans="1:14" ht="12.75">
      <c r="A63" s="157" t="s">
        <v>483</v>
      </c>
      <c r="B63" s="157" t="str">
        <f>IF(C61="None","No",IF($AN$13="Yes",IF($Z$13="Yes",IF($H$36="Off-Site","Yes","No"),"No"),"No"))</f>
        <v>No</v>
      </c>
      <c r="C63" s="632"/>
      <c r="D63" s="628"/>
      <c r="E63" s="629"/>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388</v>
      </c>
      <c r="M63" s="135" t="s">
        <v>388</v>
      </c>
      <c r="N63" s="628"/>
    </row>
    <row r="64" spans="1:14" ht="12.75">
      <c r="A64" s="152" t="s">
        <v>475</v>
      </c>
      <c r="B64" s="157" t="str">
        <f>IF(C61="None","No",IF($AN$13="Yes","Yes","No"))</f>
        <v>No</v>
      </c>
      <c r="C64" s="633"/>
      <c r="D64" s="612"/>
      <c r="E64" s="627">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612"/>
    </row>
    <row r="65" spans="1:14" ht="12.75">
      <c r="A65" s="122" t="s">
        <v>476</v>
      </c>
      <c r="B65" s="157" t="str">
        <f>IF(C61="None","No",IF($AN$13="Yes","Yes","No"))</f>
        <v>No</v>
      </c>
      <c r="C65" s="612"/>
      <c r="D65" s="612"/>
      <c r="E65" s="628"/>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612"/>
    </row>
    <row r="66" spans="1:14" ht="12.75">
      <c r="A66" s="122" t="s">
        <v>477</v>
      </c>
      <c r="B66" s="157" t="str">
        <f>IF(C61="None","No",IF($AN$13="Yes","Yes","No"))</f>
        <v>No</v>
      </c>
      <c r="C66" s="613"/>
      <c r="D66" s="613"/>
      <c r="E66" s="630"/>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613"/>
    </row>
    <row r="68" spans="1:13" ht="12.75">
      <c r="A68" s="123" t="s">
        <v>491</v>
      </c>
      <c r="B68" s="124"/>
      <c r="C68" s="124"/>
      <c r="D68" s="124"/>
      <c r="E68" s="124"/>
      <c r="F68" s="124"/>
      <c r="G68" s="124"/>
      <c r="H68" s="124"/>
      <c r="I68" s="124"/>
      <c r="J68" s="124"/>
      <c r="K68" s="124"/>
      <c r="L68" s="124"/>
      <c r="M68" s="124"/>
    </row>
    <row r="69" spans="1:13" ht="76.5">
      <c r="A69" s="122" t="s">
        <v>298</v>
      </c>
      <c r="B69" s="122" t="s">
        <v>295</v>
      </c>
      <c r="C69" s="117" t="s">
        <v>405</v>
      </c>
      <c r="D69" s="117" t="s">
        <v>551</v>
      </c>
      <c r="E69" s="117" t="s">
        <v>560</v>
      </c>
      <c r="F69" s="117" t="s">
        <v>536</v>
      </c>
      <c r="G69" s="117" t="s">
        <v>535</v>
      </c>
      <c r="H69" s="117" t="s">
        <v>533</v>
      </c>
      <c r="I69" s="117" t="s">
        <v>538</v>
      </c>
      <c r="J69" s="117" t="s">
        <v>564</v>
      </c>
      <c r="K69" s="117" t="s">
        <v>561</v>
      </c>
      <c r="L69" s="117" t="s">
        <v>288</v>
      </c>
      <c r="M69" s="135" t="s">
        <v>552</v>
      </c>
    </row>
    <row r="70" spans="1:13" ht="12.75">
      <c r="A70" s="157" t="s">
        <v>492</v>
      </c>
      <c r="B70" s="157" t="str">
        <f>IF($W$13="Yes","Yes","No")</f>
        <v>No</v>
      </c>
      <c r="C70" s="627">
        <f>IF(AO13="No",0,IF(Lookup!AR13="Finance",Inputs!$B$71,'Cost Data'!C14))</f>
        <v>39000</v>
      </c>
      <c r="D70" s="627">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11">
        <f>D70*0.5</f>
        <v>0</v>
      </c>
    </row>
    <row r="71" spans="1:13" ht="12.75">
      <c r="A71" s="157" t="s">
        <v>493</v>
      </c>
      <c r="B71" s="157" t="str">
        <f>IF($W$13="Yes","Yes","No")</f>
        <v>No</v>
      </c>
      <c r="C71" s="628"/>
      <c r="D71" s="628"/>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595"/>
    </row>
    <row r="72" spans="1:13" ht="19.5" customHeight="1">
      <c r="A72" s="127" t="s">
        <v>494</v>
      </c>
      <c r="B72" s="127" t="str">
        <f>IF($W$13="Yes","Yes","No")</f>
        <v>No</v>
      </c>
      <c r="C72" s="630"/>
      <c r="D72" s="630"/>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596"/>
    </row>
    <row r="74" spans="1:11" ht="12.75">
      <c r="A74" s="123" t="s">
        <v>497</v>
      </c>
      <c r="B74" s="124"/>
      <c r="C74" s="124"/>
      <c r="D74" s="124"/>
      <c r="E74" s="124"/>
      <c r="F74" s="124"/>
      <c r="K74" s="111"/>
    </row>
    <row r="75" spans="1:8" ht="38.25">
      <c r="A75" s="122" t="s">
        <v>298</v>
      </c>
      <c r="B75" s="117" t="s">
        <v>461</v>
      </c>
      <c r="C75" s="117" t="s">
        <v>501</v>
      </c>
      <c r="D75" s="117" t="s">
        <v>502</v>
      </c>
      <c r="E75" s="117" t="s">
        <v>554</v>
      </c>
      <c r="F75" s="117" t="s">
        <v>537</v>
      </c>
      <c r="H75" s="151"/>
    </row>
    <row r="76" spans="1:6" ht="12.75">
      <c r="A76" s="157" t="s">
        <v>498</v>
      </c>
      <c r="B76" s="159">
        <f>Inputs!B6*52/2000</f>
        <v>0</v>
      </c>
      <c r="C76" s="163">
        <f>B76*(1-Inputs!B7)</f>
        <v>0</v>
      </c>
      <c r="D76" s="164" t="str">
        <f>IF('Cost Calculator'!B16="Disposal","Yes","No")</f>
        <v>Yes</v>
      </c>
      <c r="E76" s="159">
        <f>IF(D76="No",B76,B76-C76)</f>
        <v>0</v>
      </c>
      <c r="F76" s="158">
        <f>E76*$F$54</f>
        <v>0</v>
      </c>
    </row>
    <row r="77" spans="1:6" ht="12.75">
      <c r="A77" s="157" t="s">
        <v>499</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500</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396</v>
      </c>
      <c r="B79" s="161">
        <f>Inputs!B14*52/2000</f>
        <v>0</v>
      </c>
      <c r="C79" s="163">
        <f>B$79</f>
        <v>0</v>
      </c>
      <c r="D79" s="164" t="str">
        <f>IF('Cost Calculator'!B22="Disposal","Yes","No")</f>
        <v>Yes</v>
      </c>
      <c r="E79" s="159">
        <f>IF(D79="No",B79,B79-C79)</f>
        <v>0</v>
      </c>
      <c r="F79" s="158">
        <f>E79*$F$54</f>
        <v>0</v>
      </c>
    </row>
    <row r="80" spans="1:6" ht="12.75">
      <c r="A80" s="165" t="s">
        <v>463</v>
      </c>
      <c r="B80" s="166">
        <f>SUM(B76:B79)</f>
        <v>0</v>
      </c>
      <c r="C80" s="166">
        <f>SUM(C76:C79)</f>
        <v>0</v>
      </c>
      <c r="D80" s="167" t="s">
        <v>388</v>
      </c>
      <c r="E80" s="166">
        <f>SUM(E76:E79)</f>
        <v>0</v>
      </c>
      <c r="F80" s="168">
        <f>E80*$F$54</f>
        <v>0</v>
      </c>
    </row>
    <row r="82" spans="1:3" ht="12.75">
      <c r="A82" s="123" t="s">
        <v>553</v>
      </c>
      <c r="B82" s="124"/>
      <c r="C82" s="124"/>
    </row>
    <row r="83" spans="1:3" ht="12.75">
      <c r="A83" s="122" t="s">
        <v>298</v>
      </c>
      <c r="B83" s="117" t="s">
        <v>492</v>
      </c>
      <c r="C83" s="117" t="s">
        <v>493</v>
      </c>
    </row>
    <row r="84" spans="1:3" ht="12.75">
      <c r="A84" s="127" t="s">
        <v>541</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138</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139</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623" t="s">
        <v>557</v>
      </c>
      <c r="B88" s="623"/>
      <c r="C88" s="623"/>
      <c r="D88" s="623"/>
    </row>
    <row r="89" spans="1:4" ht="12.75">
      <c r="A89" s="624">
        <f>('Cost Data'!$C$37+('Cost Data'!$C$38*10))*52/2000/365</f>
        <v>0.9331506849315069</v>
      </c>
      <c r="B89" s="625"/>
      <c r="C89" s="625"/>
      <c r="D89" s="626"/>
    </row>
  </sheetData>
  <sheetProtection password="98CB" sheet="1" objects="1" scenarios="1"/>
  <mergeCells count="33">
    <mergeCell ref="A88:D88"/>
    <mergeCell ref="A89:D89"/>
    <mergeCell ref="N61:N66"/>
    <mergeCell ref="M70:M72"/>
    <mergeCell ref="D61:D66"/>
    <mergeCell ref="E61:E63"/>
    <mergeCell ref="E64:E66"/>
    <mergeCell ref="C70:C72"/>
    <mergeCell ref="D70:D72"/>
    <mergeCell ref="C61:C66"/>
    <mergeCell ref="K29:K32"/>
    <mergeCell ref="K36:K39"/>
    <mergeCell ref="C54:C57"/>
    <mergeCell ref="B54:B57"/>
    <mergeCell ref="D53:E53"/>
    <mergeCell ref="D54:E54"/>
    <mergeCell ref="D55:E55"/>
    <mergeCell ref="D56:E56"/>
    <mergeCell ref="J36:J39"/>
    <mergeCell ref="I29:I32"/>
    <mergeCell ref="J29:J32"/>
    <mergeCell ref="H29:H32"/>
    <mergeCell ref="H36:H39"/>
    <mergeCell ref="D57:E57"/>
    <mergeCell ref="F54:F57"/>
    <mergeCell ref="A52:G52"/>
    <mergeCell ref="A1:C1"/>
    <mergeCell ref="I36:I39"/>
    <mergeCell ref="A16:B16"/>
    <mergeCell ref="E47:E50"/>
    <mergeCell ref="F47:F50"/>
    <mergeCell ref="A17:B17"/>
    <mergeCell ref="A5:A12"/>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157</v>
      </c>
      <c r="B3" s="179"/>
      <c r="C3" s="186" t="s">
        <v>158</v>
      </c>
      <c r="D3" s="180"/>
      <c r="E3" s="179"/>
      <c r="F3" s="179"/>
      <c r="G3" s="181"/>
    </row>
    <row r="4" spans="1:7" ht="17.25" customHeight="1">
      <c r="A4" s="637" t="s">
        <v>159</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144</v>
      </c>
      <c r="B9" s="178" t="s">
        <v>145</v>
      </c>
      <c r="C9" s="178" t="s">
        <v>146</v>
      </c>
      <c r="D9" s="178" t="s">
        <v>152</v>
      </c>
      <c r="E9" s="178" t="s">
        <v>147</v>
      </c>
      <c r="F9" s="178" t="s">
        <v>148</v>
      </c>
      <c r="G9" s="178" t="s">
        <v>149</v>
      </c>
    </row>
    <row r="10" spans="1:7" ht="12.75">
      <c r="A10" s="644"/>
      <c r="B10" s="645"/>
      <c r="C10" s="645"/>
      <c r="D10" s="645"/>
      <c r="E10" s="634" t="s">
        <v>150</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153</v>
      </c>
      <c r="B36" s="642"/>
      <c r="C36" s="642"/>
      <c r="D36" s="643"/>
      <c r="E36" s="339">
        <f>SUM(E11:E35)</f>
        <v>0</v>
      </c>
      <c r="F36" s="339">
        <f>SUM(F11:F35)</f>
        <v>0</v>
      </c>
      <c r="G36" s="339">
        <f>SUM(G11:G35)</f>
        <v>0</v>
      </c>
    </row>
    <row r="37" spans="1:3" ht="12.75">
      <c r="A37" s="639" t="s">
        <v>151</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workbookViewId="0" topLeftCell="A1">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352</v>
      </c>
    </row>
    <row r="2" spans="1:2" ht="12.75">
      <c r="A2" s="292"/>
      <c r="B2" s="289"/>
    </row>
    <row r="3" spans="1:11" ht="19.5" customHeight="1">
      <c r="A3" s="334" t="s">
        <v>186</v>
      </c>
      <c r="B3" s="290"/>
      <c r="E3" s="389" t="s">
        <v>154</v>
      </c>
      <c r="F3" s="390"/>
      <c r="G3" s="390"/>
      <c r="H3" s="390"/>
      <c r="I3" s="390"/>
      <c r="J3" s="390"/>
      <c r="K3" s="391"/>
    </row>
    <row r="4" spans="1:11" ht="21" customHeight="1">
      <c r="A4" s="336" t="s">
        <v>197</v>
      </c>
      <c r="B4" s="18"/>
      <c r="E4" s="392" t="s">
        <v>156</v>
      </c>
      <c r="F4" s="393"/>
      <c r="G4" s="393"/>
      <c r="H4" s="393"/>
      <c r="I4" s="393"/>
      <c r="J4" s="393"/>
      <c r="K4" s="394"/>
    </row>
    <row r="5" spans="1:11" ht="9.75" customHeight="1" hidden="1">
      <c r="A5" s="336" t="s">
        <v>495</v>
      </c>
      <c r="B5" s="18"/>
      <c r="E5" s="407" t="s">
        <v>155</v>
      </c>
      <c r="F5" s="408"/>
      <c r="G5" s="409"/>
      <c r="H5" s="294"/>
      <c r="I5" s="294"/>
      <c r="J5" s="294"/>
      <c r="K5" s="295"/>
    </row>
    <row r="6" spans="1:11" ht="21" customHeight="1">
      <c r="A6" s="336" t="s">
        <v>372</v>
      </c>
      <c r="B6" s="27">
        <v>0</v>
      </c>
      <c r="E6" s="395" t="s">
        <v>124</v>
      </c>
      <c r="F6" s="396"/>
      <c r="G6" s="396"/>
      <c r="H6" s="396"/>
      <c r="I6" s="396"/>
      <c r="J6" s="396"/>
      <c r="K6" s="397"/>
    </row>
    <row r="7" spans="1:11" ht="19.5" customHeight="1">
      <c r="A7" s="293" t="s">
        <v>359</v>
      </c>
      <c r="B7" s="23">
        <v>0</v>
      </c>
      <c r="E7" s="398"/>
      <c r="F7" s="399"/>
      <c r="G7" s="399"/>
      <c r="H7" s="399"/>
      <c r="I7" s="399"/>
      <c r="J7" s="399"/>
      <c r="K7" s="400"/>
    </row>
    <row r="8" spans="1:11" ht="21" customHeight="1">
      <c r="A8" s="336" t="s">
        <v>517</v>
      </c>
      <c r="B8" s="27">
        <v>0</v>
      </c>
      <c r="C8" s="296"/>
      <c r="D8" s="297"/>
      <c r="E8" s="398"/>
      <c r="F8" s="399"/>
      <c r="G8" s="399"/>
      <c r="H8" s="399"/>
      <c r="I8" s="399"/>
      <c r="J8" s="399"/>
      <c r="K8" s="400"/>
    </row>
    <row r="9" spans="1:11" ht="21" customHeight="1">
      <c r="A9" s="293" t="s">
        <v>518</v>
      </c>
      <c r="B9" s="24">
        <v>0</v>
      </c>
      <c r="C9" s="298"/>
      <c r="D9" s="299"/>
      <c r="E9" s="401"/>
      <c r="F9" s="402"/>
      <c r="G9" s="402"/>
      <c r="H9" s="402"/>
      <c r="I9" s="402"/>
      <c r="J9" s="402"/>
      <c r="K9" s="403"/>
    </row>
    <row r="10" spans="1:11" ht="21" customHeight="1">
      <c r="A10" s="300" t="s">
        <v>7</v>
      </c>
      <c r="B10" s="27">
        <v>0</v>
      </c>
      <c r="C10" s="301"/>
      <c r="D10" s="299"/>
      <c r="E10" s="395" t="s">
        <v>356</v>
      </c>
      <c r="F10" s="396"/>
      <c r="G10" s="396"/>
      <c r="H10" s="396"/>
      <c r="I10" s="396"/>
      <c r="J10" s="396"/>
      <c r="K10" s="397"/>
    </row>
    <row r="11" spans="1:11" ht="21" customHeight="1">
      <c r="A11" s="293" t="s">
        <v>8</v>
      </c>
      <c r="B11" s="23">
        <v>0</v>
      </c>
      <c r="C11" s="301"/>
      <c r="D11" s="302">
        <f>IF(B10+B12=0,0,B10+B12)</f>
        <v>0</v>
      </c>
      <c r="E11" s="398"/>
      <c r="F11" s="399"/>
      <c r="G11" s="399"/>
      <c r="H11" s="399"/>
      <c r="I11" s="399"/>
      <c r="J11" s="399"/>
      <c r="K11" s="400"/>
    </row>
    <row r="12" spans="1:11" ht="21" customHeight="1">
      <c r="A12" s="300" t="s">
        <v>9</v>
      </c>
      <c r="B12" s="27">
        <v>0</v>
      </c>
      <c r="C12" s="301"/>
      <c r="D12" s="303">
        <f>IF(D11=0,0,((B11*B10)+(B13*B12))/(D11))</f>
        <v>0</v>
      </c>
      <c r="E12" s="398"/>
      <c r="F12" s="399"/>
      <c r="G12" s="399"/>
      <c r="H12" s="399"/>
      <c r="I12" s="399"/>
      <c r="J12" s="399"/>
      <c r="K12" s="400"/>
    </row>
    <row r="13" spans="1:11" ht="28.5" customHeight="1">
      <c r="A13" s="293" t="s">
        <v>10</v>
      </c>
      <c r="B13" s="23">
        <v>0</v>
      </c>
      <c r="C13" s="304"/>
      <c r="D13" s="305">
        <f>IF(D11=0,0,D11*(1-D12))</f>
        <v>0</v>
      </c>
      <c r="E13" s="401"/>
      <c r="F13" s="402"/>
      <c r="G13" s="402"/>
      <c r="H13" s="402"/>
      <c r="I13" s="402"/>
      <c r="J13" s="402"/>
      <c r="K13" s="403"/>
    </row>
    <row r="14" spans="1:11" ht="19.5" customHeight="1">
      <c r="A14" s="336" t="s">
        <v>400</v>
      </c>
      <c r="B14" s="85">
        <v>0</v>
      </c>
      <c r="D14" s="306">
        <f>IF(Lookup!AI13="Gallons",Inputs!B14*'Cost Data'!D45,Inputs!B14)</f>
        <v>0</v>
      </c>
      <c r="E14" s="418" t="s">
        <v>355</v>
      </c>
      <c r="F14" s="419"/>
      <c r="G14" s="419"/>
      <c r="H14" s="419"/>
      <c r="I14" s="419"/>
      <c r="J14" s="419"/>
      <c r="K14" s="420"/>
    </row>
    <row r="15" spans="1:11" ht="19.5" customHeight="1">
      <c r="A15" s="336" t="s">
        <v>360</v>
      </c>
      <c r="B15" s="21">
        <v>0</v>
      </c>
      <c r="D15" s="307"/>
      <c r="E15" s="421" t="s">
        <v>58</v>
      </c>
      <c r="F15" s="422"/>
      <c r="G15" s="422"/>
      <c r="H15" s="422"/>
      <c r="I15" s="422"/>
      <c r="J15" s="422"/>
      <c r="K15" s="423"/>
    </row>
    <row r="16" spans="1:11" ht="19.5" customHeight="1">
      <c r="A16" s="336" t="s">
        <v>519</v>
      </c>
      <c r="B16" s="21">
        <v>0</v>
      </c>
      <c r="D16" s="307"/>
      <c r="E16" s="424"/>
      <c r="F16" s="425"/>
      <c r="G16" s="425"/>
      <c r="H16" s="425"/>
      <c r="I16" s="425"/>
      <c r="J16" s="425"/>
      <c r="K16" s="426"/>
    </row>
    <row r="17" spans="1:11" ht="21" customHeight="1">
      <c r="A17" s="337" t="s">
        <v>340</v>
      </c>
      <c r="B17" s="21">
        <v>0</v>
      </c>
      <c r="D17" s="307"/>
      <c r="E17" s="427"/>
      <c r="F17" s="428"/>
      <c r="G17" s="428"/>
      <c r="H17" s="428"/>
      <c r="I17" s="428"/>
      <c r="J17" s="428"/>
      <c r="K17" s="429"/>
    </row>
    <row r="18" spans="1:11" ht="19.5" customHeight="1">
      <c r="A18" s="308" t="s">
        <v>187</v>
      </c>
      <c r="B18" s="36"/>
      <c r="D18" s="307"/>
      <c r="E18" s="301"/>
      <c r="F18" s="309"/>
      <c r="G18" s="309"/>
      <c r="H18" s="309"/>
      <c r="I18" s="294"/>
      <c r="J18" s="294"/>
      <c r="K18" s="295"/>
    </row>
    <row r="19" spans="1:11" ht="19.5" customHeight="1">
      <c r="A19" s="300" t="s">
        <v>189</v>
      </c>
      <c r="B19" s="19"/>
      <c r="C19" s="296"/>
      <c r="D19" s="296"/>
      <c r="E19" s="404" t="s">
        <v>166</v>
      </c>
      <c r="F19" s="405"/>
      <c r="G19" s="405"/>
      <c r="H19" s="405"/>
      <c r="I19" s="405"/>
      <c r="J19" s="405"/>
      <c r="K19" s="406"/>
    </row>
    <row r="20" spans="1:11" ht="28.5" customHeight="1" hidden="1">
      <c r="A20" s="300" t="s">
        <v>225</v>
      </c>
      <c r="B20" s="20"/>
      <c r="C20" s="296"/>
      <c r="D20" s="296"/>
      <c r="E20" s="310"/>
      <c r="F20" s="311"/>
      <c r="G20" s="311"/>
      <c r="H20" s="312"/>
      <c r="I20" s="312"/>
      <c r="J20" s="312"/>
      <c r="K20" s="313"/>
    </row>
    <row r="21" spans="1:11" ht="19.5" customHeight="1" hidden="1">
      <c r="A21" s="300" t="s">
        <v>192</v>
      </c>
      <c r="B21" s="20"/>
      <c r="C21" s="296"/>
      <c r="D21" s="296"/>
      <c r="E21" s="310"/>
      <c r="F21" s="311"/>
      <c r="G21" s="311"/>
      <c r="H21" s="294"/>
      <c r="I21" s="294"/>
      <c r="J21" s="294"/>
      <c r="K21" s="295"/>
    </row>
    <row r="22" spans="1:11" ht="19.5" customHeight="1" hidden="1">
      <c r="A22" s="300" t="s">
        <v>226</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496</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193</v>
      </c>
      <c r="B28" s="20"/>
      <c r="C28" s="296"/>
      <c r="D28" s="296"/>
      <c r="E28" s="301"/>
      <c r="F28" s="309"/>
      <c r="G28" s="309"/>
      <c r="H28" s="294"/>
      <c r="I28" s="294"/>
      <c r="J28" s="294"/>
      <c r="K28" s="295"/>
    </row>
    <row r="29" spans="1:11" ht="19.5" customHeight="1" hidden="1">
      <c r="A29" s="314" t="s">
        <v>228</v>
      </c>
      <c r="B29" s="20"/>
      <c r="C29" s="296"/>
      <c r="D29" s="296"/>
      <c r="E29" s="301"/>
      <c r="F29" s="309"/>
      <c r="G29" s="309"/>
      <c r="H29" s="294"/>
      <c r="I29" s="294"/>
      <c r="J29" s="294"/>
      <c r="K29" s="295"/>
    </row>
    <row r="30" spans="1:11" ht="19.5" customHeight="1" hidden="1">
      <c r="A30" s="314" t="s">
        <v>237</v>
      </c>
      <c r="B30" s="20"/>
      <c r="C30" s="296"/>
      <c r="D30" s="296"/>
      <c r="E30" s="301"/>
      <c r="F30" s="309"/>
      <c r="G30" s="309"/>
      <c r="H30" s="294"/>
      <c r="I30" s="294"/>
      <c r="J30" s="294"/>
      <c r="K30" s="295"/>
    </row>
    <row r="31" spans="1:11" ht="19.5" customHeight="1" hidden="1">
      <c r="A31" s="314" t="s">
        <v>380</v>
      </c>
      <c r="B31" s="87"/>
      <c r="C31" s="296"/>
      <c r="D31" s="296"/>
      <c r="E31" s="341" t="s">
        <v>163</v>
      </c>
      <c r="F31" s="342"/>
      <c r="G31" s="342"/>
      <c r="H31" s="342"/>
      <c r="I31" s="342"/>
      <c r="J31" s="342"/>
      <c r="K31" s="343"/>
    </row>
    <row r="32" spans="1:11" ht="19.5" customHeight="1">
      <c r="A32" s="308" t="s">
        <v>11</v>
      </c>
      <c r="B32" s="36"/>
      <c r="C32" s="296" t="s">
        <v>386</v>
      </c>
      <c r="E32" s="301"/>
      <c r="F32" s="309"/>
      <c r="G32" s="309"/>
      <c r="H32" s="294"/>
      <c r="I32" s="294"/>
      <c r="J32" s="294"/>
      <c r="K32" s="295"/>
    </row>
    <row r="33" spans="1:11" ht="19.5" customHeight="1">
      <c r="A33" s="315" t="s">
        <v>230</v>
      </c>
      <c r="B33" s="34"/>
      <c r="C33" s="296"/>
      <c r="D33" s="288" t="s">
        <v>383</v>
      </c>
      <c r="E33" s="301"/>
      <c r="F33" s="309"/>
      <c r="G33" s="309"/>
      <c r="H33" s="294"/>
      <c r="I33" s="294"/>
      <c r="J33" s="294"/>
      <c r="K33" s="295"/>
    </row>
    <row r="34" spans="1:11" ht="19.5" customHeight="1">
      <c r="A34" s="300" t="s">
        <v>188</v>
      </c>
      <c r="B34" s="19"/>
      <c r="C34" s="288" t="s">
        <v>385</v>
      </c>
      <c r="D34" s="288" t="s">
        <v>384</v>
      </c>
      <c r="E34" s="341" t="s">
        <v>172</v>
      </c>
      <c r="F34" s="375"/>
      <c r="G34" s="375"/>
      <c r="H34" s="375"/>
      <c r="I34" s="375"/>
      <c r="J34" s="375"/>
      <c r="K34" s="376"/>
    </row>
    <row r="35" spans="1:11" ht="25.5" customHeight="1" hidden="1">
      <c r="A35" s="300" t="s">
        <v>515</v>
      </c>
      <c r="B35" s="20"/>
      <c r="E35" s="301"/>
      <c r="F35" s="309"/>
      <c r="G35" s="309"/>
      <c r="H35" s="294"/>
      <c r="I35" s="294"/>
      <c r="J35" s="294"/>
      <c r="K35" s="295"/>
    </row>
    <row r="36" spans="1:11" ht="30" customHeight="1" hidden="1">
      <c r="A36" s="300" t="s">
        <v>516</v>
      </c>
      <c r="B36" s="20"/>
      <c r="C36" s="288" t="s">
        <v>381</v>
      </c>
      <c r="E36" s="316"/>
      <c r="F36" s="317"/>
      <c r="G36" s="317"/>
      <c r="H36" s="312"/>
      <c r="I36" s="312"/>
      <c r="J36" s="312"/>
      <c r="K36" s="313"/>
    </row>
    <row r="37" spans="1:11" ht="19.5" customHeight="1" hidden="1">
      <c r="A37" s="300" t="s">
        <v>196</v>
      </c>
      <c r="B37" s="20"/>
      <c r="D37" s="288" t="s">
        <v>382</v>
      </c>
      <c r="E37" s="301"/>
      <c r="F37" s="309"/>
      <c r="G37" s="309"/>
      <c r="H37" s="294"/>
      <c r="I37" s="294"/>
      <c r="J37" s="294"/>
      <c r="K37" s="295"/>
    </row>
    <row r="38" spans="1:11" ht="19.5" customHeight="1" hidden="1">
      <c r="A38" s="300" t="s">
        <v>231</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490</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227</v>
      </c>
      <c r="B43" s="87"/>
      <c r="E43" s="301"/>
      <c r="F43" s="309"/>
      <c r="G43" s="309"/>
      <c r="H43" s="294"/>
      <c r="I43" s="294"/>
      <c r="J43" s="294"/>
      <c r="K43" s="295"/>
    </row>
    <row r="44" spans="1:11" ht="19.5" customHeight="1" hidden="1">
      <c r="A44" s="300" t="s">
        <v>257</v>
      </c>
      <c r="B44" s="20"/>
      <c r="E44" s="301"/>
      <c r="F44" s="309"/>
      <c r="G44" s="309"/>
      <c r="H44" s="294"/>
      <c r="I44" s="294"/>
      <c r="J44" s="294"/>
      <c r="K44" s="295"/>
    </row>
    <row r="45" spans="1:11" ht="19.5" customHeight="1" hidden="1">
      <c r="A45" s="314" t="s">
        <v>292</v>
      </c>
      <c r="B45" s="35"/>
      <c r="E45" s="301"/>
      <c r="F45" s="309"/>
      <c r="G45" s="309"/>
      <c r="H45" s="294"/>
      <c r="I45" s="294"/>
      <c r="J45" s="294"/>
      <c r="K45" s="295"/>
    </row>
    <row r="46" spans="1:11" ht="19.5" customHeight="1" hidden="1">
      <c r="A46" s="314" t="s">
        <v>237</v>
      </c>
      <c r="B46" s="35"/>
      <c r="E46" s="301"/>
      <c r="F46" s="309"/>
      <c r="G46" s="309"/>
      <c r="H46" s="294"/>
      <c r="I46" s="294"/>
      <c r="J46" s="294"/>
      <c r="K46" s="295"/>
    </row>
    <row r="47" spans="1:11" ht="19.5" customHeight="1" hidden="1">
      <c r="A47" s="314" t="s">
        <v>380</v>
      </c>
      <c r="B47" s="87"/>
      <c r="E47" s="341" t="s">
        <v>48</v>
      </c>
      <c r="F47" s="342"/>
      <c r="G47" s="342"/>
      <c r="H47" s="342"/>
      <c r="I47" s="342"/>
      <c r="J47" s="342"/>
      <c r="K47" s="343"/>
    </row>
    <row r="48" spans="1:11" ht="19.5" customHeight="1">
      <c r="A48" s="315" t="s">
        <v>232</v>
      </c>
      <c r="B48" s="34"/>
      <c r="E48" s="301"/>
      <c r="F48" s="309"/>
      <c r="G48" s="309"/>
      <c r="H48" s="294"/>
      <c r="I48" s="294"/>
      <c r="J48" s="294"/>
      <c r="K48" s="295"/>
    </row>
    <row r="49" spans="1:11" ht="19.5" customHeight="1">
      <c r="A49" s="300" t="s">
        <v>290</v>
      </c>
      <c r="B49" s="20"/>
      <c r="E49" s="404" t="s">
        <v>173</v>
      </c>
      <c r="F49" s="405"/>
      <c r="G49" s="405"/>
      <c r="H49" s="405"/>
      <c r="I49" s="405"/>
      <c r="J49" s="405"/>
      <c r="K49" s="406"/>
    </row>
    <row r="50" spans="1:11" ht="19.5" customHeight="1" hidden="1">
      <c r="A50" s="293" t="s">
        <v>233</v>
      </c>
      <c r="B50" s="20"/>
      <c r="E50" s="301"/>
      <c r="F50" s="309"/>
      <c r="G50" s="309"/>
      <c r="H50" s="294"/>
      <c r="I50" s="294"/>
      <c r="J50" s="294"/>
      <c r="K50" s="295"/>
    </row>
    <row r="51" spans="1:11" ht="19.5" customHeight="1" hidden="1">
      <c r="A51" s="293" t="s">
        <v>234</v>
      </c>
      <c r="B51" s="20"/>
      <c r="E51" s="301"/>
      <c r="F51" s="309"/>
      <c r="G51" s="309"/>
      <c r="H51" s="294"/>
      <c r="I51" s="294"/>
      <c r="J51" s="294"/>
      <c r="K51" s="295"/>
    </row>
    <row r="52" spans="1:11" ht="19.5" customHeight="1" hidden="1">
      <c r="A52" s="300" t="s">
        <v>194</v>
      </c>
      <c r="B52" s="20"/>
      <c r="E52" s="301"/>
      <c r="F52" s="309"/>
      <c r="G52" s="309"/>
      <c r="H52" s="294"/>
      <c r="I52" s="294"/>
      <c r="J52" s="294"/>
      <c r="K52" s="295"/>
    </row>
    <row r="53" spans="1:11" ht="19.5" customHeight="1" hidden="1">
      <c r="A53" s="314" t="s">
        <v>235</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489</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195</v>
      </c>
      <c r="B59" s="20"/>
      <c r="E59" s="301"/>
      <c r="F59" s="309"/>
      <c r="G59" s="309"/>
      <c r="H59" s="294"/>
      <c r="I59" s="294"/>
      <c r="J59" s="294"/>
      <c r="K59" s="295"/>
    </row>
    <row r="60" spans="1:11" ht="19.5" customHeight="1" hidden="1">
      <c r="A60" s="314" t="s">
        <v>236</v>
      </c>
      <c r="B60" s="35"/>
      <c r="E60" s="301"/>
      <c r="F60" s="309"/>
      <c r="G60" s="309"/>
      <c r="H60" s="294"/>
      <c r="I60" s="294"/>
      <c r="J60" s="294"/>
      <c r="K60" s="295"/>
    </row>
    <row r="61" spans="1:11" ht="19.5" customHeight="1" hidden="1">
      <c r="A61" s="314" t="s">
        <v>237</v>
      </c>
      <c r="B61" s="35"/>
      <c r="E61" s="301"/>
      <c r="F61" s="309"/>
      <c r="G61" s="309"/>
      <c r="H61" s="294"/>
      <c r="I61" s="294"/>
      <c r="J61" s="294"/>
      <c r="K61" s="295"/>
    </row>
    <row r="62" spans="1:11" ht="19.5" customHeight="1" hidden="1">
      <c r="A62" s="314" t="s">
        <v>508</v>
      </c>
      <c r="B62" s="87"/>
      <c r="E62" s="301"/>
      <c r="F62" s="309"/>
      <c r="G62" s="309"/>
      <c r="H62" s="294"/>
      <c r="I62" s="294"/>
      <c r="J62" s="294"/>
      <c r="K62" s="295"/>
    </row>
    <row r="63" spans="1:11" ht="19.5" customHeight="1">
      <c r="A63" s="315" t="s">
        <v>238</v>
      </c>
      <c r="B63" s="34"/>
      <c r="E63" s="301"/>
      <c r="F63" s="309"/>
      <c r="G63" s="309"/>
      <c r="H63" s="294"/>
      <c r="I63" s="294"/>
      <c r="J63" s="294"/>
      <c r="K63" s="295"/>
    </row>
    <row r="64" spans="1:11" ht="19.5" customHeight="1">
      <c r="A64" s="314" t="s">
        <v>104</v>
      </c>
      <c r="B64" s="35"/>
      <c r="E64" s="430" t="s">
        <v>105</v>
      </c>
      <c r="F64" s="431"/>
      <c r="G64" s="431"/>
      <c r="H64" s="431"/>
      <c r="I64" s="431"/>
      <c r="J64" s="431"/>
      <c r="K64" s="432"/>
    </row>
    <row r="65" spans="1:11" ht="19.5" customHeight="1" hidden="1">
      <c r="A65" s="314" t="s">
        <v>291</v>
      </c>
      <c r="B65" s="35"/>
      <c r="E65" s="318"/>
      <c r="F65" s="312"/>
      <c r="G65" s="312"/>
      <c r="H65" s="312"/>
      <c r="I65" s="312"/>
      <c r="J65" s="312"/>
      <c r="K65" s="313"/>
    </row>
    <row r="66" spans="1:11" ht="19.5" customHeight="1">
      <c r="A66" s="314" t="s">
        <v>293</v>
      </c>
      <c r="B66" s="20"/>
      <c r="E66" s="341" t="s">
        <v>357</v>
      </c>
      <c r="F66" s="375"/>
      <c r="G66" s="375"/>
      <c r="H66" s="375"/>
      <c r="I66" s="375"/>
      <c r="J66" s="375"/>
      <c r="K66" s="376"/>
    </row>
    <row r="67" spans="1:11" ht="25.5" customHeight="1" hidden="1">
      <c r="A67" s="314" t="s">
        <v>0</v>
      </c>
      <c r="B67" s="20"/>
      <c r="E67" s="347"/>
      <c r="F67" s="345"/>
      <c r="G67" s="345"/>
      <c r="H67" s="345"/>
      <c r="I67" s="345"/>
      <c r="J67" s="345"/>
      <c r="K67" s="344"/>
    </row>
    <row r="68" spans="1:11" ht="25.5" customHeight="1" hidden="1">
      <c r="A68" s="314" t="s">
        <v>1</v>
      </c>
      <c r="B68" s="20"/>
      <c r="E68" s="347"/>
      <c r="F68" s="345"/>
      <c r="G68" s="345"/>
      <c r="H68" s="345"/>
      <c r="I68" s="345"/>
      <c r="J68" s="345"/>
      <c r="K68" s="344"/>
    </row>
    <row r="69" spans="1:11" ht="25.5" customHeight="1" hidden="1">
      <c r="A69" s="314" t="s">
        <v>2</v>
      </c>
      <c r="B69" s="20"/>
      <c r="E69" s="433" t="s">
        <v>358</v>
      </c>
      <c r="F69" s="396"/>
      <c r="G69" s="396"/>
      <c r="H69" s="396"/>
      <c r="I69" s="396"/>
      <c r="J69" s="396"/>
      <c r="K69" s="397"/>
    </row>
    <row r="70" spans="1:11" ht="25.5" customHeight="1" hidden="1">
      <c r="A70" s="314" t="s">
        <v>565</v>
      </c>
      <c r="B70" s="20"/>
      <c r="E70" s="401"/>
      <c r="F70" s="402"/>
      <c r="G70" s="402"/>
      <c r="H70" s="402"/>
      <c r="I70" s="402"/>
      <c r="J70" s="402"/>
      <c r="K70" s="403"/>
    </row>
    <row r="71" spans="1:11" ht="19.5" customHeight="1" hidden="1">
      <c r="A71" s="314" t="s">
        <v>532</v>
      </c>
      <c r="B71" s="116"/>
      <c r="E71" s="386"/>
      <c r="F71" s="387"/>
      <c r="G71" s="387"/>
      <c r="H71" s="387"/>
      <c r="I71" s="387"/>
      <c r="J71" s="387"/>
      <c r="K71" s="388"/>
    </row>
    <row r="72" spans="1:11" ht="19.5" customHeight="1" hidden="1">
      <c r="A72" s="314" t="s">
        <v>473</v>
      </c>
      <c r="B72" s="86"/>
      <c r="E72" s="386"/>
      <c r="F72" s="387"/>
      <c r="G72" s="387"/>
      <c r="H72" s="387"/>
      <c r="I72" s="387"/>
      <c r="J72" s="387"/>
      <c r="K72" s="388"/>
    </row>
    <row r="73" spans="1:11" ht="19.5" customHeight="1" hidden="1">
      <c r="A73" s="314" t="s">
        <v>176</v>
      </c>
      <c r="B73" s="20"/>
      <c r="E73" s="352" t="s">
        <v>177</v>
      </c>
      <c r="F73" s="353"/>
      <c r="G73" s="353"/>
      <c r="H73" s="353"/>
      <c r="I73" s="353"/>
      <c r="J73" s="353"/>
      <c r="K73" s="346"/>
    </row>
    <row r="74" spans="1:11" ht="19.5" customHeight="1">
      <c r="A74" s="314" t="s">
        <v>239</v>
      </c>
      <c r="B74" s="20"/>
      <c r="E74" s="341" t="s">
        <v>64</v>
      </c>
      <c r="F74" s="375"/>
      <c r="G74" s="375"/>
      <c r="H74" s="375"/>
      <c r="I74" s="375"/>
      <c r="J74" s="375"/>
      <c r="K74" s="376"/>
    </row>
    <row r="75" spans="1:11" ht="30" customHeight="1" hidden="1">
      <c r="A75" s="314" t="s">
        <v>240</v>
      </c>
      <c r="B75" s="20"/>
      <c r="E75" s="319"/>
      <c r="F75" s="294"/>
      <c r="G75" s="294"/>
      <c r="H75" s="294"/>
      <c r="I75" s="294"/>
      <c r="J75" s="294"/>
      <c r="K75" s="295"/>
    </row>
    <row r="76" spans="1:11" ht="19.5" customHeight="1" hidden="1">
      <c r="A76" s="314" t="s">
        <v>241</v>
      </c>
      <c r="B76" s="20"/>
      <c r="E76" s="301"/>
      <c r="F76" s="309"/>
      <c r="G76" s="309"/>
      <c r="H76" s="294"/>
      <c r="I76" s="294"/>
      <c r="J76" s="294"/>
      <c r="K76" s="295"/>
    </row>
    <row r="77" spans="1:11" ht="19.5" customHeight="1" hidden="1">
      <c r="A77" s="314" t="s">
        <v>244</v>
      </c>
      <c r="B77" s="20"/>
      <c r="E77" s="301"/>
      <c r="F77" s="309"/>
      <c r="G77" s="309"/>
      <c r="H77" s="294"/>
      <c r="I77" s="294"/>
      <c r="J77" s="294"/>
      <c r="K77" s="295"/>
    </row>
    <row r="78" spans="1:11" ht="19.5" customHeight="1" hidden="1">
      <c r="A78" s="314" t="s">
        <v>20</v>
      </c>
      <c r="B78" s="20"/>
      <c r="E78" s="372" t="s">
        <v>117</v>
      </c>
      <c r="F78" s="373"/>
      <c r="G78" s="373"/>
      <c r="H78" s="373"/>
      <c r="I78" s="373"/>
      <c r="J78" s="373"/>
      <c r="K78" s="374"/>
    </row>
    <row r="79" spans="1:11" ht="19.5" customHeight="1" hidden="1">
      <c r="A79" s="300" t="s">
        <v>484</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245</v>
      </c>
      <c r="B83" s="20"/>
      <c r="E83" s="301"/>
      <c r="F83" s="309"/>
      <c r="G83" s="309"/>
      <c r="H83" s="294"/>
      <c r="I83" s="294"/>
      <c r="J83" s="294"/>
      <c r="K83" s="295"/>
    </row>
    <row r="84" spans="1:11" ht="19.5" customHeight="1" hidden="1">
      <c r="A84" s="314" t="s">
        <v>246</v>
      </c>
      <c r="B84" s="20"/>
      <c r="E84" s="301"/>
      <c r="F84" s="309"/>
      <c r="G84" s="309"/>
      <c r="H84" s="294"/>
      <c r="I84" s="294"/>
      <c r="J84" s="294"/>
      <c r="K84" s="295"/>
    </row>
    <row r="85" spans="1:11" ht="19.5" customHeight="1" hidden="1">
      <c r="A85" s="314" t="s">
        <v>229</v>
      </c>
      <c r="B85" s="20"/>
      <c r="E85" s="301"/>
      <c r="F85" s="309"/>
      <c r="G85" s="309"/>
      <c r="H85" s="294"/>
      <c r="I85" s="294"/>
      <c r="J85" s="294"/>
      <c r="K85" s="295"/>
    </row>
    <row r="86" spans="1:11" ht="21" customHeight="1">
      <c r="A86" s="314" t="s">
        <v>351</v>
      </c>
      <c r="B86" s="25">
        <v>0</v>
      </c>
      <c r="E86" s="352" t="s">
        <v>106</v>
      </c>
      <c r="F86" s="353"/>
      <c r="G86" s="346"/>
      <c r="H86" s="294"/>
      <c r="I86" s="320" t="s">
        <v>377</v>
      </c>
      <c r="J86" s="320" t="s">
        <v>563</v>
      </c>
      <c r="K86" s="320" t="s">
        <v>174</v>
      </c>
    </row>
    <row r="87" spans="1:11" ht="12.75" customHeight="1">
      <c r="A87" s="413" t="s">
        <v>130</v>
      </c>
      <c r="B87" s="416"/>
      <c r="E87" s="377" t="s">
        <v>49</v>
      </c>
      <c r="F87" s="378"/>
      <c r="G87" s="379"/>
      <c r="H87" s="294"/>
      <c r="I87" s="321" t="s">
        <v>373</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414"/>
      <c r="B88" s="416"/>
      <c r="E88" s="380"/>
      <c r="F88" s="381"/>
      <c r="G88" s="382"/>
      <c r="H88" s="294"/>
      <c r="I88" s="321" t="s">
        <v>504</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414"/>
      <c r="B89" s="416"/>
      <c r="E89" s="380"/>
      <c r="F89" s="381"/>
      <c r="G89" s="382"/>
      <c r="H89" s="294"/>
      <c r="I89" s="321" t="s">
        <v>374</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415"/>
      <c r="B90" s="417"/>
      <c r="E90" s="383"/>
      <c r="F90" s="384"/>
      <c r="G90" s="385"/>
      <c r="H90" s="294"/>
      <c r="I90" s="410" t="s">
        <v>108</v>
      </c>
      <c r="J90" s="411"/>
      <c r="K90" s="412"/>
    </row>
    <row r="91" spans="1:11" ht="19.5" customHeight="1">
      <c r="A91" s="308" t="s">
        <v>396</v>
      </c>
      <c r="B91" s="36"/>
      <c r="E91" s="301"/>
      <c r="F91" s="309"/>
      <c r="G91" s="309"/>
      <c r="H91" s="294" t="s">
        <v>375</v>
      </c>
      <c r="I91" s="294"/>
      <c r="J91" s="294"/>
      <c r="K91" s="295"/>
    </row>
    <row r="92" spans="1:11" ht="19.5" customHeight="1">
      <c r="A92" s="300" t="s">
        <v>247</v>
      </c>
      <c r="B92" s="19"/>
      <c r="E92" s="404" t="s">
        <v>65</v>
      </c>
      <c r="F92" s="405"/>
      <c r="G92" s="405"/>
      <c r="H92" s="405"/>
      <c r="I92" s="405"/>
      <c r="J92" s="405"/>
      <c r="K92" s="406"/>
    </row>
    <row r="93" spans="1:11" ht="30" customHeight="1" hidden="1">
      <c r="A93" s="300" t="s">
        <v>395</v>
      </c>
      <c r="B93" s="19"/>
      <c r="D93" s="324"/>
      <c r="E93" s="325"/>
      <c r="F93" s="324"/>
      <c r="G93" s="317"/>
      <c r="H93" s="294"/>
      <c r="I93" s="294"/>
      <c r="J93" s="294"/>
      <c r="K93" s="295"/>
    </row>
    <row r="94" spans="1:11" ht="19.5" customHeight="1" hidden="1">
      <c r="A94" s="300" t="s">
        <v>248</v>
      </c>
      <c r="B94" s="19"/>
      <c r="D94" s="324"/>
      <c r="E94" s="325"/>
      <c r="F94" s="324"/>
      <c r="G94" s="317"/>
      <c r="H94" s="294"/>
      <c r="I94" s="294"/>
      <c r="J94" s="294"/>
      <c r="K94" s="295"/>
    </row>
    <row r="95" spans="1:11" ht="19.5" customHeight="1" hidden="1">
      <c r="A95" s="300" t="s">
        <v>394</v>
      </c>
      <c r="B95" s="18"/>
      <c r="D95" s="324"/>
      <c r="E95" s="325"/>
      <c r="F95" s="324"/>
      <c r="G95" s="317"/>
      <c r="H95" s="294"/>
      <c r="I95" s="294"/>
      <c r="J95" s="294"/>
      <c r="K95" s="295"/>
    </row>
    <row r="96" spans="1:11" ht="19.5" customHeight="1" hidden="1">
      <c r="A96" s="300" t="s">
        <v>227</v>
      </c>
      <c r="B96" s="194"/>
      <c r="D96" s="324"/>
      <c r="E96" s="325"/>
      <c r="F96" s="324"/>
      <c r="G96" s="317"/>
      <c r="H96" s="294"/>
      <c r="I96" s="294"/>
      <c r="J96" s="294"/>
      <c r="K96" s="295"/>
    </row>
    <row r="97" spans="1:11" ht="30" customHeight="1" hidden="1">
      <c r="A97" s="300" t="s">
        <v>398</v>
      </c>
      <c r="B97" s="21"/>
      <c r="D97" s="324"/>
      <c r="E97" s="325"/>
      <c r="F97" s="324"/>
      <c r="G97" s="317"/>
      <c r="H97" s="294"/>
      <c r="I97" s="294"/>
      <c r="J97" s="294"/>
      <c r="K97" s="295"/>
    </row>
    <row r="98" spans="1:11" ht="30" customHeight="1" hidden="1">
      <c r="A98" s="300" t="s">
        <v>249</v>
      </c>
      <c r="B98" s="27"/>
      <c r="D98" s="324"/>
      <c r="E98" s="325"/>
      <c r="F98" s="324"/>
      <c r="G98" s="317"/>
      <c r="H98" s="294"/>
      <c r="I98" s="294"/>
      <c r="J98" s="294"/>
      <c r="K98" s="295"/>
    </row>
    <row r="99" spans="1:11" ht="19.5" customHeight="1" hidden="1">
      <c r="A99" s="300" t="s">
        <v>229</v>
      </c>
      <c r="B99" s="27"/>
      <c r="D99" s="324"/>
      <c r="E99" s="325"/>
      <c r="F99" s="324"/>
      <c r="G99" s="317"/>
      <c r="H99" s="294"/>
      <c r="I99" s="294"/>
      <c r="J99" s="294"/>
      <c r="K99" s="295"/>
    </row>
    <row r="100" spans="1:11" ht="30" customHeight="1" hidden="1">
      <c r="A100" s="300" t="s">
        <v>397</v>
      </c>
      <c r="B100" s="21"/>
      <c r="D100" s="324"/>
      <c r="E100" s="325"/>
      <c r="F100" s="324"/>
      <c r="G100" s="317"/>
      <c r="H100" s="294"/>
      <c r="I100" s="294"/>
      <c r="J100" s="294"/>
      <c r="K100" s="295"/>
    </row>
    <row r="101" spans="1:11" ht="19.5" customHeight="1">
      <c r="A101" s="308" t="s">
        <v>569</v>
      </c>
      <c r="B101" s="36"/>
      <c r="D101" s="324"/>
      <c r="E101" s="325"/>
      <c r="F101" s="324"/>
      <c r="G101" s="309"/>
      <c r="H101" s="294"/>
      <c r="I101" s="294"/>
      <c r="J101" s="294"/>
      <c r="K101" s="295"/>
    </row>
    <row r="102" spans="1:11" ht="19.5" customHeight="1">
      <c r="A102" s="300" t="s">
        <v>442</v>
      </c>
      <c r="B102" s="19"/>
      <c r="E102" s="372" t="s">
        <v>118</v>
      </c>
      <c r="F102" s="373"/>
      <c r="G102" s="373"/>
      <c r="H102" s="373"/>
      <c r="I102" s="373"/>
      <c r="J102" s="373"/>
      <c r="K102" s="374"/>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451</v>
      </c>
      <c r="B106" s="283"/>
      <c r="E106" s="326"/>
      <c r="F106" s="327"/>
      <c r="G106" s="327"/>
      <c r="H106" s="328"/>
      <c r="I106" s="328"/>
      <c r="J106" s="328"/>
      <c r="K106" s="329"/>
    </row>
    <row r="107" spans="1:11" ht="19.5" customHeight="1" hidden="1">
      <c r="A107" s="300" t="s">
        <v>443</v>
      </c>
      <c r="B107" s="194"/>
      <c r="E107" s="326"/>
      <c r="F107" s="327"/>
      <c r="G107" s="327"/>
      <c r="H107" s="328"/>
      <c r="I107" s="328"/>
      <c r="J107" s="328"/>
      <c r="K107" s="329"/>
    </row>
    <row r="108" spans="1:11" ht="20.25" customHeight="1" hidden="1">
      <c r="A108" s="300" t="s">
        <v>452</v>
      </c>
      <c r="B108" s="27"/>
      <c r="E108" s="326"/>
      <c r="F108" s="327"/>
      <c r="G108" s="327"/>
      <c r="H108" s="328"/>
      <c r="I108" s="328"/>
      <c r="J108" s="328"/>
      <c r="K108" s="329"/>
    </row>
    <row r="109" spans="1:11" ht="19.5" customHeight="1">
      <c r="A109" s="300" t="s">
        <v>459</v>
      </c>
      <c r="B109" s="21"/>
      <c r="E109" s="326"/>
      <c r="F109" s="327"/>
      <c r="G109" s="327"/>
      <c r="H109" s="328"/>
      <c r="I109" s="328"/>
      <c r="J109" s="328"/>
      <c r="K109" s="329"/>
    </row>
    <row r="110" spans="1:11" ht="17.25" customHeight="1" hidden="1">
      <c r="A110" s="300" t="s">
        <v>458</v>
      </c>
      <c r="B110" s="194"/>
      <c r="E110" s="326"/>
      <c r="F110" s="327"/>
      <c r="G110" s="327"/>
      <c r="H110" s="328"/>
      <c r="I110" s="328"/>
      <c r="J110" s="328"/>
      <c r="K110" s="329"/>
    </row>
    <row r="111" spans="1:11" ht="19.5" customHeight="1" hidden="1">
      <c r="A111" s="300" t="s">
        <v>455</v>
      </c>
      <c r="B111" s="21"/>
      <c r="E111" s="326"/>
      <c r="F111" s="327"/>
      <c r="G111" s="327"/>
      <c r="H111" s="328"/>
      <c r="I111" s="328"/>
      <c r="J111" s="328"/>
      <c r="K111" s="329"/>
    </row>
    <row r="112" spans="1:11" ht="25.5" customHeight="1" hidden="1">
      <c r="A112" s="300" t="s">
        <v>456</v>
      </c>
      <c r="B112" s="194"/>
      <c r="E112" s="326"/>
      <c r="F112" s="327"/>
      <c r="G112" s="327"/>
      <c r="H112" s="328"/>
      <c r="I112" s="328"/>
      <c r="J112" s="328"/>
      <c r="K112" s="329"/>
    </row>
    <row r="113" spans="1:11" ht="19.5" customHeight="1" hidden="1">
      <c r="A113" s="300" t="s">
        <v>444</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41" t="s">
        <v>50</v>
      </c>
      <c r="F115" s="375"/>
      <c r="G115" s="375"/>
      <c r="H115" s="375"/>
      <c r="I115" s="375"/>
      <c r="J115" s="375"/>
      <c r="K115" s="376"/>
    </row>
    <row r="116" spans="1:11" ht="26.25" customHeight="1" hidden="1">
      <c r="A116" s="300" t="s">
        <v>76</v>
      </c>
      <c r="B116" s="176"/>
      <c r="C116" s="298"/>
      <c r="D116" s="298"/>
      <c r="E116" s="363" t="s">
        <v>59</v>
      </c>
      <c r="F116" s="354"/>
      <c r="G116" s="354"/>
      <c r="H116" s="354"/>
      <c r="I116" s="354"/>
      <c r="J116" s="354"/>
      <c r="K116" s="348"/>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349"/>
      <c r="F117" s="350"/>
      <c r="G117" s="350"/>
      <c r="H117" s="350"/>
      <c r="I117" s="350"/>
      <c r="J117" s="350"/>
      <c r="K117" s="351"/>
    </row>
    <row r="118" spans="1:11" ht="19.5" customHeight="1" hidden="1">
      <c r="A118" s="314" t="s">
        <v>532</v>
      </c>
      <c r="B118" s="87"/>
      <c r="C118" s="298"/>
      <c r="D118" s="330"/>
      <c r="E118" s="331"/>
      <c r="F118" s="332"/>
      <c r="G118" s="332"/>
      <c r="H118" s="332"/>
      <c r="I118" s="332"/>
      <c r="J118" s="332"/>
      <c r="K118" s="333"/>
    </row>
    <row r="119" spans="1:11" ht="19.5" customHeight="1" hidden="1">
      <c r="A119" s="314" t="s">
        <v>474</v>
      </c>
      <c r="B119" s="86"/>
      <c r="C119" s="298"/>
      <c r="D119" s="298"/>
      <c r="E119" s="331"/>
      <c r="F119" s="332"/>
      <c r="G119" s="332"/>
      <c r="H119" s="332"/>
      <c r="I119" s="332"/>
      <c r="J119" s="332"/>
      <c r="K119" s="333"/>
    </row>
    <row r="120" spans="1:11" ht="19.5" customHeight="1" hidden="1">
      <c r="A120" s="314" t="s">
        <v>178</v>
      </c>
      <c r="B120" s="20"/>
      <c r="C120" s="298"/>
      <c r="D120" s="298"/>
      <c r="E120" s="352" t="s">
        <v>177</v>
      </c>
      <c r="F120" s="353"/>
      <c r="G120" s="353"/>
      <c r="H120" s="353"/>
      <c r="I120" s="353"/>
      <c r="J120" s="353"/>
      <c r="K120" s="346"/>
    </row>
    <row r="121" spans="3:11" ht="12.75">
      <c r="C121" s="298"/>
      <c r="D121" s="298"/>
      <c r="E121" s="332"/>
      <c r="F121" s="332"/>
      <c r="G121" s="332"/>
      <c r="H121" s="332"/>
      <c r="I121" s="332"/>
      <c r="J121" s="332"/>
      <c r="K121" s="332"/>
    </row>
  </sheetData>
  <sheetProtection/>
  <mergeCells count="31">
    <mergeCell ref="A87:A90"/>
    <mergeCell ref="B87:B90"/>
    <mergeCell ref="E14:K14"/>
    <mergeCell ref="E15:K17"/>
    <mergeCell ref="E34:K34"/>
    <mergeCell ref="E49:K49"/>
    <mergeCell ref="E64:K64"/>
    <mergeCell ref="E69:K70"/>
    <mergeCell ref="E92:K92"/>
    <mergeCell ref="E66:K66"/>
    <mergeCell ref="E5:G5"/>
    <mergeCell ref="E19:K19"/>
    <mergeCell ref="E74:K74"/>
    <mergeCell ref="I90:K90"/>
    <mergeCell ref="E31:K31"/>
    <mergeCell ref="E71:K71"/>
    <mergeCell ref="E78:K78"/>
    <mergeCell ref="E3:K3"/>
    <mergeCell ref="E4:K4"/>
    <mergeCell ref="E10:K13"/>
    <mergeCell ref="E6:K9"/>
    <mergeCell ref="E116:K117"/>
    <mergeCell ref="E120:K120"/>
    <mergeCell ref="E67:K68"/>
    <mergeCell ref="E47:K47"/>
    <mergeCell ref="E102:K102"/>
    <mergeCell ref="E115:K115"/>
    <mergeCell ref="E87:G90"/>
    <mergeCell ref="E72:K72"/>
    <mergeCell ref="E73:K73"/>
    <mergeCell ref="E86:G86"/>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70" t="s">
        <v>303</v>
      </c>
      <c r="B1" s="470"/>
      <c r="C1" s="470"/>
      <c r="D1" s="470"/>
      <c r="E1" s="470"/>
      <c r="F1" s="470"/>
    </row>
    <row r="2" spans="3:6" ht="12.75">
      <c r="C2" s="434" t="s">
        <v>129</v>
      </c>
      <c r="D2" s="434"/>
      <c r="E2" s="434"/>
      <c r="F2" s="434"/>
    </row>
    <row r="3" spans="1:10" ht="12.75" customHeight="1">
      <c r="A3" s="462" t="s">
        <v>255</v>
      </c>
      <c r="B3" s="463"/>
      <c r="C3" s="265" t="s">
        <v>219</v>
      </c>
      <c r="D3" s="265" t="s">
        <v>220</v>
      </c>
      <c r="E3" s="265" t="s">
        <v>221</v>
      </c>
      <c r="F3" s="266" t="s">
        <v>222</v>
      </c>
      <c r="G3" s="192"/>
      <c r="H3" s="444" t="s">
        <v>60</v>
      </c>
      <c r="I3" s="445"/>
      <c r="J3" s="446"/>
    </row>
    <row r="4" spans="1:10" ht="12.75">
      <c r="A4" s="464" t="s">
        <v>392</v>
      </c>
      <c r="B4" s="464"/>
      <c r="C4" s="173">
        <f>((Inputs!B6/2000)*Lookup!F47*52)</f>
        <v>0</v>
      </c>
      <c r="D4" s="212">
        <f>C4*3</f>
        <v>0</v>
      </c>
      <c r="E4" s="212">
        <f>C4*6</f>
        <v>0</v>
      </c>
      <c r="F4" s="212">
        <f>C4*10</f>
        <v>0</v>
      </c>
      <c r="H4" s="447"/>
      <c r="I4" s="448"/>
      <c r="J4" s="449"/>
    </row>
    <row r="5" spans="1:10" ht="12.75">
      <c r="A5" s="465" t="s">
        <v>523</v>
      </c>
      <c r="B5" s="465"/>
      <c r="C5" s="173">
        <f>((Inputs!B8/2000)*52*Lookup!F47)</f>
        <v>0</v>
      </c>
      <c r="D5" s="212">
        <f>C5*3</f>
        <v>0</v>
      </c>
      <c r="E5" s="212">
        <f>C5*6</f>
        <v>0</v>
      </c>
      <c r="F5" s="212">
        <f>C5*10</f>
        <v>0</v>
      </c>
      <c r="H5" s="447"/>
      <c r="I5" s="448"/>
      <c r="J5" s="449"/>
    </row>
    <row r="6" spans="1:10" ht="12.75" customHeight="1">
      <c r="A6" s="465" t="s">
        <v>121</v>
      </c>
      <c r="B6" s="465"/>
      <c r="C6" s="173">
        <f>(Inputs!B10+Inputs!B12)*52/2000*Lookup!F47</f>
        <v>0</v>
      </c>
      <c r="D6" s="212">
        <f>C6*3</f>
        <v>0</v>
      </c>
      <c r="E6" s="212">
        <f>C6*6</f>
        <v>0</v>
      </c>
      <c r="F6" s="212">
        <f>C6*10</f>
        <v>0</v>
      </c>
      <c r="H6" s="447"/>
      <c r="I6" s="448"/>
      <c r="J6" s="449"/>
    </row>
    <row r="7" spans="1:10" ht="12.75">
      <c r="A7" s="464" t="s">
        <v>396</v>
      </c>
      <c r="B7" s="464"/>
      <c r="C7" s="173">
        <f>((Inputs!$D$14/2000)*52*Lookup!F$47)</f>
        <v>0</v>
      </c>
      <c r="D7" s="212">
        <f>C7*3</f>
        <v>0</v>
      </c>
      <c r="E7" s="212">
        <f>C7*6</f>
        <v>0</v>
      </c>
      <c r="F7" s="212">
        <f>C7*10</f>
        <v>0</v>
      </c>
      <c r="H7" s="450"/>
      <c r="I7" s="451"/>
      <c r="J7" s="452"/>
    </row>
    <row r="8" spans="1:10" ht="12.75">
      <c r="A8" s="464" t="s">
        <v>62</v>
      </c>
      <c r="B8" s="464"/>
      <c r="C8" s="173">
        <f>Lookup!E47</f>
        <v>0</v>
      </c>
      <c r="D8" s="212">
        <f>C8*3</f>
        <v>0</v>
      </c>
      <c r="E8" s="212">
        <f>C8*6</f>
        <v>0</v>
      </c>
      <c r="F8" s="212">
        <f>C8*10</f>
        <v>0</v>
      </c>
      <c r="H8" s="193"/>
      <c r="I8" s="193"/>
      <c r="J8" s="193"/>
    </row>
    <row r="9" spans="1:10" ht="12.75">
      <c r="A9" s="466" t="s">
        <v>391</v>
      </c>
      <c r="B9" s="466"/>
      <c r="C9" s="168">
        <f>SUM(C4:C8)</f>
        <v>0</v>
      </c>
      <c r="D9" s="168">
        <f>SUM(D4:D8)</f>
        <v>0</v>
      </c>
      <c r="E9" s="168">
        <f>SUM(E4:E8)</f>
        <v>0</v>
      </c>
      <c r="F9" s="168">
        <f>SUM(F4:F8)</f>
        <v>0</v>
      </c>
      <c r="H9" s="193"/>
      <c r="I9" s="193"/>
      <c r="J9" s="193"/>
    </row>
    <row r="10" spans="2:4" ht="12.75">
      <c r="B10" s="7"/>
      <c r="C10" s="4"/>
      <c r="D10" s="340"/>
    </row>
    <row r="11" spans="1:10" ht="39" customHeight="1">
      <c r="A11" s="471" t="s">
        <v>370</v>
      </c>
      <c r="B11" s="472"/>
      <c r="C11" s="265" t="s">
        <v>219</v>
      </c>
      <c r="D11" s="265" t="s">
        <v>220</v>
      </c>
      <c r="E11" s="265" t="s">
        <v>221</v>
      </c>
      <c r="F11" s="266" t="s">
        <v>222</v>
      </c>
      <c r="H11" s="453" t="s">
        <v>66</v>
      </c>
      <c r="I11" s="454"/>
      <c r="J11" s="455"/>
    </row>
    <row r="12" spans="1:10" ht="12.75">
      <c r="A12" s="466" t="s">
        <v>404</v>
      </c>
      <c r="B12" s="466"/>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56"/>
      <c r="I12" s="457"/>
      <c r="J12" s="458"/>
    </row>
    <row r="13" spans="1:10" ht="12.75">
      <c r="A13" s="466" t="s">
        <v>137</v>
      </c>
      <c r="B13" s="466"/>
      <c r="C13" s="213">
        <f>IF(Lookup!K29=" and Pulp",Lookup!D61,IF(Lookup!K36=" and Pulp",Lookup!D61,0))</f>
        <v>0</v>
      </c>
      <c r="D13" s="213">
        <f>C13</f>
        <v>0</v>
      </c>
      <c r="E13" s="214">
        <f>C13</f>
        <v>0</v>
      </c>
      <c r="F13" s="214">
        <f>C13</f>
        <v>0</v>
      </c>
      <c r="H13" s="456"/>
      <c r="I13" s="457"/>
      <c r="J13" s="458"/>
    </row>
    <row r="14" spans="1:10" ht="12.75">
      <c r="A14" s="466" t="s">
        <v>503</v>
      </c>
      <c r="B14" s="466"/>
      <c r="C14" s="213">
        <f>IF(B20="In-Vessel Compost",Lookup!C70,0)</f>
        <v>0</v>
      </c>
      <c r="D14" s="213">
        <f>C14</f>
        <v>0</v>
      </c>
      <c r="E14" s="214">
        <f>C14</f>
        <v>0</v>
      </c>
      <c r="F14" s="214">
        <f>C14</f>
        <v>0</v>
      </c>
      <c r="H14" s="456"/>
      <c r="I14" s="457"/>
      <c r="J14" s="458"/>
    </row>
    <row r="15" spans="1:10" ht="12.75">
      <c r="A15" s="469" t="s">
        <v>393</v>
      </c>
      <c r="B15" s="469"/>
      <c r="C15" s="213"/>
      <c r="D15" s="213"/>
      <c r="E15" s="214"/>
      <c r="F15" s="214"/>
      <c r="H15" s="456"/>
      <c r="I15" s="457"/>
      <c r="J15" s="458"/>
    </row>
    <row r="16" spans="1:10" ht="12.75">
      <c r="A16" s="233" t="s">
        <v>89</v>
      </c>
      <c r="B16" s="245" t="str">
        <f>Lookup!E21</f>
        <v>Disposal</v>
      </c>
      <c r="C16" s="216">
        <f>IF(Lookup!E21="Disposal",Lookup!C21,IF(Lookup!E21="Food Bank",Lookup!B21,"Error"))</f>
        <v>0</v>
      </c>
      <c r="D16" s="215">
        <f>C16*3</f>
        <v>0</v>
      </c>
      <c r="E16" s="216">
        <f>C16*6</f>
        <v>0</v>
      </c>
      <c r="F16" s="216">
        <f>C16*10</f>
        <v>0</v>
      </c>
      <c r="H16" s="456"/>
      <c r="I16" s="457"/>
      <c r="J16" s="458"/>
    </row>
    <row r="17" spans="1:10" ht="12.75">
      <c r="A17" s="467" t="s">
        <v>523</v>
      </c>
      <c r="B17" s="467"/>
      <c r="C17" s="213"/>
      <c r="D17" s="213"/>
      <c r="E17" s="214"/>
      <c r="F17" s="214"/>
      <c r="H17" s="456"/>
      <c r="I17" s="457"/>
      <c r="J17" s="458"/>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56"/>
      <c r="I18" s="457"/>
      <c r="J18" s="458"/>
    </row>
    <row r="19" spans="1:10" ht="12.75">
      <c r="A19" s="467" t="s">
        <v>121</v>
      </c>
      <c r="B19" s="467"/>
      <c r="C19" s="213"/>
      <c r="D19" s="213"/>
      <c r="E19" s="214"/>
      <c r="F19" s="214"/>
      <c r="H19" s="456"/>
      <c r="I19" s="457"/>
      <c r="J19" s="458"/>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56"/>
      <c r="I20" s="457"/>
      <c r="J20" s="458"/>
    </row>
    <row r="21" spans="1:10" ht="12.75">
      <c r="A21" s="467" t="s">
        <v>396</v>
      </c>
      <c r="B21" s="467"/>
      <c r="C21" s="213"/>
      <c r="D21" s="213"/>
      <c r="E21" s="214"/>
      <c r="F21" s="214"/>
      <c r="H21" s="459"/>
      <c r="I21" s="460"/>
      <c r="J21" s="461"/>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68" t="s">
        <v>62</v>
      </c>
      <c r="B23" s="468"/>
      <c r="C23" s="215">
        <f>C8-Lookup!F80-IF(B18="Disposal and Pulp",Lookup!L64,0)-IF(B20="Disposal and Pulp",Lookup!L65,0)</f>
        <v>0</v>
      </c>
      <c r="D23" s="215">
        <f>C23*3</f>
        <v>0</v>
      </c>
      <c r="E23" s="215">
        <f>C23*6</f>
        <v>0</v>
      </c>
      <c r="F23" s="215">
        <f>C23*10</f>
        <v>0</v>
      </c>
    </row>
    <row r="24" spans="1:9" ht="12.75">
      <c r="A24" s="466" t="s">
        <v>256</v>
      </c>
      <c r="B24" s="466"/>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71" t="s">
        <v>164</v>
      </c>
      <c r="B26" s="472"/>
      <c r="C26" s="267" t="s">
        <v>219</v>
      </c>
      <c r="D26" s="267" t="s">
        <v>220</v>
      </c>
      <c r="E26" s="267" t="s">
        <v>221</v>
      </c>
      <c r="F26" s="268" t="s">
        <v>222</v>
      </c>
      <c r="H26" s="444" t="s">
        <v>63</v>
      </c>
      <c r="I26" s="445"/>
      <c r="J26" s="446"/>
    </row>
    <row r="27" spans="1:10" ht="25.5" customHeight="1">
      <c r="A27" s="473" t="s">
        <v>61</v>
      </c>
      <c r="B27" s="473"/>
      <c r="C27" s="173">
        <f>(Inputs!B6*Inputs!B7*Inputs!B15*52)+(Inputs!B8*Inputs!B9*Inputs!B16*52)+(Inputs!D11*Inputs!D12*Inputs!B17*52)</f>
        <v>0</v>
      </c>
      <c r="D27" s="212">
        <f>C27*3</f>
        <v>0</v>
      </c>
      <c r="E27" s="212">
        <f>C27*6</f>
        <v>0</v>
      </c>
      <c r="F27" s="212">
        <f>C27*10</f>
        <v>0</v>
      </c>
      <c r="H27" s="447"/>
      <c r="I27" s="448"/>
      <c r="J27" s="449"/>
    </row>
    <row r="28" spans="1:10" ht="26.25" customHeight="1" thickBot="1">
      <c r="A28" s="474" t="s">
        <v>119</v>
      </c>
      <c r="B28" s="475"/>
      <c r="C28" s="232">
        <f>C9-C24</f>
        <v>0</v>
      </c>
      <c r="D28" s="232">
        <f>D9-D24</f>
        <v>0</v>
      </c>
      <c r="E28" s="232">
        <f>E9-E24</f>
        <v>0</v>
      </c>
      <c r="F28" s="232">
        <f>F9-F24</f>
        <v>0</v>
      </c>
      <c r="H28" s="447"/>
      <c r="I28" s="448"/>
      <c r="J28" s="449"/>
    </row>
    <row r="29" spans="1:10" ht="25.5" customHeight="1">
      <c r="A29" s="473" t="s">
        <v>120</v>
      </c>
      <c r="B29" s="473"/>
      <c r="C29" s="231">
        <f>C27+C28</f>
        <v>0</v>
      </c>
      <c r="D29" s="231">
        <f>D27+D28</f>
        <v>0</v>
      </c>
      <c r="E29" s="231">
        <f>E27+E28</f>
        <v>0</v>
      </c>
      <c r="F29" s="231">
        <f>F27+F28</f>
        <v>0</v>
      </c>
      <c r="H29" s="450"/>
      <c r="I29" s="451"/>
      <c r="J29" s="452"/>
    </row>
    <row r="30" spans="2:8" ht="12.75">
      <c r="B30" s="4"/>
      <c r="C30" s="4"/>
      <c r="D30" s="4"/>
      <c r="E30" s="4"/>
      <c r="H30" s="111"/>
    </row>
    <row r="31" spans="8:10" ht="12.75">
      <c r="H31" s="435" t="s">
        <v>115</v>
      </c>
      <c r="I31" s="436"/>
      <c r="J31" s="437"/>
    </row>
    <row r="32" spans="1:10" ht="25.5" customHeight="1">
      <c r="A32" s="471" t="s">
        <v>86</v>
      </c>
      <c r="B32" s="472"/>
      <c r="C32" s="267" t="s">
        <v>367</v>
      </c>
      <c r="D32" s="267" t="s">
        <v>369</v>
      </c>
      <c r="E32" s="269" t="s">
        <v>368</v>
      </c>
      <c r="H32" s="438"/>
      <c r="I32" s="439"/>
      <c r="J32" s="440"/>
    </row>
    <row r="33" spans="1:10" ht="12.75">
      <c r="A33" s="466" t="s">
        <v>365</v>
      </c>
      <c r="B33" s="466"/>
      <c r="C33" s="109">
        <f>(Inputs!B6+Inputs!B8+Inputs!D11+Inputs!D14)*52</f>
        <v>0</v>
      </c>
      <c r="D33" s="109" t="s">
        <v>388</v>
      </c>
      <c r="E33" s="109" t="s">
        <v>388</v>
      </c>
      <c r="H33" s="438"/>
      <c r="I33" s="439"/>
      <c r="J33" s="440"/>
    </row>
    <row r="34" spans="1:10" ht="12.75">
      <c r="A34" s="466" t="s">
        <v>366</v>
      </c>
      <c r="B34" s="466"/>
      <c r="C34" s="109">
        <f>C33-D34-E34</f>
        <v>0</v>
      </c>
      <c r="D34" s="109">
        <f>(IF(B16="Disposal",0,Inputs!B6*(1-Inputs!B7))+IF(B18="Disposal",0,Inputs!B8*(1-Inputs!B9))+IF(B20="Disposal",0,Inputs!D11*(1-Inputs!D12))+IF(B22="Disposal",0,Inputs!D14))*52</f>
        <v>0</v>
      </c>
      <c r="E34" s="109">
        <f>((Inputs!B6*Inputs!B7)+(Inputs!B8*Inputs!B9)+(Inputs!D11*Inputs!D12))*52</f>
        <v>0</v>
      </c>
      <c r="H34" s="441"/>
      <c r="I34" s="442"/>
      <c r="J34" s="443"/>
    </row>
    <row r="39" ht="12.75">
      <c r="E39" s="8"/>
    </row>
  </sheetData>
  <sheetProtection password="98CB" sheet="1" objects="1" scenarios="1"/>
  <mergeCells count="30">
    <mergeCell ref="A1:F1"/>
    <mergeCell ref="A32:B32"/>
    <mergeCell ref="A33:B33"/>
    <mergeCell ref="A34:B34"/>
    <mergeCell ref="A11:B11"/>
    <mergeCell ref="A26:B26"/>
    <mergeCell ref="A27:B27"/>
    <mergeCell ref="A28:B28"/>
    <mergeCell ref="A29:B29"/>
    <mergeCell ref="A19:B19"/>
    <mergeCell ref="A21:B21"/>
    <mergeCell ref="A23:B23"/>
    <mergeCell ref="A24:B24"/>
    <mergeCell ref="A13:B13"/>
    <mergeCell ref="A14:B14"/>
    <mergeCell ref="A15:B15"/>
    <mergeCell ref="A17:B17"/>
    <mergeCell ref="A7:B7"/>
    <mergeCell ref="A8:B8"/>
    <mergeCell ref="A9:B9"/>
    <mergeCell ref="A12:B12"/>
    <mergeCell ref="A3:B3"/>
    <mergeCell ref="A4:B4"/>
    <mergeCell ref="A5:B5"/>
    <mergeCell ref="A6:B6"/>
    <mergeCell ref="C2:F2"/>
    <mergeCell ref="H31:J34"/>
    <mergeCell ref="H26:J29"/>
    <mergeCell ref="H3:J7"/>
    <mergeCell ref="H11:J21"/>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02"/>
      <c r="F6" s="29"/>
    </row>
    <row r="7" spans="1:6" ht="12.75">
      <c r="A7" s="10" t="s">
        <v>419</v>
      </c>
      <c r="B7" s="26" t="s">
        <v>426</v>
      </c>
      <c r="C7" s="80" t="s">
        <v>433</v>
      </c>
      <c r="D7" s="80" t="s">
        <v>15</v>
      </c>
      <c r="E7" s="502"/>
      <c r="F7" s="29"/>
    </row>
    <row r="8" spans="1:6" ht="12.75">
      <c r="A8" s="10" t="s">
        <v>420</v>
      </c>
      <c r="B8" s="26" t="s">
        <v>427</v>
      </c>
      <c r="C8" s="80" t="s">
        <v>434</v>
      </c>
      <c r="D8" s="80" t="s">
        <v>16</v>
      </c>
      <c r="E8" s="502"/>
      <c r="F8" s="29"/>
    </row>
    <row r="9" spans="1:6" ht="12.75">
      <c r="A9" s="10" t="s">
        <v>421</v>
      </c>
      <c r="B9" s="26" t="s">
        <v>428</v>
      </c>
      <c r="C9" s="80" t="s">
        <v>435</v>
      </c>
      <c r="D9" s="80" t="s">
        <v>17</v>
      </c>
      <c r="E9" s="502"/>
      <c r="F9" s="29"/>
    </row>
    <row r="10" spans="1:6" ht="12.75">
      <c r="A10" s="10" t="s">
        <v>422</v>
      </c>
      <c r="B10" s="26" t="s">
        <v>426</v>
      </c>
      <c r="C10" s="80" t="s">
        <v>436</v>
      </c>
      <c r="D10" s="80" t="s">
        <v>18</v>
      </c>
      <c r="E10" s="502"/>
      <c r="F10" s="29"/>
    </row>
    <row r="11" spans="1:6" ht="12.75">
      <c r="A11" s="10" t="s">
        <v>423</v>
      </c>
      <c r="B11" s="26" t="s">
        <v>429</v>
      </c>
      <c r="C11" s="80" t="s">
        <v>437</v>
      </c>
      <c r="D11" s="80" t="s">
        <v>18</v>
      </c>
      <c r="E11" s="503"/>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496"/>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492"/>
      <c r="E27" s="492"/>
    </row>
    <row r="28" spans="1:5" s="30" customFormat="1" ht="25.5">
      <c r="A28" s="84" t="s">
        <v>410</v>
      </c>
      <c r="B28" s="257" t="s">
        <v>531</v>
      </c>
      <c r="C28" s="114">
        <v>1.07</v>
      </c>
      <c r="D28" s="492"/>
      <c r="E28" s="492"/>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0"/>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00"/>
      <c r="E40" s="4"/>
    </row>
    <row r="41" spans="1:5" ht="51" customHeight="1">
      <c r="A41" s="68" t="s">
        <v>478</v>
      </c>
      <c r="B41" s="115">
        <f>9.35*B57</f>
        <v>9.536999999999999</v>
      </c>
      <c r="C41" s="487" t="s">
        <v>5</v>
      </c>
      <c r="D41" s="488"/>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335">
        <v>0.2</v>
      </c>
      <c r="E44" s="4"/>
    </row>
    <row r="45" spans="1:5" ht="12.75">
      <c r="A45" s="68" t="s">
        <v>396</v>
      </c>
      <c r="B45" s="26" t="s">
        <v>402</v>
      </c>
      <c r="C45" s="26" t="s">
        <v>324</v>
      </c>
      <c r="D45" s="335">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mergeCells count="21">
    <mergeCell ref="A1:C1"/>
    <mergeCell ref="E14:E18"/>
    <mergeCell ref="D37:D38"/>
    <mergeCell ref="C40:D40"/>
    <mergeCell ref="E4:E11"/>
    <mergeCell ref="D22:D23"/>
    <mergeCell ref="D26:D28"/>
    <mergeCell ref="C41:D41"/>
    <mergeCell ref="E22:E24"/>
    <mergeCell ref="B52:C52"/>
    <mergeCell ref="B51:C51"/>
    <mergeCell ref="E26:E28"/>
    <mergeCell ref="A58:D58"/>
    <mergeCell ref="B55:C55"/>
    <mergeCell ref="B57:C57"/>
    <mergeCell ref="A48:B48"/>
    <mergeCell ref="B49:C49"/>
    <mergeCell ref="B50:C50"/>
    <mergeCell ref="B54:C54"/>
    <mergeCell ref="B53:C53"/>
    <mergeCell ref="B56:C56"/>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361</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304</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328</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305</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306</v>
      </c>
      <c r="B7" s="507"/>
      <c r="C7" s="507"/>
      <c r="D7" s="507"/>
      <c r="E7" s="507"/>
      <c r="F7" s="507"/>
      <c r="G7" s="507"/>
      <c r="H7" s="507"/>
      <c r="I7" s="507"/>
      <c r="J7" s="508"/>
    </row>
    <row r="8" spans="1:10" ht="45" customHeight="1">
      <c r="A8" s="506" t="s">
        <v>346</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307</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110</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308</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389</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309</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109</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3" t="s">
        <v>90</v>
      </c>
      <c r="B1" s="494"/>
      <c r="C1" s="495"/>
      <c r="D1" s="546"/>
      <c r="E1" s="83"/>
      <c r="F1" s="83"/>
      <c r="G1" s="83"/>
    </row>
    <row r="2" spans="1:8" ht="12.75">
      <c r="A2" s="3"/>
      <c r="F2" s="435" t="s">
        <v>115</v>
      </c>
      <c r="G2" s="436"/>
      <c r="H2" s="437"/>
    </row>
    <row r="3" spans="1:8" ht="12.75">
      <c r="A3" s="518" t="s">
        <v>114</v>
      </c>
      <c r="B3" s="519"/>
      <c r="C3" s="519"/>
      <c r="D3" s="520"/>
      <c r="F3" s="438"/>
      <c r="G3" s="439"/>
      <c r="H3" s="440"/>
    </row>
    <row r="4" spans="1:8" ht="12.75">
      <c r="A4" s="518" t="s">
        <v>67</v>
      </c>
      <c r="B4" s="520"/>
      <c r="C4" s="187" t="s">
        <v>324</v>
      </c>
      <c r="D4" s="187" t="s">
        <v>113</v>
      </c>
      <c r="F4" s="441"/>
      <c r="G4" s="442"/>
      <c r="H4" s="443"/>
    </row>
    <row r="5" spans="1:4" ht="12.75" customHeight="1">
      <c r="A5" s="547" t="s">
        <v>68</v>
      </c>
      <c r="B5" s="547"/>
      <c r="C5" s="207">
        <f>IF('Cost Calculator'!$B$18="Food Rescue",0,IF('Cost Calculator'!$B$18="Disposal",0,IF('Cost Calculator'!$B$18="Feed Animals",0,IF('Cost Calculator'!$B$18="Disposal and Pulp",0,(Inputs!$B$8*(1-Inputs!$B$9))))))*52</f>
        <v>0</v>
      </c>
      <c r="D5" s="235">
        <f>C5/2000</f>
        <v>0</v>
      </c>
    </row>
    <row r="6" spans="1:4" ht="12.75">
      <c r="A6" s="547" t="s">
        <v>69</v>
      </c>
      <c r="B6" s="547"/>
      <c r="C6" s="207">
        <f>IF('Cost Calculator'!$B$20="Disposal",0,IF('Cost Calculator'!$B$20="Feed Animals",0,IF('Cost Calculator'!$B$20="Disposal and Pulp",0,Inputs!$B$10*(1-Inputs!$B$11))))*52</f>
        <v>0</v>
      </c>
      <c r="D6" s="235">
        <f>C6/2000</f>
        <v>0</v>
      </c>
    </row>
    <row r="7" spans="1:4" ht="12.75">
      <c r="A7" s="547" t="s">
        <v>70</v>
      </c>
      <c r="B7" s="547"/>
      <c r="C7" s="207">
        <f>IF('Cost Calculator'!$B$20="Disposal",0,IF('Cost Calculator'!$B$20="Feed Animals",0,IF('Cost Calculator'!$B$20="Disposal and Pulp",0,Inputs!$B$12*(1-Inputs!$B$13))))*52</f>
        <v>0</v>
      </c>
      <c r="D7" s="235">
        <f>C7/2000</f>
        <v>0</v>
      </c>
    </row>
    <row r="8" spans="1:4" ht="12.75">
      <c r="A8" s="523" t="s">
        <v>566</v>
      </c>
      <c r="B8" s="523"/>
      <c r="C8" s="208">
        <f>SUM(C5:C7)</f>
        <v>0</v>
      </c>
      <c r="D8" s="236">
        <f>C8/2000</f>
        <v>0</v>
      </c>
    </row>
    <row r="9" ht="12.75">
      <c r="E9"/>
    </row>
    <row r="10" spans="1:8" ht="12.75">
      <c r="A10" s="518" t="s">
        <v>112</v>
      </c>
      <c r="B10" s="519"/>
      <c r="C10" s="519"/>
      <c r="D10" s="519"/>
      <c r="E10" s="519"/>
      <c r="F10" s="519"/>
      <c r="G10" s="519"/>
      <c r="H10" s="520"/>
    </row>
    <row r="11" spans="1:8" s="177" customFormat="1" ht="25.5" customHeight="1">
      <c r="A11" s="527" t="s">
        <v>102</v>
      </c>
      <c r="B11" s="528"/>
      <c r="C11" s="528"/>
      <c r="D11" s="528"/>
      <c r="E11" s="528"/>
      <c r="F11" s="528"/>
      <c r="G11" s="528"/>
      <c r="H11" s="529"/>
    </row>
    <row r="12" spans="1:8" ht="12.75">
      <c r="A12" s="530"/>
      <c r="B12" s="531"/>
      <c r="C12" s="531"/>
      <c r="D12" s="531"/>
      <c r="E12" s="531"/>
      <c r="F12" s="531"/>
      <c r="G12" s="531"/>
      <c r="H12" s="532"/>
    </row>
    <row r="13" spans="1:8" ht="18" customHeight="1">
      <c r="A13" s="535" t="s">
        <v>111</v>
      </c>
      <c r="B13" s="536"/>
      <c r="C13" s="536"/>
      <c r="D13" s="533"/>
      <c r="E13" s="533"/>
      <c r="F13" s="533"/>
      <c r="G13" s="533"/>
      <c r="H13" s="534"/>
    </row>
    <row r="14" spans="1:8" ht="12.75" customHeight="1">
      <c r="A14" s="537" t="s">
        <v>341</v>
      </c>
      <c r="B14" s="538"/>
      <c r="C14" s="538"/>
      <c r="D14" s="538"/>
      <c r="E14" s="538"/>
      <c r="F14" s="538"/>
      <c r="G14" s="538"/>
      <c r="H14" s="539"/>
    </row>
    <row r="15" spans="1:8" ht="45" customHeight="1">
      <c r="A15" s="540"/>
      <c r="B15" s="541"/>
      <c r="C15" s="541"/>
      <c r="D15" s="541"/>
      <c r="E15" s="541"/>
      <c r="F15" s="541"/>
      <c r="G15" s="541"/>
      <c r="H15" s="542"/>
    </row>
    <row r="16" ht="15.75" customHeight="1"/>
    <row r="17" spans="1:8" ht="15.75" customHeight="1">
      <c r="A17" s="518" t="s">
        <v>135</v>
      </c>
      <c r="B17" s="519"/>
      <c r="C17" s="519"/>
      <c r="D17" s="519"/>
      <c r="E17" s="519"/>
      <c r="F17" s="519"/>
      <c r="G17" s="519"/>
      <c r="H17" s="520"/>
    </row>
    <row r="18" spans="1:8" ht="52.5" customHeight="1">
      <c r="A18" s="515" t="s">
        <v>131</v>
      </c>
      <c r="B18" s="516"/>
      <c r="C18" s="516"/>
      <c r="D18" s="516"/>
      <c r="E18" s="516"/>
      <c r="F18" s="516"/>
      <c r="G18" s="516"/>
      <c r="H18" s="517"/>
    </row>
    <row r="19" spans="1:8" ht="17.25" customHeight="1">
      <c r="A19" s="521" t="s">
        <v>116</v>
      </c>
      <c r="B19" s="522"/>
      <c r="C19" s="262"/>
      <c r="D19" s="262"/>
      <c r="E19" s="262"/>
      <c r="F19" s="262"/>
      <c r="G19" s="262"/>
      <c r="H19" s="263"/>
    </row>
    <row r="20" ht="15.75" customHeight="1"/>
    <row r="21" spans="1:8" ht="12.75">
      <c r="A21" s="543" t="s">
        <v>51</v>
      </c>
      <c r="B21" s="544"/>
      <c r="C21" s="544"/>
      <c r="D21" s="544"/>
      <c r="E21" s="544"/>
      <c r="F21" s="544"/>
      <c r="G21" s="544"/>
      <c r="H21" s="545"/>
    </row>
    <row r="22" spans="1:8" ht="50.25" customHeight="1">
      <c r="A22" s="187" t="s">
        <v>71</v>
      </c>
      <c r="B22" s="187" t="s">
        <v>160</v>
      </c>
      <c r="C22" s="187" t="s">
        <v>52</v>
      </c>
      <c r="D22" s="187" t="s">
        <v>107</v>
      </c>
      <c r="E22" s="187" t="s">
        <v>53</v>
      </c>
      <c r="F22" s="187" t="s">
        <v>54</v>
      </c>
      <c r="G22" s="187" t="s">
        <v>55</v>
      </c>
      <c r="H22" s="187" t="s">
        <v>56</v>
      </c>
    </row>
    <row r="23" spans="1:8" ht="50.25" customHeight="1">
      <c r="A23" s="209" t="s">
        <v>524</v>
      </c>
      <c r="B23" s="219" t="s">
        <v>72</v>
      </c>
      <c r="C23" s="188">
        <v>1.3</v>
      </c>
      <c r="D23" s="188" t="s">
        <v>180</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525</v>
      </c>
      <c r="B24" s="220" t="s">
        <v>73</v>
      </c>
      <c r="C24" s="188">
        <v>739.1</v>
      </c>
      <c r="D24" s="188" t="s">
        <v>181</v>
      </c>
      <c r="E24" s="284">
        <f t="shared" si="0"/>
        <v>0</v>
      </c>
      <c r="F24" s="284">
        <f t="shared" si="1"/>
        <v>0</v>
      </c>
      <c r="G24" s="284">
        <f t="shared" si="2"/>
        <v>0</v>
      </c>
      <c r="H24" s="286">
        <f t="shared" si="3"/>
        <v>0</v>
      </c>
    </row>
    <row r="25" spans="1:8" ht="47.25" customHeight="1">
      <c r="A25" s="210" t="s">
        <v>93</v>
      </c>
      <c r="B25" s="220" t="s">
        <v>74</v>
      </c>
      <c r="C25" s="189">
        <v>0.3</v>
      </c>
      <c r="D25" s="188" t="s">
        <v>182</v>
      </c>
      <c r="E25" s="284">
        <f t="shared" si="0"/>
        <v>0</v>
      </c>
      <c r="F25" s="284">
        <f t="shared" si="1"/>
        <v>0</v>
      </c>
      <c r="G25" s="284">
        <f t="shared" si="2"/>
        <v>0</v>
      </c>
      <c r="H25" s="286">
        <f t="shared" si="3"/>
        <v>0</v>
      </c>
    </row>
    <row r="26" spans="1:8" ht="67.5" customHeight="1">
      <c r="A26" s="210" t="s">
        <v>526</v>
      </c>
      <c r="B26" s="220" t="s">
        <v>75</v>
      </c>
      <c r="C26" s="189">
        <v>5.2</v>
      </c>
      <c r="D26" s="188" t="s">
        <v>183</v>
      </c>
      <c r="E26" s="284">
        <f t="shared" si="0"/>
        <v>0</v>
      </c>
      <c r="F26" s="284">
        <f t="shared" si="1"/>
        <v>0</v>
      </c>
      <c r="G26" s="284">
        <f t="shared" si="2"/>
        <v>0</v>
      </c>
      <c r="H26" s="286">
        <f t="shared" si="3"/>
        <v>0</v>
      </c>
    </row>
    <row r="27" spans="1:8" ht="48" customHeight="1">
      <c r="A27" s="210" t="s">
        <v>527</v>
      </c>
      <c r="B27" s="237" t="s">
        <v>78</v>
      </c>
      <c r="C27" s="189">
        <v>5.8</v>
      </c>
      <c r="D27" s="188" t="s">
        <v>184</v>
      </c>
      <c r="E27" s="284">
        <f t="shared" si="0"/>
        <v>0</v>
      </c>
      <c r="F27" s="284">
        <f t="shared" si="1"/>
        <v>0</v>
      </c>
      <c r="G27" s="284">
        <f t="shared" si="2"/>
        <v>0</v>
      </c>
      <c r="H27" s="286">
        <f t="shared" si="3"/>
        <v>0</v>
      </c>
    </row>
    <row r="28" spans="1:8" ht="50.25" customHeight="1">
      <c r="A28" s="218" t="s">
        <v>179</v>
      </c>
      <c r="B28" s="220" t="s">
        <v>94</v>
      </c>
      <c r="C28" s="190">
        <v>4.5</v>
      </c>
      <c r="D28" s="188" t="s">
        <v>185</v>
      </c>
      <c r="E28" s="284">
        <f t="shared" si="0"/>
        <v>0</v>
      </c>
      <c r="F28" s="284">
        <f t="shared" si="1"/>
        <v>0</v>
      </c>
      <c r="G28" s="284">
        <f t="shared" si="2"/>
        <v>0</v>
      </c>
      <c r="H28" s="287">
        <f t="shared" si="3"/>
        <v>0</v>
      </c>
    </row>
    <row r="29" spans="1:8" ht="12.75">
      <c r="A29" s="524" t="s">
        <v>122</v>
      </c>
      <c r="B29" s="525"/>
      <c r="C29" s="525"/>
      <c r="D29" s="525"/>
      <c r="E29" s="525"/>
      <c r="F29" s="525"/>
      <c r="G29" s="525"/>
      <c r="H29" s="526"/>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A1:D1"/>
    <mergeCell ref="A5:B5"/>
    <mergeCell ref="A6:B6"/>
    <mergeCell ref="A7:B7"/>
    <mergeCell ref="A3:D3"/>
    <mergeCell ref="A4:B4"/>
    <mergeCell ref="A29:H29"/>
    <mergeCell ref="A11:H12"/>
    <mergeCell ref="D13:H13"/>
    <mergeCell ref="A13:C13"/>
    <mergeCell ref="A14:H15"/>
    <mergeCell ref="A21:H21"/>
    <mergeCell ref="F2:H4"/>
    <mergeCell ref="A18:H18"/>
    <mergeCell ref="A17:H17"/>
    <mergeCell ref="A19:B19"/>
    <mergeCell ref="A8:B8"/>
    <mergeCell ref="A10:H10"/>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529</v>
      </c>
      <c r="D3" s="552"/>
      <c r="E3" s="552"/>
      <c r="F3" s="553"/>
      <c r="G3" s="554"/>
      <c r="H3" s="98"/>
      <c r="I3" s="223"/>
      <c r="J3" s="239"/>
    </row>
    <row r="4" spans="2:14" ht="30" customHeight="1">
      <c r="B4" s="97"/>
      <c r="C4" s="549" t="s">
        <v>568</v>
      </c>
      <c r="D4" s="550"/>
      <c r="E4" s="550"/>
      <c r="F4" s="550"/>
      <c r="G4" s="550"/>
      <c r="H4" s="99"/>
      <c r="I4" s="225"/>
      <c r="J4" s="548" t="s">
        <v>85</v>
      </c>
      <c r="K4" s="548"/>
      <c r="L4" s="548"/>
      <c r="M4" s="548"/>
      <c r="N4" s="548"/>
    </row>
    <row r="5" spans="2:10" ht="12.75">
      <c r="B5" s="97"/>
      <c r="C5" s="91"/>
      <c r="D5" s="91"/>
      <c r="E5" s="91"/>
      <c r="F5" s="92"/>
      <c r="G5" s="92"/>
      <c r="H5" s="100"/>
      <c r="I5" s="222"/>
      <c r="J5" s="239" t="s">
        <v>186</v>
      </c>
    </row>
    <row r="6" spans="2:10" ht="12.75">
      <c r="B6" s="97"/>
      <c r="C6" s="91"/>
      <c r="D6" s="106" t="s">
        <v>530</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523</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396</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132</v>
      </c>
      <c r="K20" s="273" t="s">
        <v>133</v>
      </c>
      <c r="L20" s="273" t="s">
        <v>463</v>
      </c>
      <c r="M20" s="276" t="s">
        <v>200</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242</v>
      </c>
      <c r="N21" s="276" t="s">
        <v>243</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134</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82" t="s">
        <v>520</v>
      </c>
      <c r="C2" s="583"/>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84" t="s">
        <v>333</v>
      </c>
      <c r="D4" s="585"/>
      <c r="E4" s="585"/>
      <c r="F4" s="585"/>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310</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9" t="s">
        <v>371</v>
      </c>
      <c r="D7" s="569"/>
      <c r="E7" s="569"/>
      <c r="F7" s="569"/>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311</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9" t="s">
        <v>347</v>
      </c>
      <c r="D10" s="569"/>
      <c r="E10" s="569"/>
      <c r="F10" s="569"/>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80" t="s">
        <v>312</v>
      </c>
      <c r="D12" s="580"/>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76" t="s">
        <v>313</v>
      </c>
      <c r="D13" s="576"/>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81" t="s">
        <v>125</v>
      </c>
      <c r="D14" s="581"/>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76" t="s">
        <v>330</v>
      </c>
      <c r="D15" s="576"/>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76" t="s">
        <v>82</v>
      </c>
      <c r="D17" s="576"/>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76" t="s">
        <v>331</v>
      </c>
      <c r="D18" s="576"/>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79" t="s">
        <v>126</v>
      </c>
      <c r="D19" s="57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161</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58" t="s">
        <v>87</v>
      </c>
      <c r="D23" s="558"/>
      <c r="E23" s="558"/>
      <c r="F23" s="558"/>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60" t="s">
        <v>162</v>
      </c>
      <c r="D24" s="560"/>
      <c r="E24" s="561"/>
      <c r="F24" s="561"/>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62" t="s">
        <v>84</v>
      </c>
      <c r="D26" s="562"/>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59" t="s">
        <v>81</v>
      </c>
      <c r="D27" s="559"/>
      <c r="E27" s="559"/>
      <c r="F27" s="559"/>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336</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230</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58" t="s">
        <v>348</v>
      </c>
      <c r="D32" s="558"/>
      <c r="E32" s="558"/>
      <c r="F32" s="558"/>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170</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317</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58" t="s">
        <v>318</v>
      </c>
      <c r="D36" s="558"/>
      <c r="E36" s="558"/>
      <c r="F36" s="558"/>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63" t="s">
        <v>171</v>
      </c>
      <c r="D37" s="564"/>
      <c r="E37" s="564"/>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329</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70" t="s">
        <v>349</v>
      </c>
      <c r="D40" s="564"/>
      <c r="E40" s="564"/>
      <c r="F40" s="564"/>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63" t="s">
        <v>343</v>
      </c>
      <c r="D41" s="564"/>
      <c r="E41" s="564"/>
      <c r="F41" s="564"/>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399</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9"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63" t="s">
        <v>325</v>
      </c>
      <c r="D45" s="564"/>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63" t="s">
        <v>326</v>
      </c>
      <c r="D46" s="564"/>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59" t="s">
        <v>81</v>
      </c>
      <c r="D47" s="559"/>
      <c r="E47" s="559"/>
      <c r="F47" s="559"/>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103</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9" t="s">
        <v>339</v>
      </c>
      <c r="D49" s="569"/>
      <c r="E49" s="569"/>
      <c r="F49" s="569"/>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335</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350</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9" t="s">
        <v>334</v>
      </c>
      <c r="D52" s="569"/>
      <c r="E52" s="569"/>
      <c r="F52" s="569"/>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63" t="s">
        <v>314</v>
      </c>
      <c r="D53" s="564"/>
      <c r="E53" s="564"/>
      <c r="F53" s="564"/>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127</v>
      </c>
      <c r="D54" s="564"/>
      <c r="E54" s="564"/>
      <c r="F54" s="564"/>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509</v>
      </c>
      <c r="D55" s="567" t="s">
        <v>512</v>
      </c>
      <c r="E55" s="564"/>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514</v>
      </c>
      <c r="D56" s="567" t="s">
        <v>510</v>
      </c>
      <c r="E56" s="567"/>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513</v>
      </c>
      <c r="D57" s="567" t="s">
        <v>511</v>
      </c>
      <c r="E57" s="558"/>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59" t="s">
        <v>81</v>
      </c>
      <c r="D58" s="559"/>
      <c r="E58" s="559"/>
      <c r="F58" s="559"/>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315</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68" t="s">
        <v>338</v>
      </c>
      <c r="D60" s="568"/>
      <c r="E60" s="568"/>
      <c r="F60" s="568"/>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332</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337</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327</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68" t="s">
        <v>169</v>
      </c>
      <c r="D65" s="568"/>
      <c r="E65" s="568"/>
      <c r="F65" s="568"/>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7" t="s">
        <v>168</v>
      </c>
      <c r="D66" s="564"/>
      <c r="E66" s="564"/>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316</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65" t="s">
        <v>342</v>
      </c>
      <c r="D68" s="565"/>
      <c r="E68" s="565"/>
      <c r="F68" s="56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66" t="s">
        <v>165</v>
      </c>
      <c r="D69" s="564"/>
      <c r="E69" s="564"/>
      <c r="F69" s="564"/>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63" t="s">
        <v>167</v>
      </c>
      <c r="D70" s="564"/>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58:F58"/>
    <mergeCell ref="C47:F47"/>
    <mergeCell ref="D57:E57"/>
    <mergeCell ref="D55:E55"/>
    <mergeCell ref="B2:C2"/>
    <mergeCell ref="C4:F4"/>
    <mergeCell ref="C7:F7"/>
    <mergeCell ref="C10:F10"/>
    <mergeCell ref="C12:D12"/>
    <mergeCell ref="C13:D13"/>
    <mergeCell ref="C14:D14"/>
    <mergeCell ref="C15:D15"/>
    <mergeCell ref="C17:D17"/>
    <mergeCell ref="C16:D16"/>
    <mergeCell ref="C18:D18"/>
    <mergeCell ref="C19:D19"/>
    <mergeCell ref="C32:F32"/>
    <mergeCell ref="C36:F36"/>
    <mergeCell ref="C49:F49"/>
    <mergeCell ref="C60:F60"/>
    <mergeCell ref="C40:F40"/>
    <mergeCell ref="C41:F41"/>
    <mergeCell ref="C50:F50"/>
    <mergeCell ref="C52:F52"/>
    <mergeCell ref="C44:F44"/>
    <mergeCell ref="C54:G54"/>
    <mergeCell ref="C70:D70"/>
    <mergeCell ref="C37:E37"/>
    <mergeCell ref="C45:D45"/>
    <mergeCell ref="C46:D46"/>
    <mergeCell ref="C68:F68"/>
    <mergeCell ref="C69:F69"/>
    <mergeCell ref="C53:F53"/>
    <mergeCell ref="C66:E66"/>
    <mergeCell ref="C65:F65"/>
    <mergeCell ref="D56:E56"/>
    <mergeCell ref="C23:F23"/>
    <mergeCell ref="C27:F27"/>
    <mergeCell ref="C24:D24"/>
    <mergeCell ref="E24:F24"/>
    <mergeCell ref="C26:D26"/>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Food Waste Calculator</dc:title>
  <dc:subject/>
  <dc:creator>iec2</dc:creator>
  <cp:keywords/>
  <dc:description/>
  <cp:lastModifiedBy>ctsuser</cp:lastModifiedBy>
  <cp:lastPrinted>2009-09-16T01:07:03Z</cp:lastPrinted>
  <dcterms:created xsi:type="dcterms:W3CDTF">2006-05-08T15:38:51Z</dcterms:created>
  <dcterms:modified xsi:type="dcterms:W3CDTF">2010-07-30T15:05:31Z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