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8.xml" ContentType="application/vnd.openxmlformats-officedocument.spreadsheetml.comments+xml"/>
  <Override PartName="/xl/comments17.xml" ContentType="application/vnd.openxmlformats-officedocument.spreadsheetml.comments+xml"/>
  <Override PartName="/xl/comments19.xml" ContentType="application/vnd.openxmlformats-officedocument.spreadsheetml.comments+xml"/>
  <Override PartName="/xl/comments16.xml" ContentType="application/vnd.openxmlformats-officedocument.spreadsheetml.comments+xml"/>
  <Override PartName="/xl/comments20.xml" ContentType="application/vnd.openxmlformats-officedocument.spreadsheetml.comments+xml"/>
  <Override PartName="/xl/comments2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Override PartName="/xl/commentsmeta4" ContentType="application/binary"/>
  <Override PartName="/xl/commentsmeta1" ContentType="application/binary"/>
  <Override PartName="/xl/commentsmeta2" ContentType="application/binary"/>
  <Override PartName="/xl/commentsmeta11" ContentType="application/binary"/>
  <Override PartName="/xl/commentsmeta12" ContentType="application/binary"/>
  <Override PartName="/xl/commentsmeta13" ContentType="application/binary"/>
  <Override PartName="/xl/commentsmeta18" ContentType="application/binary"/>
  <Override PartName="/xl/commentsmeta14" ContentType="application/binary"/>
  <Override PartName="/xl/commentsmeta6" ContentType="application/binary"/>
  <Override PartName="/xl/commentsmeta3" ContentType="application/binary"/>
  <Override PartName="/xl/commentsmeta5" ContentType="application/binary"/>
  <Override PartName="/xl/commentsmeta8" ContentType="application/binary"/>
  <Override PartName="/xl/commentsmeta10" ContentType="application/binary"/>
  <Override PartName="/xl/commentsmeta7" ContentType="application/binary"/>
  <Override PartName="/xl/commentsmeta9" ContentType="application/binary"/>
  <Override PartName="/xl/commentsmeta16" ContentType="application/binary"/>
  <Override PartName="/xl/commentsmeta17" ContentType="application/binary"/>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M:\Climate Change Program\Inventories\2023\Final 2026-09-17\"/>
    </mc:Choice>
  </mc:AlternateContent>
  <xr:revisionPtr revIDLastSave="0" documentId="13_ncr:1_{A04FFEDD-1DDD-4B49-8F17-3FF1B79E8B79}" xr6:coauthVersionLast="47" xr6:coauthVersionMax="47" xr10:uidLastSave="{00000000-0000-0000-0000-000000000000}"/>
  <bookViews>
    <workbookView xWindow="19080" yWindow="-990" windowWidth="29040" windowHeight="15720" xr2:uid="{00000000-000D-0000-FFFF-FFFF00000000}"/>
  </bookViews>
  <sheets>
    <sheet name="Summary" sheetId="1" r:id="rId1"/>
    <sheet name="EGU Production ALL Units" sheetId="2" r:id="rId2"/>
    <sheet name="EGU Details" sheetId="3" r:id="rId3"/>
    <sheet name="Severstal" sheetId="4" r:id="rId4"/>
    <sheet name="Luke" sheetId="5" r:id="rId5"/>
    <sheet name="Imported Electricity" sheetId="6" r:id="rId6"/>
    <sheet name="Residential" sheetId="7" r:id="rId7"/>
    <sheet name="Commercial" sheetId="8" r:id="rId8"/>
    <sheet name="Industrial" sheetId="9" r:id="rId9"/>
    <sheet name="Transportation" sheetId="10" r:id="rId10"/>
    <sheet name="Natural Gas and Oil" sheetId="11" r:id="rId11"/>
    <sheet name="Mining" sheetId="12" r:id="rId12"/>
    <sheet name="Cement" sheetId="13" r:id="rId13"/>
    <sheet name="LimeT&amp;DSoda" sheetId="14" r:id="rId14"/>
    <sheet name="ODSSubs 100-yr" sheetId="25" r:id="rId15"/>
    <sheet name="ODSSubs 20-yr" sheetId="26" r:id="rId16"/>
    <sheet name="Iron And Steel" sheetId="15" r:id="rId17"/>
    <sheet name="Ammonia &amp; Urea Consumption" sheetId="16" r:id="rId18"/>
    <sheet name="Agricultural" sheetId="17" r:id="rId19"/>
    <sheet name="Agriculture_Liming" sheetId="18" r:id="rId20"/>
    <sheet name="Incinerators" sheetId="19" r:id="rId21"/>
    <sheet name="Landfills" sheetId="20" r:id="rId22"/>
    <sheet name="Wastewater" sheetId="21" r:id="rId23"/>
    <sheet name="OpenBurn" sheetId="22" r:id="rId24"/>
    <sheet name="Land_Use" sheetId="27" r:id="rId25"/>
    <sheet name="long_format_output" sheetId="28" r:id="rId26"/>
    <sheet name="Graphs" sheetId="24" state="hidden" r:id="rId27"/>
  </sheets>
  <definedNames>
    <definedName name="_Key1">#REF!</definedName>
    <definedName name="_Sort">#REF!</definedName>
    <definedName name="_Toc284401718" localSheetId="26">Graphs!$I$45</definedName>
    <definedName name="_Toc352228849" localSheetId="26">Graphs!$I$22</definedName>
    <definedName name="CementCorrectionFactor">#REF!</definedName>
    <definedName name="CH4GWP">#REF!</definedName>
    <definedName name="CoalCCs">#REF!</definedName>
    <definedName name="CoalGrowth">#REF!</definedName>
    <definedName name="data">#REF!</definedName>
    <definedName name="ElecProj">#REF!</definedName>
    <definedName name="EntFermEFs">#REF!</definedName>
    <definedName name="EntFermEFs2">#REF!</definedName>
    <definedName name="EPS">#REF!</definedName>
    <definedName name="EPSFraction">#REF!</definedName>
    <definedName name="FCFchoice">#REF!</definedName>
    <definedName name="FertData">#REF!</definedName>
    <definedName name="FertTypes">#REF!</definedName>
    <definedName name="FFFactors">#REF!</definedName>
    <definedName name="FullName">#REF!</definedName>
    <definedName name="GasProj">#REF!</definedName>
    <definedName name="GWP">#REF!</definedName>
    <definedName name="GWPCH4">#REF!</definedName>
    <definedName name="GWPN2O">#REF!</definedName>
    <definedName name="IndustrialPercent">#REF!</definedName>
    <definedName name="kg.MT">#REF!</definedName>
    <definedName name="LiquidEF">#REF!</definedName>
    <definedName name="MCFs">#REF!</definedName>
    <definedName name="MMFactors">#REF!</definedName>
    <definedName name="MT_per_T">#REF!</definedName>
    <definedName name="N20GWP">#REF!</definedName>
    <definedName name="N2OGWP">#REF!</definedName>
    <definedName name="NetOutElecExports">#REF!</definedName>
    <definedName name="NEU">#REF!</definedName>
    <definedName name="NGCH4meth">#REF!</definedName>
    <definedName name="nobedEF">#REF!</definedName>
    <definedName name="open">#REF!</definedName>
    <definedName name="OxidationFactor">#REF!</definedName>
    <definedName name="PopGrid">#REF!</definedName>
    <definedName name="SelectedState">#REF!</definedName>
    <definedName name="Short_metric">#REF!</definedName>
    <definedName name="SolidEF">#REF!</definedName>
    <definedName name="State">#REF!</definedName>
    <definedName name="StateChoice">#REF!</definedName>
    <definedName name="StateList">#REF!</definedName>
    <definedName name="States">#REF!</definedName>
    <definedName name="StatFactors">#REF!</definedName>
    <definedName name="StorageFactors">#REF!</definedName>
    <definedName name="TransData">#REF!</definedName>
    <definedName name="TransProj">#REF!</definedName>
    <definedName name="UFactor">#REF!</definedName>
    <definedName name="Units">#REF!</definedName>
    <definedName name="VersionDate">#REF!</definedName>
    <definedName name="VersionNumber">#REF!</definedName>
    <definedName name="VolPercent">#REF!</definedName>
    <definedName name="VS_BeefReplace">#REF!</definedName>
    <definedName name="VS_BeefReplace2">#REF!</definedName>
    <definedName name="VS_feedlotheifer">#REF!</definedName>
    <definedName name="VS_feedlotheifer2">#REF!</definedName>
    <definedName name="VS_feedlotsteer">#REF!</definedName>
    <definedName name="VS_feedlotsteer2">#REF!</definedName>
    <definedName name="VS_NOFcows">#REF!</definedName>
    <definedName name="VS_NOFcows2">#REF!</definedName>
    <definedName name="VS_NOFheifers">#REF!</definedName>
    <definedName name="VS_NOFheifers2">#REF!</definedName>
    <definedName name="VS_NOFsteers">#REF!</definedName>
    <definedName name="VS_NOFsteers2">#REF!</definedName>
    <definedName name="VT_mi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29" roundtripDataChecksum="vyZaWPrc+debxmgWQZxYpIbrUTalZbId1F3eVQ/2X8w="/>
    </ext>
  </extLst>
</workbook>
</file>

<file path=xl/calcChain.xml><?xml version="1.0" encoding="utf-8"?>
<calcChain xmlns="http://schemas.openxmlformats.org/spreadsheetml/2006/main">
  <c r="G293" i="28" l="1"/>
  <c r="A293" i="28"/>
  <c r="G292" i="28"/>
  <c r="A292" i="28"/>
  <c r="G291" i="28"/>
  <c r="A291" i="28"/>
  <c r="G290" i="28"/>
  <c r="A290" i="28"/>
  <c r="G289" i="28"/>
  <c r="A289" i="28"/>
  <c r="G288" i="28"/>
  <c r="A288" i="28"/>
  <c r="G287" i="28"/>
  <c r="A287" i="28"/>
  <c r="G286" i="28"/>
  <c r="A286" i="28"/>
  <c r="G285" i="28"/>
  <c r="A285" i="28"/>
  <c r="G284" i="28"/>
  <c r="A284" i="28"/>
  <c r="G283" i="28"/>
  <c r="A283" i="28"/>
  <c r="G282" i="28"/>
  <c r="A282" i="28"/>
  <c r="G281" i="28"/>
  <c r="A281" i="28"/>
  <c r="G280" i="28"/>
  <c r="A280" i="28"/>
  <c r="G279" i="28"/>
  <c r="A279" i="28"/>
  <c r="G278" i="28"/>
  <c r="A278" i="28"/>
  <c r="G277" i="28"/>
  <c r="A277" i="28"/>
  <c r="G276" i="28"/>
  <c r="A276" i="28"/>
  <c r="G275" i="28"/>
  <c r="A275" i="28"/>
  <c r="G274" i="28"/>
  <c r="A274" i="28"/>
  <c r="G273" i="28"/>
  <c r="A273" i="28"/>
  <c r="G272" i="28"/>
  <c r="A272" i="28"/>
  <c r="G271" i="28"/>
  <c r="A271" i="28"/>
  <c r="G270" i="28"/>
  <c r="A270" i="28"/>
  <c r="G269" i="28"/>
  <c r="A269" i="28"/>
  <c r="G268" i="28"/>
  <c r="A268" i="28"/>
  <c r="G267" i="28"/>
  <c r="A267" i="28"/>
  <c r="G266" i="28"/>
  <c r="A266" i="28"/>
  <c r="G265" i="28"/>
  <c r="A265" i="28"/>
  <c r="G264" i="28"/>
  <c r="A264" i="28"/>
  <c r="G263" i="28"/>
  <c r="A263" i="28"/>
  <c r="G262" i="28"/>
  <c r="A262" i="28"/>
  <c r="G261" i="28"/>
  <c r="A261" i="28"/>
  <c r="G260" i="28"/>
  <c r="A260" i="28"/>
  <c r="G259" i="28"/>
  <c r="A259" i="28"/>
  <c r="G258" i="28"/>
  <c r="A258" i="28"/>
  <c r="G257" i="28"/>
  <c r="A257" i="28"/>
  <c r="G256" i="28"/>
  <c r="A256" i="28"/>
  <c r="G255" i="28"/>
  <c r="A255" i="28"/>
  <c r="G254" i="28"/>
  <c r="A254" i="28"/>
  <c r="G253" i="28"/>
  <c r="A253" i="28"/>
  <c r="G252" i="28"/>
  <c r="A252" i="28"/>
  <c r="G251" i="28"/>
  <c r="A251" i="28"/>
  <c r="G250" i="28"/>
  <c r="A250" i="28"/>
  <c r="G249" i="28"/>
  <c r="A249" i="28"/>
  <c r="G248" i="28"/>
  <c r="A248" i="28"/>
  <c r="G247" i="28"/>
  <c r="A247" i="28"/>
  <c r="G246" i="28"/>
  <c r="A246" i="28"/>
  <c r="G245" i="28"/>
  <c r="A245" i="28"/>
  <c r="G244" i="28"/>
  <c r="A244" i="28"/>
  <c r="G243" i="28"/>
  <c r="A243" i="28"/>
  <c r="G242" i="28"/>
  <c r="A242" i="28"/>
  <c r="G241" i="28"/>
  <c r="A241" i="28"/>
  <c r="G240" i="28"/>
  <c r="A240" i="28"/>
  <c r="G239" i="28"/>
  <c r="A239" i="28"/>
  <c r="G238" i="28"/>
  <c r="A238" i="28"/>
  <c r="G237" i="28"/>
  <c r="A237" i="28"/>
  <c r="G236" i="28"/>
  <c r="A236" i="28"/>
  <c r="G235" i="28"/>
  <c r="A235" i="28"/>
  <c r="G234" i="28"/>
  <c r="A234" i="28"/>
  <c r="G233" i="28"/>
  <c r="A233" i="28"/>
  <c r="G232" i="28"/>
  <c r="A232" i="28"/>
  <c r="G231" i="28"/>
  <c r="A231" i="28"/>
  <c r="G230" i="28"/>
  <c r="A230" i="28"/>
  <c r="G229" i="28"/>
  <c r="A229" i="28"/>
  <c r="G228" i="28"/>
  <c r="A228" i="28"/>
  <c r="G227" i="28"/>
  <c r="A227" i="28"/>
  <c r="G226" i="28"/>
  <c r="A226" i="28"/>
  <c r="G225" i="28"/>
  <c r="A225" i="28"/>
  <c r="G224" i="28"/>
  <c r="A224" i="28"/>
  <c r="G223" i="28"/>
  <c r="A223" i="28"/>
  <c r="G222" i="28"/>
  <c r="A222" i="28"/>
  <c r="G221" i="28"/>
  <c r="A221" i="28"/>
  <c r="G220" i="28"/>
  <c r="A220" i="28"/>
  <c r="G219" i="28"/>
  <c r="A219" i="28"/>
  <c r="G218" i="28"/>
  <c r="A218" i="28"/>
  <c r="G217" i="28"/>
  <c r="A217" i="28"/>
  <c r="G216" i="28"/>
  <c r="A216" i="28"/>
  <c r="G215" i="28"/>
  <c r="A215" i="28"/>
  <c r="G214" i="28"/>
  <c r="A214" i="28"/>
  <c r="G213" i="28"/>
  <c r="A213" i="28"/>
  <c r="G212" i="28"/>
  <c r="A212" i="28"/>
  <c r="G211" i="28"/>
  <c r="A211" i="28"/>
  <c r="G210" i="28"/>
  <c r="A210" i="28"/>
  <c r="G209" i="28"/>
  <c r="A209" i="28"/>
  <c r="G208" i="28"/>
  <c r="A208" i="28"/>
  <c r="G207" i="28"/>
  <c r="A207" i="28"/>
  <c r="G206" i="28"/>
  <c r="A206" i="28"/>
  <c r="G205" i="28"/>
  <c r="A205" i="28"/>
  <c r="G204" i="28"/>
  <c r="A204" i="28"/>
  <c r="G203" i="28"/>
  <c r="A203" i="28"/>
  <c r="G202" i="28"/>
  <c r="A202" i="28"/>
  <c r="G201" i="28"/>
  <c r="A201" i="28"/>
  <c r="G200" i="28"/>
  <c r="A200" i="28"/>
  <c r="G199" i="28"/>
  <c r="A199" i="28"/>
  <c r="G198" i="28"/>
  <c r="A198" i="28"/>
  <c r="G197" i="28"/>
  <c r="A197" i="28"/>
  <c r="G196" i="28"/>
  <c r="A196" i="28"/>
  <c r="G195" i="28"/>
  <c r="A195" i="28"/>
  <c r="G194" i="28"/>
  <c r="A194" i="28"/>
  <c r="G193" i="28"/>
  <c r="A193" i="28"/>
  <c r="G192" i="28"/>
  <c r="A192" i="28"/>
  <c r="G191" i="28"/>
  <c r="A191" i="28"/>
  <c r="G190" i="28"/>
  <c r="A190" i="28"/>
  <c r="G189" i="28"/>
  <c r="A189" i="28"/>
  <c r="G188" i="28"/>
  <c r="A188" i="28"/>
  <c r="G187" i="28"/>
  <c r="A187" i="28"/>
  <c r="G186" i="28"/>
  <c r="A186" i="28"/>
  <c r="G185" i="28"/>
  <c r="A185" i="28"/>
  <c r="G184" i="28"/>
  <c r="A184" i="28"/>
  <c r="G183" i="28"/>
  <c r="A183" i="28"/>
  <c r="G182" i="28"/>
  <c r="A182" i="28"/>
  <c r="G181" i="28"/>
  <c r="A181" i="28"/>
  <c r="G180" i="28"/>
  <c r="A180" i="28"/>
  <c r="G179" i="28"/>
  <c r="A179" i="28"/>
  <c r="G178" i="28"/>
  <c r="A178" i="28"/>
  <c r="G177" i="28"/>
  <c r="A177" i="28"/>
  <c r="G176" i="28"/>
  <c r="A176" i="28"/>
  <c r="G175" i="28"/>
  <c r="A175" i="28"/>
  <c r="G174" i="28"/>
  <c r="A174" i="28"/>
  <c r="G173" i="28"/>
  <c r="A173" i="28"/>
  <c r="G172" i="28"/>
  <c r="A172" i="28"/>
  <c r="G171" i="28"/>
  <c r="A171" i="28"/>
  <c r="G170" i="28"/>
  <c r="A170" i="28"/>
  <c r="G169" i="28"/>
  <c r="A169" i="28"/>
  <c r="G168" i="28"/>
  <c r="A168" i="28"/>
  <c r="G167" i="28"/>
  <c r="A167" i="28"/>
  <c r="G166" i="28"/>
  <c r="A166" i="28"/>
  <c r="G165" i="28"/>
  <c r="A165" i="28"/>
  <c r="G164" i="28"/>
  <c r="A164" i="28"/>
  <c r="G163" i="28"/>
  <c r="A163" i="28"/>
  <c r="G162" i="28"/>
  <c r="A162" i="28"/>
  <c r="G161" i="28"/>
  <c r="A161" i="28"/>
  <c r="G160" i="28"/>
  <c r="A160" i="28"/>
  <c r="G159" i="28"/>
  <c r="A159" i="28"/>
  <c r="G158" i="28"/>
  <c r="A158" i="28"/>
  <c r="G157" i="28"/>
  <c r="A157" i="28"/>
  <c r="G156" i="28"/>
  <c r="A156" i="28"/>
  <c r="G155" i="28"/>
  <c r="A155" i="28"/>
  <c r="G154" i="28"/>
  <c r="A154" i="28"/>
  <c r="G153" i="28"/>
  <c r="A153" i="28"/>
  <c r="G152" i="28"/>
  <c r="A152" i="28"/>
  <c r="G151" i="28"/>
  <c r="A151" i="28"/>
  <c r="G150" i="28"/>
  <c r="A150" i="28"/>
  <c r="G149" i="28"/>
  <c r="A149" i="28"/>
  <c r="G148" i="28"/>
  <c r="A148" i="28"/>
  <c r="G147" i="28"/>
  <c r="A147" i="28"/>
  <c r="G146" i="28"/>
  <c r="A146" i="28"/>
  <c r="G145" i="28"/>
  <c r="A145" i="28"/>
  <c r="G144" i="28"/>
  <c r="A144" i="28"/>
  <c r="G143" i="28"/>
  <c r="A143" i="28"/>
  <c r="G142" i="28"/>
  <c r="A142" i="28"/>
  <c r="G141" i="28"/>
  <c r="A141" i="28"/>
  <c r="G140" i="28"/>
  <c r="A140" i="28"/>
  <c r="G139" i="28"/>
  <c r="A139" i="28"/>
  <c r="G138" i="28"/>
  <c r="A138" i="28"/>
  <c r="G137" i="28"/>
  <c r="A137" i="28"/>
  <c r="G136" i="28"/>
  <c r="A136" i="28"/>
  <c r="G135" i="28"/>
  <c r="A135" i="28"/>
  <c r="G134" i="28"/>
  <c r="A134" i="28"/>
  <c r="G133" i="28"/>
  <c r="A133" i="28"/>
  <c r="G132" i="28"/>
  <c r="A132" i="28"/>
  <c r="G131" i="28"/>
  <c r="A131" i="28"/>
  <c r="G130" i="28"/>
  <c r="A130" i="28"/>
  <c r="G129" i="28"/>
  <c r="A129" i="28"/>
  <c r="G128" i="28"/>
  <c r="A128" i="28"/>
  <c r="G127" i="28"/>
  <c r="A127" i="28"/>
  <c r="G126" i="28"/>
  <c r="A126" i="28"/>
  <c r="G125" i="28"/>
  <c r="A125" i="28"/>
  <c r="G124" i="28"/>
  <c r="A124" i="28"/>
  <c r="G123" i="28"/>
  <c r="A123" i="28"/>
  <c r="G122" i="28"/>
  <c r="A122" i="28"/>
  <c r="G121" i="28"/>
  <c r="A121" i="28"/>
  <c r="G120" i="28"/>
  <c r="A120" i="28"/>
  <c r="G119" i="28"/>
  <c r="A119" i="28"/>
  <c r="G118" i="28"/>
  <c r="A118" i="28"/>
  <c r="G117" i="28"/>
  <c r="A117" i="28"/>
  <c r="G116" i="28"/>
  <c r="A116" i="28"/>
  <c r="G115" i="28"/>
  <c r="A115" i="28"/>
  <c r="G114" i="28"/>
  <c r="A114" i="28"/>
  <c r="G113" i="28"/>
  <c r="A113" i="28"/>
  <c r="G112" i="28"/>
  <c r="A112" i="28"/>
  <c r="G111" i="28"/>
  <c r="A111" i="28"/>
  <c r="G110" i="28"/>
  <c r="A110" i="28"/>
  <c r="G109" i="28"/>
  <c r="A109" i="28"/>
  <c r="G108" i="28"/>
  <c r="A108" i="28"/>
  <c r="G107" i="28"/>
  <c r="A107" i="28"/>
  <c r="G106" i="28"/>
  <c r="A106" i="28"/>
  <c r="G105" i="28"/>
  <c r="A105" i="28"/>
  <c r="G104" i="28"/>
  <c r="A104" i="28"/>
  <c r="G103" i="28"/>
  <c r="A103" i="28"/>
  <c r="G102" i="28"/>
  <c r="A102" i="28"/>
  <c r="G101" i="28"/>
  <c r="A101" i="28"/>
  <c r="G100" i="28"/>
  <c r="A100" i="28"/>
  <c r="G99" i="28"/>
  <c r="A99" i="28"/>
  <c r="G98" i="28"/>
  <c r="A98" i="28"/>
  <c r="G97" i="28"/>
  <c r="A97" i="28"/>
  <c r="G96" i="28"/>
  <c r="A96" i="28"/>
  <c r="G95" i="28"/>
  <c r="A95" i="28"/>
  <c r="G94" i="28"/>
  <c r="A94" i="28"/>
  <c r="G93" i="28"/>
  <c r="A93" i="28"/>
  <c r="G92" i="28"/>
  <c r="A92" i="28"/>
  <c r="G91" i="28"/>
  <c r="A91" i="28"/>
  <c r="G90" i="28"/>
  <c r="A90" i="28"/>
  <c r="G89" i="28"/>
  <c r="A89" i="28"/>
  <c r="G88" i="28"/>
  <c r="A88" i="28"/>
  <c r="G87" i="28"/>
  <c r="A87" i="28"/>
  <c r="G86" i="28"/>
  <c r="A86" i="28"/>
  <c r="G85" i="28"/>
  <c r="A85" i="28"/>
  <c r="G84" i="28"/>
  <c r="A84" i="28"/>
  <c r="G83" i="28"/>
  <c r="A83" i="28"/>
  <c r="G82" i="28"/>
  <c r="A82" i="28"/>
  <c r="G81" i="28"/>
  <c r="A81" i="28"/>
  <c r="G80" i="28"/>
  <c r="A80" i="28"/>
  <c r="G79" i="28"/>
  <c r="A79" i="28"/>
  <c r="G78" i="28"/>
  <c r="A78" i="28"/>
  <c r="G77" i="28"/>
  <c r="A77" i="28"/>
  <c r="G76" i="28"/>
  <c r="A76" i="28"/>
  <c r="G75" i="28"/>
  <c r="A75" i="28"/>
  <c r="G74" i="28"/>
  <c r="A74" i="28"/>
  <c r="G73" i="28"/>
  <c r="A73" i="28"/>
  <c r="G72" i="28"/>
  <c r="A72" i="28"/>
  <c r="G71" i="28"/>
  <c r="A71" i="28"/>
  <c r="G70" i="28"/>
  <c r="A70" i="28"/>
  <c r="G69" i="28"/>
  <c r="A69" i="28"/>
  <c r="G68" i="28"/>
  <c r="A68" i="28"/>
  <c r="G67" i="28"/>
  <c r="A67" i="28"/>
  <c r="G66" i="28"/>
  <c r="A66" i="28"/>
  <c r="G65" i="28"/>
  <c r="A65" i="28"/>
  <c r="G64" i="28"/>
  <c r="A64" i="28"/>
  <c r="G63" i="28"/>
  <c r="A63" i="28"/>
  <c r="G62" i="28"/>
  <c r="A62" i="28"/>
  <c r="G61" i="28"/>
  <c r="A61" i="28"/>
  <c r="G60" i="28"/>
  <c r="A60" i="28"/>
  <c r="G59" i="28"/>
  <c r="A59" i="28"/>
  <c r="G58" i="28"/>
  <c r="A58" i="28"/>
  <c r="G57" i="28"/>
  <c r="A57" i="28"/>
  <c r="G56" i="28"/>
  <c r="A56" i="28"/>
  <c r="G55" i="28"/>
  <c r="A55" i="28"/>
  <c r="G54" i="28"/>
  <c r="A54" i="28"/>
  <c r="G53" i="28"/>
  <c r="A53" i="28"/>
  <c r="G52" i="28"/>
  <c r="A52" i="28"/>
  <c r="G51" i="28"/>
  <c r="A51" i="28"/>
  <c r="G50" i="28"/>
  <c r="A50" i="28"/>
  <c r="G49" i="28"/>
  <c r="A49" i="28"/>
  <c r="G48" i="28"/>
  <c r="A48" i="28"/>
  <c r="G47" i="28"/>
  <c r="A47" i="28"/>
  <c r="G46" i="28"/>
  <c r="A46" i="28"/>
  <c r="G45" i="28"/>
  <c r="A45" i="28"/>
  <c r="G44" i="28"/>
  <c r="A44" i="28"/>
  <c r="G43" i="28"/>
  <c r="A43" i="28"/>
  <c r="G42" i="28"/>
  <c r="A42" i="28"/>
  <c r="G41" i="28"/>
  <c r="A41" i="28"/>
  <c r="G40" i="28"/>
  <c r="A40" i="28"/>
  <c r="G39" i="28"/>
  <c r="A39" i="28"/>
  <c r="G38" i="28"/>
  <c r="A38" i="28"/>
  <c r="G37" i="28"/>
  <c r="A37" i="28"/>
  <c r="G36" i="28"/>
  <c r="A36" i="28"/>
  <c r="G35" i="28"/>
  <c r="A35" i="28"/>
  <c r="G34" i="28"/>
  <c r="A34" i="28"/>
  <c r="G33" i="28"/>
  <c r="A33" i="28"/>
  <c r="G32" i="28"/>
  <c r="A32" i="28"/>
  <c r="A31" i="28"/>
  <c r="A30" i="28"/>
  <c r="G29" i="28"/>
  <c r="A29" i="28"/>
  <c r="G28" i="28"/>
  <c r="A28" i="28"/>
  <c r="G27" i="28"/>
  <c r="A27" i="28"/>
  <c r="G26" i="28"/>
  <c r="A26" i="28"/>
  <c r="G25" i="28"/>
  <c r="A25" i="28"/>
  <c r="G24" i="28"/>
  <c r="A24" i="28"/>
  <c r="G23" i="28"/>
  <c r="A23" i="28"/>
  <c r="G22" i="28"/>
  <c r="A22" i="28"/>
  <c r="G21" i="28"/>
  <c r="A21" i="28"/>
  <c r="G20" i="28"/>
  <c r="A20" i="28"/>
  <c r="G19" i="28"/>
  <c r="A19" i="28"/>
  <c r="G18" i="28"/>
  <c r="A18" i="28"/>
  <c r="G17" i="28"/>
  <c r="A17" i="28"/>
  <c r="A16" i="28"/>
  <c r="A15" i="28"/>
  <c r="G14" i="28"/>
  <c r="A14" i="28"/>
  <c r="G13" i="28"/>
  <c r="A13" i="28"/>
  <c r="G12" i="28"/>
  <c r="A12" i="28"/>
  <c r="G11" i="28"/>
  <c r="A11" i="28"/>
  <c r="G10" i="28"/>
  <c r="A10" i="28"/>
  <c r="G9" i="28"/>
  <c r="A9" i="28"/>
  <c r="G8" i="28"/>
  <c r="A8" i="28"/>
  <c r="G7" i="28"/>
  <c r="A7" i="28"/>
  <c r="G6" i="28"/>
  <c r="A6" i="28"/>
  <c r="G5" i="28"/>
  <c r="A5" i="28"/>
  <c r="G4" i="28"/>
  <c r="A4" i="28"/>
  <c r="G3" i="28"/>
  <c r="A3" i="28"/>
  <c r="G2" i="28"/>
  <c r="A2" i="28"/>
  <c r="E132" i="9"/>
  <c r="D132" i="9"/>
  <c r="C132" i="9"/>
  <c r="F132" i="9" s="1"/>
  <c r="E131" i="9"/>
  <c r="D131" i="9"/>
  <c r="C131" i="9"/>
  <c r="F131" i="9" s="1"/>
  <c r="E130" i="9"/>
  <c r="D130" i="9"/>
  <c r="C130" i="9"/>
  <c r="E129" i="9"/>
  <c r="D129" i="9"/>
  <c r="C129" i="9"/>
  <c r="F129" i="9" s="1"/>
  <c r="F69" i="8"/>
  <c r="E69" i="8"/>
  <c r="D69" i="8"/>
  <c r="C69" i="8"/>
  <c r="F68" i="8"/>
  <c r="E68" i="8"/>
  <c r="D68" i="8"/>
  <c r="C68" i="8"/>
  <c r="F67" i="8"/>
  <c r="E67" i="8"/>
  <c r="D67" i="8"/>
  <c r="C67" i="8"/>
  <c r="F66" i="8"/>
  <c r="F70" i="8" s="1"/>
  <c r="E66" i="8"/>
  <c r="D66" i="8"/>
  <c r="C66" i="8"/>
  <c r="F61" i="7"/>
  <c r="E61" i="7"/>
  <c r="D61" i="7"/>
  <c r="C61" i="7"/>
  <c r="F60" i="7"/>
  <c r="E60" i="7"/>
  <c r="D60" i="7"/>
  <c r="C60" i="7"/>
  <c r="F59" i="7"/>
  <c r="E59" i="7"/>
  <c r="D59" i="7"/>
  <c r="C59" i="7"/>
  <c r="F58" i="7"/>
  <c r="F62" i="7" s="1"/>
  <c r="E58" i="7"/>
  <c r="D58" i="7"/>
  <c r="C58" i="7"/>
  <c r="D45" i="14"/>
  <c r="E181" i="1"/>
  <c r="E180" i="1"/>
  <c r="E178" i="1"/>
  <c r="E177" i="1"/>
  <c r="E176" i="1"/>
  <c r="E174" i="1"/>
  <c r="E172" i="1"/>
  <c r="D172" i="1" s="1"/>
  <c r="E171" i="1"/>
  <c r="C283" i="27"/>
  <c r="C280" i="27"/>
  <c r="C279" i="27"/>
  <c r="C277" i="27"/>
  <c r="C275" i="27"/>
  <c r="C266" i="27"/>
  <c r="C258" i="27"/>
  <c r="C257" i="27"/>
  <c r="C256" i="27"/>
  <c r="C254" i="27"/>
  <c r="C253" i="27"/>
  <c r="C252" i="27"/>
  <c r="C91" i="27"/>
  <c r="C90" i="27"/>
  <c r="C89" i="27"/>
  <c r="C88" i="27"/>
  <c r="C87" i="27"/>
  <c r="C86" i="27"/>
  <c r="J5" i="27"/>
  <c r="J6" i="27"/>
  <c r="J7" i="27"/>
  <c r="J4" i="27"/>
  <c r="K4" i="27"/>
  <c r="K5" i="27"/>
  <c r="K6" i="27"/>
  <c r="K7" i="27"/>
  <c r="K3" i="27"/>
  <c r="C281" i="27"/>
  <c r="C273" i="27"/>
  <c r="C274" i="27"/>
  <c r="C92" i="27"/>
  <c r="D113" i="1"/>
  <c r="E113" i="1"/>
  <c r="R245" i="27"/>
  <c r="Q245" i="27"/>
  <c r="P245" i="27"/>
  <c r="O245" i="27"/>
  <c r="N245" i="27"/>
  <c r="M245" i="27"/>
  <c r="R244" i="27"/>
  <c r="Q244" i="27"/>
  <c r="P244" i="27"/>
  <c r="O244" i="27"/>
  <c r="N244" i="27"/>
  <c r="M244" i="27"/>
  <c r="F244" i="27"/>
  <c r="F243" i="27"/>
  <c r="P243" i="27" s="1"/>
  <c r="R242" i="27"/>
  <c r="Q242" i="27"/>
  <c r="P242" i="27"/>
  <c r="O242" i="27"/>
  <c r="N242" i="27"/>
  <c r="M242" i="27"/>
  <c r="R240" i="27"/>
  <c r="Q240" i="27"/>
  <c r="P240" i="27"/>
  <c r="O240" i="27"/>
  <c r="N240" i="27"/>
  <c r="M240" i="27"/>
  <c r="F240" i="27"/>
  <c r="F239" i="27"/>
  <c r="P239" i="27" s="1"/>
  <c r="R238" i="27"/>
  <c r="Q238" i="27"/>
  <c r="P238" i="27"/>
  <c r="O238" i="27"/>
  <c r="N238" i="27"/>
  <c r="M238" i="27"/>
  <c r="R237" i="27"/>
  <c r="Q237" i="27"/>
  <c r="P237" i="27"/>
  <c r="O237" i="27"/>
  <c r="N237" i="27"/>
  <c r="M237" i="27"/>
  <c r="R232" i="27"/>
  <c r="Q232" i="27"/>
  <c r="P232" i="27"/>
  <c r="O232" i="27"/>
  <c r="N232" i="27"/>
  <c r="M232" i="27"/>
  <c r="R231" i="27"/>
  <c r="Q231" i="27"/>
  <c r="P231" i="27"/>
  <c r="O231" i="27"/>
  <c r="N231" i="27"/>
  <c r="M231" i="27"/>
  <c r="F231" i="27"/>
  <c r="R230" i="27"/>
  <c r="Q230" i="27"/>
  <c r="P230" i="27"/>
  <c r="O230" i="27"/>
  <c r="N230" i="27"/>
  <c r="M230" i="27"/>
  <c r="F230" i="27"/>
  <c r="R229" i="27"/>
  <c r="Q229" i="27"/>
  <c r="P229" i="27"/>
  <c r="O229" i="27"/>
  <c r="N229" i="27"/>
  <c r="M229" i="27"/>
  <c r="R228" i="27"/>
  <c r="R227" i="27"/>
  <c r="Q227" i="27"/>
  <c r="P227" i="27"/>
  <c r="O227" i="27"/>
  <c r="N227" i="27"/>
  <c r="M227" i="27"/>
  <c r="F227" i="27"/>
  <c r="R226" i="27"/>
  <c r="Q226" i="27"/>
  <c r="P226" i="27"/>
  <c r="O226" i="27"/>
  <c r="N226" i="27"/>
  <c r="M226" i="27"/>
  <c r="F226" i="27"/>
  <c r="R225" i="27"/>
  <c r="Q225" i="27"/>
  <c r="Q228" i="27" s="1"/>
  <c r="P225" i="27"/>
  <c r="P228" i="27" s="1"/>
  <c r="O225" i="27"/>
  <c r="N225" i="27"/>
  <c r="M225" i="27"/>
  <c r="R224" i="27"/>
  <c r="Q224" i="27"/>
  <c r="P224" i="27"/>
  <c r="O224" i="27"/>
  <c r="O228" i="27" s="1"/>
  <c r="N224" i="27"/>
  <c r="N228" i="27" s="1"/>
  <c r="M224" i="27"/>
  <c r="M228" i="27" s="1"/>
  <c r="L216" i="27"/>
  <c r="J216" i="27"/>
  <c r="I216" i="27"/>
  <c r="G216" i="27"/>
  <c r="F216" i="27"/>
  <c r="D216" i="27"/>
  <c r="L214" i="27"/>
  <c r="J214" i="27"/>
  <c r="I214" i="27"/>
  <c r="G214" i="27"/>
  <c r="G213" i="27" s="1"/>
  <c r="G217" i="27" s="1"/>
  <c r="F214" i="27"/>
  <c r="F213" i="27" s="1"/>
  <c r="F217" i="27" s="1"/>
  <c r="D214" i="27"/>
  <c r="D213" i="27" s="1"/>
  <c r="D217" i="27" s="1"/>
  <c r="L213" i="27"/>
  <c r="J213" i="27"/>
  <c r="J217" i="27" s="1"/>
  <c r="I213" i="27"/>
  <c r="I217" i="27" s="1"/>
  <c r="L212" i="27"/>
  <c r="J212" i="27"/>
  <c r="I212" i="27"/>
  <c r="G212" i="27"/>
  <c r="F212" i="27"/>
  <c r="D212" i="27"/>
  <c r="L210" i="27"/>
  <c r="L209" i="27" s="1"/>
  <c r="L217" i="27" s="1"/>
  <c r="J210" i="27"/>
  <c r="I210" i="27"/>
  <c r="G210" i="27"/>
  <c r="F210" i="27"/>
  <c r="D210" i="27"/>
  <c r="D209" i="27" s="1"/>
  <c r="J209" i="27"/>
  <c r="I209" i="27"/>
  <c r="G209" i="27"/>
  <c r="F209" i="27"/>
  <c r="C203" i="27"/>
  <c r="D203" i="27" s="1"/>
  <c r="C202" i="27"/>
  <c r="L202" i="27" s="1"/>
  <c r="L201" i="27"/>
  <c r="J201" i="27"/>
  <c r="I201" i="27"/>
  <c r="G201" i="27"/>
  <c r="F201" i="27"/>
  <c r="D201" i="27"/>
  <c r="C201" i="27"/>
  <c r="L200" i="27"/>
  <c r="J200" i="27"/>
  <c r="I200" i="27"/>
  <c r="G200" i="27"/>
  <c r="F200" i="27"/>
  <c r="D200" i="27"/>
  <c r="C200" i="27"/>
  <c r="C199" i="27"/>
  <c r="G199" i="27" s="1"/>
  <c r="L198" i="27"/>
  <c r="J198" i="27"/>
  <c r="C198" i="27"/>
  <c r="I198" i="27" s="1"/>
  <c r="L192" i="27"/>
  <c r="J192" i="27"/>
  <c r="I192" i="27"/>
  <c r="G192" i="27"/>
  <c r="F192" i="27"/>
  <c r="D192" i="27"/>
  <c r="C192" i="27"/>
  <c r="L191" i="27"/>
  <c r="J191" i="27"/>
  <c r="I191" i="27"/>
  <c r="G191" i="27"/>
  <c r="F191" i="27"/>
  <c r="D191" i="27"/>
  <c r="C191" i="27"/>
  <c r="C190" i="27"/>
  <c r="G190" i="27" s="1"/>
  <c r="L189" i="27"/>
  <c r="J189" i="27"/>
  <c r="C189" i="27"/>
  <c r="I189" i="27" s="1"/>
  <c r="L188" i="27"/>
  <c r="J188" i="27"/>
  <c r="I188" i="27"/>
  <c r="G188" i="27"/>
  <c r="F188" i="27"/>
  <c r="D188" i="27"/>
  <c r="C188" i="27"/>
  <c r="C187" i="27"/>
  <c r="I187" i="27" s="1"/>
  <c r="I193" i="27" s="1"/>
  <c r="L183" i="27"/>
  <c r="J183" i="27"/>
  <c r="I183" i="27"/>
  <c r="G183" i="27"/>
  <c r="F183" i="27"/>
  <c r="D183" i="27"/>
  <c r="F182" i="27"/>
  <c r="D182" i="27"/>
  <c r="L177" i="27"/>
  <c r="J177" i="27"/>
  <c r="I177" i="27"/>
  <c r="G177" i="27"/>
  <c r="F177" i="27"/>
  <c r="L176" i="27"/>
  <c r="L182" i="27" s="1"/>
  <c r="J176" i="27"/>
  <c r="J182" i="27" s="1"/>
  <c r="I176" i="27"/>
  <c r="I182" i="27" s="1"/>
  <c r="G176" i="27"/>
  <c r="G182" i="27" s="1"/>
  <c r="F176" i="27"/>
  <c r="H151" i="27"/>
  <c r="G151" i="27"/>
  <c r="F151" i="27"/>
  <c r="E151" i="27"/>
  <c r="D151" i="27"/>
  <c r="C151" i="27"/>
  <c r="E149" i="27"/>
  <c r="H148" i="27"/>
  <c r="G148" i="27"/>
  <c r="F148" i="27"/>
  <c r="E148" i="27"/>
  <c r="D148" i="27"/>
  <c r="C148" i="27"/>
  <c r="H144" i="27"/>
  <c r="G138" i="27"/>
  <c r="F138" i="27"/>
  <c r="E138" i="27"/>
  <c r="D138" i="27"/>
  <c r="C138" i="27"/>
  <c r="F136" i="27"/>
  <c r="G135" i="27"/>
  <c r="F135" i="27"/>
  <c r="E135" i="27"/>
  <c r="D135" i="27"/>
  <c r="C135" i="27"/>
  <c r="H131" i="27"/>
  <c r="H138" i="27" s="1"/>
  <c r="F121" i="27"/>
  <c r="E121" i="27"/>
  <c r="E120" i="27"/>
  <c r="F120" i="27" s="1"/>
  <c r="G120" i="27" s="1"/>
  <c r="C276" i="27" s="1"/>
  <c r="E119" i="27"/>
  <c r="F119" i="27" s="1"/>
  <c r="F118" i="27"/>
  <c r="E118" i="27"/>
  <c r="F117" i="27"/>
  <c r="E117" i="27"/>
  <c r="E116" i="27"/>
  <c r="F116" i="27" s="1"/>
  <c r="H103" i="27"/>
  <c r="G103" i="27"/>
  <c r="F103" i="27"/>
  <c r="E103" i="27"/>
  <c r="D103" i="27"/>
  <c r="C103" i="27"/>
  <c r="C272" i="27"/>
  <c r="C271" i="27"/>
  <c r="C270" i="27"/>
  <c r="C269" i="27"/>
  <c r="C267" i="27"/>
  <c r="I82" i="27"/>
  <c r="H82" i="27"/>
  <c r="G82" i="27"/>
  <c r="F82" i="27"/>
  <c r="E82" i="27"/>
  <c r="D82" i="27"/>
  <c r="C152" i="27"/>
  <c r="AL190" i="26"/>
  <c r="AK190" i="26"/>
  <c r="AJ190" i="26"/>
  <c r="AI190" i="26"/>
  <c r="AH190" i="26"/>
  <c r="AG190" i="26"/>
  <c r="AF190" i="26"/>
  <c r="AE190" i="26"/>
  <c r="AD190" i="26"/>
  <c r="AC190" i="26"/>
  <c r="AB190" i="26"/>
  <c r="AA190" i="26"/>
  <c r="AA192" i="26" s="1"/>
  <c r="Z190" i="26"/>
  <c r="Y190" i="26"/>
  <c r="X190" i="26"/>
  <c r="W190" i="26"/>
  <c r="V190" i="26"/>
  <c r="U190" i="26"/>
  <c r="T190" i="26"/>
  <c r="S190" i="26"/>
  <c r="R190" i="26"/>
  <c r="Q190" i="26"/>
  <c r="P190" i="26"/>
  <c r="O190" i="26"/>
  <c r="N190" i="26"/>
  <c r="M190" i="26"/>
  <c r="L190" i="26"/>
  <c r="K190" i="26"/>
  <c r="J190" i="26"/>
  <c r="I190" i="26"/>
  <c r="H190" i="26"/>
  <c r="G190" i="26"/>
  <c r="F190" i="26"/>
  <c r="AL189" i="26"/>
  <c r="AK189" i="26"/>
  <c r="AJ189" i="26"/>
  <c r="AI189" i="26"/>
  <c r="AH189" i="26"/>
  <c r="AG189" i="26"/>
  <c r="AF189" i="26"/>
  <c r="AE189" i="26"/>
  <c r="AD189" i="26"/>
  <c r="AD192" i="26" s="1"/>
  <c r="AC189" i="26"/>
  <c r="AB189" i="26"/>
  <c r="AA189" i="26"/>
  <c r="Z189" i="26"/>
  <c r="Y189" i="26"/>
  <c r="X189" i="26"/>
  <c r="W189" i="26"/>
  <c r="V189" i="26"/>
  <c r="U189" i="26"/>
  <c r="T189" i="26"/>
  <c r="S189" i="26"/>
  <c r="R189" i="26"/>
  <c r="Q189" i="26"/>
  <c r="Q192" i="26" s="1"/>
  <c r="P189" i="26"/>
  <c r="O189" i="26"/>
  <c r="N189" i="26"/>
  <c r="M189" i="26"/>
  <c r="L189" i="26"/>
  <c r="K189" i="26"/>
  <c r="J189" i="26"/>
  <c r="I189" i="26"/>
  <c r="H189" i="26"/>
  <c r="G189" i="26"/>
  <c r="F189" i="26"/>
  <c r="AL188" i="26"/>
  <c r="AK188" i="26"/>
  <c r="AJ188" i="26"/>
  <c r="AI188" i="26"/>
  <c r="AH188" i="26"/>
  <c r="AG188" i="26"/>
  <c r="AF188" i="26"/>
  <c r="AE188" i="26"/>
  <c r="AD188" i="26"/>
  <c r="AC188" i="26"/>
  <c r="AB188" i="26"/>
  <c r="AA188" i="26"/>
  <c r="Z188" i="26"/>
  <c r="Y188" i="26"/>
  <c r="X188" i="26"/>
  <c r="W188" i="26"/>
  <c r="V188" i="26"/>
  <c r="U188" i="26"/>
  <c r="T188" i="26"/>
  <c r="S188" i="26"/>
  <c r="R188" i="26"/>
  <c r="Q188" i="26"/>
  <c r="P188" i="26"/>
  <c r="O188" i="26"/>
  <c r="N188" i="26"/>
  <c r="M188" i="26"/>
  <c r="M192" i="26" s="1"/>
  <c r="L188" i="26"/>
  <c r="K188" i="26"/>
  <c r="J188" i="26"/>
  <c r="I188" i="26"/>
  <c r="H188" i="26"/>
  <c r="G188" i="26"/>
  <c r="F188" i="26"/>
  <c r="AL187" i="26"/>
  <c r="AK187" i="26"/>
  <c r="AJ187" i="26"/>
  <c r="AI187" i="26"/>
  <c r="AH187" i="26"/>
  <c r="AG187" i="26"/>
  <c r="AG192" i="26" s="1"/>
  <c r="AF187" i="26"/>
  <c r="AE187" i="26"/>
  <c r="AD187" i="26"/>
  <c r="AC187" i="26"/>
  <c r="AB187" i="26"/>
  <c r="AA187" i="26"/>
  <c r="Z187" i="26"/>
  <c r="Y187" i="26"/>
  <c r="X187" i="26"/>
  <c r="W187" i="26"/>
  <c r="V187" i="26"/>
  <c r="U187" i="26"/>
  <c r="T187" i="26"/>
  <c r="S187" i="26"/>
  <c r="R187" i="26"/>
  <c r="Q187" i="26"/>
  <c r="P187" i="26"/>
  <c r="O187" i="26"/>
  <c r="N187" i="26"/>
  <c r="M187" i="26"/>
  <c r="L187" i="26"/>
  <c r="K187" i="26"/>
  <c r="J187" i="26"/>
  <c r="I187" i="26"/>
  <c r="H187" i="26"/>
  <c r="G187" i="26"/>
  <c r="F187" i="26"/>
  <c r="AL186" i="26"/>
  <c r="AK186" i="26"/>
  <c r="AJ186" i="26"/>
  <c r="AI186" i="26"/>
  <c r="AH186" i="26"/>
  <c r="AG186" i="26"/>
  <c r="AF186" i="26"/>
  <c r="AE186" i="26"/>
  <c r="AD186" i="26"/>
  <c r="AC186" i="26"/>
  <c r="AB186" i="26"/>
  <c r="AA186" i="26"/>
  <c r="Z186" i="26"/>
  <c r="Y186" i="26"/>
  <c r="X186" i="26"/>
  <c r="W186" i="26"/>
  <c r="V186" i="26"/>
  <c r="U186" i="26"/>
  <c r="T186" i="26"/>
  <c r="S186" i="26"/>
  <c r="R186" i="26"/>
  <c r="Q186" i="26"/>
  <c r="P186" i="26"/>
  <c r="P192" i="26" s="1"/>
  <c r="O186" i="26"/>
  <c r="N186" i="26"/>
  <c r="M186" i="26"/>
  <c r="L186" i="26"/>
  <c r="K186" i="26"/>
  <c r="J186" i="26"/>
  <c r="I186" i="26"/>
  <c r="H186" i="26"/>
  <c r="G186" i="26"/>
  <c r="F186" i="26"/>
  <c r="AL185" i="26"/>
  <c r="AK185" i="26"/>
  <c r="AJ185" i="26"/>
  <c r="AI185" i="26"/>
  <c r="AH185" i="26"/>
  <c r="AH192" i="26" s="1"/>
  <c r="AG185" i="26"/>
  <c r="AF185" i="26"/>
  <c r="AF192" i="26" s="1"/>
  <c r="AE185" i="26"/>
  <c r="AE192" i="26" s="1"/>
  <c r="AD185" i="26"/>
  <c r="AC185" i="26"/>
  <c r="AB185" i="26"/>
  <c r="AA185" i="26"/>
  <c r="Z185" i="26"/>
  <c r="Y185" i="26"/>
  <c r="X185" i="26"/>
  <c r="X192" i="26" s="1"/>
  <c r="W185" i="26"/>
  <c r="V185" i="26"/>
  <c r="U185" i="26"/>
  <c r="U192" i="26" s="1"/>
  <c r="T185" i="26"/>
  <c r="T192" i="26" s="1"/>
  <c r="S185" i="26"/>
  <c r="R185" i="26"/>
  <c r="Q185" i="26"/>
  <c r="P185" i="26"/>
  <c r="O185" i="26"/>
  <c r="N185" i="26"/>
  <c r="N192" i="26" s="1"/>
  <c r="M185" i="26"/>
  <c r="L185" i="26"/>
  <c r="K185" i="26"/>
  <c r="K192" i="26" s="1"/>
  <c r="J185" i="26"/>
  <c r="I185" i="26"/>
  <c r="H185" i="26"/>
  <c r="G185" i="26"/>
  <c r="F185" i="26"/>
  <c r="AI158" i="26"/>
  <c r="AH158" i="26"/>
  <c r="AB158" i="26"/>
  <c r="X158" i="26"/>
  <c r="W158" i="26"/>
  <c r="V158" i="26"/>
  <c r="T158" i="26"/>
  <c r="S158" i="26"/>
  <c r="R158" i="26"/>
  <c r="J158" i="26"/>
  <c r="H158" i="26"/>
  <c r="G158" i="26"/>
  <c r="AC157" i="26"/>
  <c r="AB157" i="26"/>
  <c r="Y157" i="26"/>
  <c r="W157" i="26"/>
  <c r="L157" i="26"/>
  <c r="K157" i="26"/>
  <c r="AI156" i="26"/>
  <c r="AH156" i="26"/>
  <c r="AG156" i="26"/>
  <c r="AF156" i="26"/>
  <c r="AC156" i="26"/>
  <c r="AC160" i="26" s="1"/>
  <c r="X156" i="26"/>
  <c r="U156" i="26"/>
  <c r="T156" i="26"/>
  <c r="S156" i="26"/>
  <c r="AL154" i="26"/>
  <c r="AK154" i="26"/>
  <c r="AJ154" i="26"/>
  <c r="AJ158" i="26" s="1"/>
  <c r="AI154" i="26"/>
  <c r="AH154" i="26"/>
  <c r="AG154" i="26"/>
  <c r="AF154" i="26"/>
  <c r="AE154" i="26"/>
  <c r="AD154" i="26"/>
  <c r="AD158" i="26" s="1"/>
  <c r="AC154" i="26"/>
  <c r="AB154" i="26"/>
  <c r="AA154" i="26"/>
  <c r="Z154" i="26"/>
  <c r="Y154" i="26"/>
  <c r="X154" i="26"/>
  <c r="W154" i="26"/>
  <c r="V154" i="26"/>
  <c r="U154" i="26"/>
  <c r="T154" i="26"/>
  <c r="S154" i="26"/>
  <c r="R154" i="26"/>
  <c r="Q154" i="26"/>
  <c r="P154" i="26"/>
  <c r="O154" i="26"/>
  <c r="N154" i="26"/>
  <c r="M154" i="26"/>
  <c r="L154" i="26"/>
  <c r="K154" i="26"/>
  <c r="J154" i="26"/>
  <c r="I154" i="26"/>
  <c r="H154" i="26"/>
  <c r="G154" i="26"/>
  <c r="F154" i="26"/>
  <c r="F158" i="26" s="1"/>
  <c r="AL153" i="26"/>
  <c r="AL158" i="26" s="1"/>
  <c r="AK153" i="26"/>
  <c r="AK158" i="26" s="1"/>
  <c r="AJ153" i="26"/>
  <c r="AI153" i="26"/>
  <c r="AH153" i="26"/>
  <c r="AG153" i="26"/>
  <c r="AG158" i="26" s="1"/>
  <c r="AF153" i="26"/>
  <c r="AF158" i="26" s="1"/>
  <c r="AE153" i="26"/>
  <c r="AD153" i="26"/>
  <c r="AC153" i="26"/>
  <c r="AC158" i="26" s="1"/>
  <c r="AB153" i="26"/>
  <c r="AA153" i="26"/>
  <c r="AA158" i="26" s="1"/>
  <c r="Z153" i="26"/>
  <c r="Y153" i="26"/>
  <c r="Y158" i="26" s="1"/>
  <c r="X153" i="26"/>
  <c r="W153" i="26"/>
  <c r="V153" i="26"/>
  <c r="U153" i="26"/>
  <c r="T153" i="26"/>
  <c r="S153" i="26"/>
  <c r="R153" i="26"/>
  <c r="Q153" i="26"/>
  <c r="Q158" i="26" s="1"/>
  <c r="P153" i="26"/>
  <c r="O153" i="26"/>
  <c r="N153" i="26"/>
  <c r="N158" i="26" s="1"/>
  <c r="M153" i="26"/>
  <c r="M158" i="26" s="1"/>
  <c r="L153" i="26"/>
  <c r="L158" i="26" s="1"/>
  <c r="K153" i="26"/>
  <c r="J153" i="26"/>
  <c r="I153" i="26"/>
  <c r="I158" i="26" s="1"/>
  <c r="H153" i="26"/>
  <c r="G153" i="26"/>
  <c r="F153" i="26"/>
  <c r="AL152" i="26"/>
  <c r="AK152" i="26"/>
  <c r="AJ152" i="26"/>
  <c r="AI152" i="26"/>
  <c r="AH152" i="26"/>
  <c r="AG152" i="26"/>
  <c r="AF152" i="26"/>
  <c r="AE152" i="26"/>
  <c r="AD152" i="26"/>
  <c r="AC152" i="26"/>
  <c r="AB152" i="26"/>
  <c r="AA152" i="26"/>
  <c r="Z152" i="26"/>
  <c r="Y152" i="26"/>
  <c r="X152" i="26"/>
  <c r="W152" i="26"/>
  <c r="V152" i="26"/>
  <c r="U152" i="26"/>
  <c r="T152" i="26"/>
  <c r="S152" i="26"/>
  <c r="R152" i="26"/>
  <c r="Q152" i="26"/>
  <c r="P152" i="26"/>
  <c r="O152" i="26"/>
  <c r="N152" i="26"/>
  <c r="M152" i="26"/>
  <c r="L152" i="26"/>
  <c r="K152" i="26"/>
  <c r="J152" i="26"/>
  <c r="I152" i="26"/>
  <c r="H152" i="26"/>
  <c r="G152" i="26"/>
  <c r="F152" i="26"/>
  <c r="AL151" i="26"/>
  <c r="AK151" i="26"/>
  <c r="AJ151" i="26"/>
  <c r="AI151" i="26"/>
  <c r="AH151" i="26"/>
  <c r="AG151" i="26"/>
  <c r="AF151" i="26"/>
  <c r="AE151" i="26"/>
  <c r="AD151" i="26"/>
  <c r="AC151" i="26"/>
  <c r="AB151" i="26"/>
  <c r="AA151" i="26"/>
  <c r="Z151" i="26"/>
  <c r="Y151" i="26"/>
  <c r="X151" i="26"/>
  <c r="W151" i="26"/>
  <c r="V151" i="26"/>
  <c r="U151" i="26"/>
  <c r="T151" i="26"/>
  <c r="S151" i="26"/>
  <c r="R151" i="26"/>
  <c r="Q151" i="26"/>
  <c r="P151" i="26"/>
  <c r="O151" i="26"/>
  <c r="N151" i="26"/>
  <c r="M151" i="26"/>
  <c r="L151" i="26"/>
  <c r="K151" i="26"/>
  <c r="J151" i="26"/>
  <c r="I151" i="26"/>
  <c r="H151" i="26"/>
  <c r="G151" i="26"/>
  <c r="F151" i="26"/>
  <c r="AL150" i="26"/>
  <c r="AK150" i="26"/>
  <c r="AJ150" i="26"/>
  <c r="AI150" i="26"/>
  <c r="AH150" i="26"/>
  <c r="AG150" i="26"/>
  <c r="AF150" i="26"/>
  <c r="AE150" i="26"/>
  <c r="AD150" i="26"/>
  <c r="AC150" i="26"/>
  <c r="AB150" i="26"/>
  <c r="AA150" i="26"/>
  <c r="Z150" i="26"/>
  <c r="Y150" i="26"/>
  <c r="X150" i="26"/>
  <c r="W150" i="26"/>
  <c r="V150" i="26"/>
  <c r="U150" i="26"/>
  <c r="T150" i="26"/>
  <c r="S150" i="26"/>
  <c r="R150" i="26"/>
  <c r="Q150" i="26"/>
  <c r="P150" i="26"/>
  <c r="O150" i="26"/>
  <c r="N150" i="26"/>
  <c r="M150" i="26"/>
  <c r="L150" i="26"/>
  <c r="K150" i="26"/>
  <c r="J150" i="26"/>
  <c r="I150" i="26"/>
  <c r="H150" i="26"/>
  <c r="G150" i="26"/>
  <c r="F150" i="26"/>
  <c r="AL149" i="26"/>
  <c r="AK149" i="26"/>
  <c r="AJ149" i="26"/>
  <c r="AJ157" i="26" s="1"/>
  <c r="AI149" i="26"/>
  <c r="AH149" i="26"/>
  <c r="AG149" i="26"/>
  <c r="AF149" i="26"/>
  <c r="AE149" i="26"/>
  <c r="AD149" i="26"/>
  <c r="AC149" i="26"/>
  <c r="AB149" i="26"/>
  <c r="AA149" i="26"/>
  <c r="Z149" i="26"/>
  <c r="Y149" i="26"/>
  <c r="X149" i="26"/>
  <c r="W149" i="26"/>
  <c r="V149" i="26"/>
  <c r="U149" i="26"/>
  <c r="T149" i="26"/>
  <c r="S149" i="26"/>
  <c r="R149" i="26"/>
  <c r="Q149" i="26"/>
  <c r="P149" i="26"/>
  <c r="O149" i="26"/>
  <c r="N149" i="26"/>
  <c r="M149" i="26"/>
  <c r="L149" i="26"/>
  <c r="K149" i="26"/>
  <c r="J149" i="26"/>
  <c r="I149" i="26"/>
  <c r="H149" i="26"/>
  <c r="G149" i="26"/>
  <c r="F149" i="26"/>
  <c r="AL148" i="26"/>
  <c r="AK148" i="26"/>
  <c r="AJ148" i="26"/>
  <c r="AI148" i="26"/>
  <c r="AH148" i="26"/>
  <c r="AG148" i="26"/>
  <c r="AF148" i="26"/>
  <c r="AE148" i="26"/>
  <c r="AD148" i="26"/>
  <c r="AC148" i="26"/>
  <c r="AB148" i="26"/>
  <c r="AA148" i="26"/>
  <c r="Z148" i="26"/>
  <c r="Y148" i="26"/>
  <c r="X148" i="26"/>
  <c r="W148" i="26"/>
  <c r="V148" i="26"/>
  <c r="U148" i="26"/>
  <c r="T148" i="26"/>
  <c r="S148" i="26"/>
  <c r="R148" i="26"/>
  <c r="Q148" i="26"/>
  <c r="P148" i="26"/>
  <c r="O148" i="26"/>
  <c r="N148" i="26"/>
  <c r="M148" i="26"/>
  <c r="L148" i="26"/>
  <c r="K148" i="26"/>
  <c r="J148" i="26"/>
  <c r="I148" i="26"/>
  <c r="I157" i="26" s="1"/>
  <c r="H148" i="26"/>
  <c r="G148" i="26"/>
  <c r="F148" i="26"/>
  <c r="AL147" i="26"/>
  <c r="AK147" i="26"/>
  <c r="AJ147" i="26"/>
  <c r="AI147" i="26"/>
  <c r="AH147" i="26"/>
  <c r="AG147" i="26"/>
  <c r="AF147" i="26"/>
  <c r="AE147" i="26"/>
  <c r="AD147" i="26"/>
  <c r="AC147" i="26"/>
  <c r="AB147" i="26"/>
  <c r="AA147" i="26"/>
  <c r="Z147" i="26"/>
  <c r="Y147" i="26"/>
  <c r="X147" i="26"/>
  <c r="W147" i="26"/>
  <c r="V147" i="26"/>
  <c r="U147" i="26"/>
  <c r="T147" i="26"/>
  <c r="S147" i="26"/>
  <c r="R147" i="26"/>
  <c r="Q147" i="26"/>
  <c r="P147" i="26"/>
  <c r="O147" i="26"/>
  <c r="N147" i="26"/>
  <c r="M147" i="26"/>
  <c r="L147" i="26"/>
  <c r="K147" i="26"/>
  <c r="J147" i="26"/>
  <c r="I147" i="26"/>
  <c r="H147" i="26"/>
  <c r="G147" i="26"/>
  <c r="F147" i="26"/>
  <c r="AL146" i="26"/>
  <c r="AL157" i="26" s="1"/>
  <c r="AK146" i="26"/>
  <c r="AK157" i="26" s="1"/>
  <c r="AJ146" i="26"/>
  <c r="AI146" i="26"/>
  <c r="AH146" i="26"/>
  <c r="AG146" i="26"/>
  <c r="AF146" i="26"/>
  <c r="AE146" i="26"/>
  <c r="AD146" i="26"/>
  <c r="AD157" i="26" s="1"/>
  <c r="AC146" i="26"/>
  <c r="AB146" i="26"/>
  <c r="AA146" i="26"/>
  <c r="AA157" i="26" s="1"/>
  <c r="Z146" i="26"/>
  <c r="Y146" i="26"/>
  <c r="X146" i="26"/>
  <c r="W146" i="26"/>
  <c r="V146" i="26"/>
  <c r="U146" i="26"/>
  <c r="T146" i="26"/>
  <c r="T157" i="26" s="1"/>
  <c r="S146" i="26"/>
  <c r="R146" i="26"/>
  <c r="R157" i="26" s="1"/>
  <c r="Q146" i="26"/>
  <c r="Q157" i="26" s="1"/>
  <c r="P146" i="26"/>
  <c r="O146" i="26"/>
  <c r="N146" i="26"/>
  <c r="M146" i="26"/>
  <c r="L146" i="26"/>
  <c r="K146" i="26"/>
  <c r="J146" i="26"/>
  <c r="J157" i="26" s="1"/>
  <c r="I146" i="26"/>
  <c r="H146" i="26"/>
  <c r="H157" i="26" s="1"/>
  <c r="G146" i="26"/>
  <c r="G157" i="26" s="1"/>
  <c r="F146" i="26"/>
  <c r="AL145" i="26"/>
  <c r="AL156" i="26" s="1"/>
  <c r="AK145" i="26"/>
  <c r="AK156" i="26" s="1"/>
  <c r="AJ145" i="26"/>
  <c r="AJ156" i="26" s="1"/>
  <c r="AI145" i="26"/>
  <c r="AH145" i="26"/>
  <c r="AG145" i="26"/>
  <c r="AF145" i="26"/>
  <c r="AE145" i="26"/>
  <c r="AE156" i="26" s="1"/>
  <c r="AD145" i="26"/>
  <c r="AD156" i="26" s="1"/>
  <c r="AD160" i="26" s="1"/>
  <c r="AC145" i="26"/>
  <c r="AB145" i="26"/>
  <c r="AB156" i="26" s="1"/>
  <c r="AA145" i="26"/>
  <c r="AA156" i="26" s="1"/>
  <c r="Z145" i="26"/>
  <c r="Z156" i="26" s="1"/>
  <c r="Y145" i="26"/>
  <c r="Y156" i="26" s="1"/>
  <c r="X145" i="26"/>
  <c r="W145" i="26"/>
  <c r="W156" i="26" s="1"/>
  <c r="V145" i="26"/>
  <c r="V156" i="26" s="1"/>
  <c r="U145" i="26"/>
  <c r="T145" i="26"/>
  <c r="S145" i="26"/>
  <c r="R145" i="26"/>
  <c r="R156" i="26" s="1"/>
  <c r="R160" i="26" s="1"/>
  <c r="Q145" i="26"/>
  <c r="Q156" i="26" s="1"/>
  <c r="P145" i="26"/>
  <c r="P156" i="26" s="1"/>
  <c r="O145" i="26"/>
  <c r="O156" i="26" s="1"/>
  <c r="N145" i="26"/>
  <c r="N156" i="26" s="1"/>
  <c r="M145" i="26"/>
  <c r="M156" i="26" s="1"/>
  <c r="L145" i="26"/>
  <c r="L156" i="26" s="1"/>
  <c r="K145" i="26"/>
  <c r="K156" i="26" s="1"/>
  <c r="J145" i="26"/>
  <c r="J156" i="26" s="1"/>
  <c r="J160" i="26" s="1"/>
  <c r="I145" i="26"/>
  <c r="I156" i="26" s="1"/>
  <c r="H145" i="26"/>
  <c r="H156" i="26" s="1"/>
  <c r="G145" i="26"/>
  <c r="G156" i="26" s="1"/>
  <c r="F145" i="26"/>
  <c r="F156" i="26" s="1"/>
  <c r="O139" i="26"/>
  <c r="O172" i="26" s="1"/>
  <c r="N139" i="26"/>
  <c r="N172" i="26" s="1"/>
  <c r="M139" i="26"/>
  <c r="M172" i="26" s="1"/>
  <c r="D139" i="26"/>
  <c r="C139" i="26"/>
  <c r="B139" i="26"/>
  <c r="D138" i="26"/>
  <c r="C138" i="26"/>
  <c r="B138" i="26"/>
  <c r="D137" i="26"/>
  <c r="C137" i="26"/>
  <c r="B137" i="26"/>
  <c r="AD136" i="26"/>
  <c r="AB136" i="26"/>
  <c r="Z136" i="26"/>
  <c r="D136" i="26"/>
  <c r="E136" i="26" s="1"/>
  <c r="C136" i="26"/>
  <c r="B136" i="26"/>
  <c r="D135" i="26"/>
  <c r="C135" i="26"/>
  <c r="B135" i="26"/>
  <c r="AG134" i="26"/>
  <c r="D134" i="26"/>
  <c r="E134" i="26" s="1"/>
  <c r="C134" i="26"/>
  <c r="B134" i="26"/>
  <c r="D133" i="26"/>
  <c r="C133" i="26"/>
  <c r="B133" i="26"/>
  <c r="E132" i="26"/>
  <c r="AD132" i="26" s="1"/>
  <c r="D132" i="26"/>
  <c r="C132" i="26"/>
  <c r="B132" i="26"/>
  <c r="D131" i="26"/>
  <c r="C131" i="26"/>
  <c r="B131" i="26"/>
  <c r="D130" i="26"/>
  <c r="C130" i="26"/>
  <c r="B130" i="26"/>
  <c r="Q129" i="26"/>
  <c r="P129" i="26"/>
  <c r="D129" i="26"/>
  <c r="E129" i="26" s="1"/>
  <c r="C129" i="26"/>
  <c r="B129" i="26"/>
  <c r="E128" i="26"/>
  <c r="D128" i="26"/>
  <c r="C128" i="26"/>
  <c r="B128" i="26"/>
  <c r="AB127" i="26"/>
  <c r="Z127" i="26"/>
  <c r="F127" i="26"/>
  <c r="D127" i="26"/>
  <c r="E127" i="26" s="1"/>
  <c r="C127" i="26"/>
  <c r="B127" i="26"/>
  <c r="D126" i="26"/>
  <c r="E126" i="26" s="1"/>
  <c r="C126" i="26"/>
  <c r="B126" i="26"/>
  <c r="D125" i="26"/>
  <c r="E125" i="26" s="1"/>
  <c r="R125" i="26" s="1"/>
  <c r="C125" i="26"/>
  <c r="B125" i="26"/>
  <c r="D124" i="26"/>
  <c r="C124" i="26"/>
  <c r="B124" i="26"/>
  <c r="AD123" i="26"/>
  <c r="AC123" i="26"/>
  <c r="O123" i="26"/>
  <c r="H123" i="26"/>
  <c r="D123" i="26"/>
  <c r="E123" i="26" s="1"/>
  <c r="AF123" i="26" s="1"/>
  <c r="C123" i="26"/>
  <c r="B123" i="26"/>
  <c r="D122" i="26"/>
  <c r="C122" i="26"/>
  <c r="B122" i="26"/>
  <c r="AL121" i="26"/>
  <c r="AJ121" i="26"/>
  <c r="R121" i="26"/>
  <c r="P121" i="26"/>
  <c r="O121" i="26"/>
  <c r="D121" i="26"/>
  <c r="E121" i="26" s="1"/>
  <c r="AI121" i="26" s="1"/>
  <c r="C121" i="26"/>
  <c r="B121" i="26"/>
  <c r="AL120" i="26"/>
  <c r="AF120" i="26"/>
  <c r="S120" i="26"/>
  <c r="R120" i="26"/>
  <c r="Q120" i="26"/>
  <c r="E120" i="26"/>
  <c r="AC120" i="26" s="1"/>
  <c r="D120" i="26"/>
  <c r="C120" i="26"/>
  <c r="B120" i="26"/>
  <c r="D119" i="26"/>
  <c r="C119" i="26"/>
  <c r="B119" i="26"/>
  <c r="D118" i="26"/>
  <c r="E118" i="26" s="1"/>
  <c r="C118" i="26"/>
  <c r="B118" i="26"/>
  <c r="D117" i="26"/>
  <c r="C117" i="26"/>
  <c r="B117" i="26"/>
  <c r="D116" i="26"/>
  <c r="C116" i="26"/>
  <c r="B116" i="26"/>
  <c r="AL115" i="26"/>
  <c r="AL167" i="26" s="1"/>
  <c r="Y115" i="26"/>
  <c r="Y167" i="26" s="1"/>
  <c r="W115" i="26"/>
  <c r="W167" i="26" s="1"/>
  <c r="T115" i="26"/>
  <c r="T167" i="26" s="1"/>
  <c r="F115" i="26"/>
  <c r="F167" i="26" s="1"/>
  <c r="E115" i="26"/>
  <c r="AK115" i="26" s="1"/>
  <c r="AK167" i="26" s="1"/>
  <c r="D115" i="26"/>
  <c r="C115" i="26"/>
  <c r="B115" i="26"/>
  <c r="AG114" i="26"/>
  <c r="AF114" i="26"/>
  <c r="AE114" i="26"/>
  <c r="AD114" i="26"/>
  <c r="AC114" i="26"/>
  <c r="S114" i="26"/>
  <c r="R114" i="26"/>
  <c r="O114" i="26"/>
  <c r="L114" i="26"/>
  <c r="K114" i="26"/>
  <c r="D114" i="26"/>
  <c r="E114" i="26" s="1"/>
  <c r="V114" i="26" s="1"/>
  <c r="C114" i="26"/>
  <c r="B114" i="26"/>
  <c r="D113" i="26"/>
  <c r="E113" i="26" s="1"/>
  <c r="C113" i="26"/>
  <c r="B113" i="26"/>
  <c r="AC112" i="26"/>
  <c r="AB112" i="26"/>
  <c r="AA112" i="26"/>
  <c r="O112" i="26"/>
  <c r="M112" i="26"/>
  <c r="I112" i="26"/>
  <c r="D112" i="26"/>
  <c r="E112" i="26" s="1"/>
  <c r="C112" i="26"/>
  <c r="B112" i="26"/>
  <c r="AI111" i="26"/>
  <c r="E111" i="26"/>
  <c r="D111" i="26"/>
  <c r="C111" i="26"/>
  <c r="B111" i="26"/>
  <c r="AL110" i="26"/>
  <c r="AJ110" i="26"/>
  <c r="AI110" i="26"/>
  <c r="AG110" i="26"/>
  <c r="AE110" i="26"/>
  <c r="AB110" i="26"/>
  <c r="AA110" i="26"/>
  <c r="Z110" i="26"/>
  <c r="W110" i="26"/>
  <c r="T110" i="26"/>
  <c r="Q110" i="26"/>
  <c r="P110" i="26"/>
  <c r="O110" i="26"/>
  <c r="M110" i="26"/>
  <c r="L110" i="26"/>
  <c r="K110" i="26"/>
  <c r="F110" i="26"/>
  <c r="E110" i="26"/>
  <c r="D110" i="26"/>
  <c r="C110" i="26"/>
  <c r="B110" i="26"/>
  <c r="AJ109" i="26"/>
  <c r="AJ165" i="26" s="1"/>
  <c r="AG109" i="26"/>
  <c r="AG165" i="26" s="1"/>
  <c r="AF109" i="26"/>
  <c r="S109" i="26"/>
  <c r="R109" i="26"/>
  <c r="Q109" i="26"/>
  <c r="Q165" i="26" s="1"/>
  <c r="E109" i="26"/>
  <c r="D109" i="26"/>
  <c r="C109" i="26"/>
  <c r="B109" i="26"/>
  <c r="AJ108" i="26"/>
  <c r="AH108" i="26"/>
  <c r="AG108" i="26"/>
  <c r="AF108" i="26"/>
  <c r="AE108" i="26"/>
  <c r="AC108" i="26"/>
  <c r="Y108" i="26"/>
  <c r="X108" i="26"/>
  <c r="V108" i="26"/>
  <c r="T108" i="26"/>
  <c r="Q108" i="26"/>
  <c r="N108" i="26"/>
  <c r="M108" i="26"/>
  <c r="L108" i="26"/>
  <c r="K108" i="26"/>
  <c r="J108" i="26"/>
  <c r="F108" i="26"/>
  <c r="D108" i="26"/>
  <c r="E108" i="26" s="1"/>
  <c r="C108" i="26"/>
  <c r="B108" i="26"/>
  <c r="AJ107" i="26"/>
  <c r="AH107" i="26"/>
  <c r="AF107" i="26"/>
  <c r="R107" i="26"/>
  <c r="Q107" i="26"/>
  <c r="P107" i="26"/>
  <c r="D107" i="26"/>
  <c r="E107" i="26" s="1"/>
  <c r="AA107" i="26" s="1"/>
  <c r="C107" i="26"/>
  <c r="B107" i="26"/>
  <c r="AL106" i="26"/>
  <c r="AG106" i="26"/>
  <c r="AE106" i="26"/>
  <c r="AD106" i="26"/>
  <c r="AC106" i="26"/>
  <c r="AB106" i="26"/>
  <c r="AA106" i="26"/>
  <c r="Y106" i="26"/>
  <c r="U106" i="26"/>
  <c r="T106" i="26"/>
  <c r="R106" i="26"/>
  <c r="Q106" i="26"/>
  <c r="P106" i="26"/>
  <c r="N106" i="26"/>
  <c r="J106" i="26"/>
  <c r="I106" i="26"/>
  <c r="H106" i="26"/>
  <c r="G106" i="26"/>
  <c r="F106" i="26"/>
  <c r="E106" i="26"/>
  <c r="D106" i="26"/>
  <c r="C106" i="26"/>
  <c r="B106" i="26"/>
  <c r="AL105" i="26"/>
  <c r="AK105" i="26"/>
  <c r="AJ105" i="26"/>
  <c r="AI105" i="26"/>
  <c r="AH105" i="26"/>
  <c r="AG105" i="26"/>
  <c r="AF105" i="26"/>
  <c r="AE105" i="26"/>
  <c r="AD105" i="26"/>
  <c r="AC105" i="26"/>
  <c r="AB105" i="26"/>
  <c r="AA105" i="26"/>
  <c r="Z105" i="26"/>
  <c r="Y105" i="26"/>
  <c r="X105" i="26"/>
  <c r="W105" i="26"/>
  <c r="V105" i="26"/>
  <c r="U105" i="26"/>
  <c r="T105" i="26"/>
  <c r="S105" i="26"/>
  <c r="R105" i="26"/>
  <c r="Q105" i="26"/>
  <c r="P105" i="26"/>
  <c r="O105" i="26"/>
  <c r="N105" i="26"/>
  <c r="M105" i="26"/>
  <c r="L105" i="26"/>
  <c r="K105" i="26"/>
  <c r="J105" i="26"/>
  <c r="I105" i="26"/>
  <c r="H105" i="26"/>
  <c r="G105" i="26"/>
  <c r="F105" i="26"/>
  <c r="D105" i="26"/>
  <c r="C105" i="26"/>
  <c r="B105" i="26"/>
  <c r="R100" i="26"/>
  <c r="E100" i="26"/>
  <c r="R99" i="26"/>
  <c r="E99" i="26"/>
  <c r="R98" i="26"/>
  <c r="E98" i="26"/>
  <c r="R97" i="26"/>
  <c r="E97" i="26"/>
  <c r="E92" i="26"/>
  <c r="E91" i="26"/>
  <c r="E87" i="26"/>
  <c r="E86" i="26"/>
  <c r="E85" i="26"/>
  <c r="E84" i="26"/>
  <c r="E83" i="26"/>
  <c r="E88" i="26" s="1"/>
  <c r="E80" i="26"/>
  <c r="E139" i="26" s="1"/>
  <c r="E79" i="26"/>
  <c r="E78" i="26"/>
  <c r="E77" i="26"/>
  <c r="E76" i="26"/>
  <c r="E75" i="26"/>
  <c r="E74" i="26"/>
  <c r="E73" i="26"/>
  <c r="AF192" i="25"/>
  <c r="Y192" i="25"/>
  <c r="L192" i="25"/>
  <c r="K192" i="25"/>
  <c r="H192" i="25"/>
  <c r="AL190" i="25"/>
  <c r="AK190" i="25"/>
  <c r="AJ190" i="25"/>
  <c r="AI190" i="25"/>
  <c r="AH190" i="25"/>
  <c r="AG190" i="25"/>
  <c r="AF190" i="25"/>
  <c r="AE190" i="25"/>
  <c r="AD190" i="25"/>
  <c r="AC190" i="25"/>
  <c r="AB190" i="25"/>
  <c r="AA190" i="25"/>
  <c r="Z190" i="25"/>
  <c r="Y190" i="25"/>
  <c r="X190" i="25"/>
  <c r="W190" i="25"/>
  <c r="V190" i="25"/>
  <c r="U190" i="25"/>
  <c r="U192" i="25" s="1"/>
  <c r="T190" i="25"/>
  <c r="S190" i="25"/>
  <c r="R190" i="25"/>
  <c r="Q190" i="25"/>
  <c r="P190" i="25"/>
  <c r="O190" i="25"/>
  <c r="N190" i="25"/>
  <c r="M190" i="25"/>
  <c r="L190" i="25"/>
  <c r="K190" i="25"/>
  <c r="J190" i="25"/>
  <c r="I190" i="25"/>
  <c r="H190" i="25"/>
  <c r="G190" i="25"/>
  <c r="F190" i="25"/>
  <c r="AL189" i="25"/>
  <c r="AK189" i="25"/>
  <c r="AJ189" i="25"/>
  <c r="AI189" i="25"/>
  <c r="AH189" i="25"/>
  <c r="AH192" i="25" s="1"/>
  <c r="AG189" i="25"/>
  <c r="AF189" i="25"/>
  <c r="AE189" i="25"/>
  <c r="AD189" i="25"/>
  <c r="AC189" i="25"/>
  <c r="AB189" i="25"/>
  <c r="AA189" i="25"/>
  <c r="Z189" i="25"/>
  <c r="Y189" i="25"/>
  <c r="X189" i="25"/>
  <c r="X192" i="25" s="1"/>
  <c r="W189" i="25"/>
  <c r="V189" i="25"/>
  <c r="U189" i="25"/>
  <c r="T189" i="25"/>
  <c r="S189" i="25"/>
  <c r="R189" i="25"/>
  <c r="Q189" i="25"/>
  <c r="P189" i="25"/>
  <c r="O189" i="25"/>
  <c r="N189" i="25"/>
  <c r="M189" i="25"/>
  <c r="L189" i="25"/>
  <c r="K189" i="25"/>
  <c r="J189" i="25"/>
  <c r="I189" i="25"/>
  <c r="H189" i="25"/>
  <c r="G189" i="25"/>
  <c r="F189" i="25"/>
  <c r="AL188" i="25"/>
  <c r="AK188" i="25"/>
  <c r="AK192" i="25" s="1"/>
  <c r="AJ188" i="25"/>
  <c r="AI188" i="25"/>
  <c r="AH188" i="25"/>
  <c r="AG188" i="25"/>
  <c r="AF188" i="25"/>
  <c r="AE188" i="25"/>
  <c r="AD188" i="25"/>
  <c r="AC188" i="25"/>
  <c r="AB188" i="25"/>
  <c r="AA188" i="25"/>
  <c r="Z188" i="25"/>
  <c r="Y188" i="25"/>
  <c r="X188" i="25"/>
  <c r="W188" i="25"/>
  <c r="V188" i="25"/>
  <c r="U188" i="25"/>
  <c r="T188" i="25"/>
  <c r="S188" i="25"/>
  <c r="R188" i="25"/>
  <c r="Q188" i="25"/>
  <c r="Q192" i="25" s="1"/>
  <c r="P188" i="25"/>
  <c r="O188" i="25"/>
  <c r="N188" i="25"/>
  <c r="M188" i="25"/>
  <c r="L188" i="25"/>
  <c r="K188" i="25"/>
  <c r="J188" i="25"/>
  <c r="I188" i="25"/>
  <c r="H188" i="25"/>
  <c r="G188" i="25"/>
  <c r="G192" i="25" s="1"/>
  <c r="F188" i="25"/>
  <c r="AL187" i="25"/>
  <c r="AK187" i="25"/>
  <c r="AJ187" i="25"/>
  <c r="AI187" i="25"/>
  <c r="AH187" i="25"/>
  <c r="AG187" i="25"/>
  <c r="AF187" i="25"/>
  <c r="AE187" i="25"/>
  <c r="AD187" i="25"/>
  <c r="AD192" i="25" s="1"/>
  <c r="AC187" i="25"/>
  <c r="AB187" i="25"/>
  <c r="AA187" i="25"/>
  <c r="Z187" i="25"/>
  <c r="Y187" i="25"/>
  <c r="X187" i="25"/>
  <c r="W187" i="25"/>
  <c r="V187" i="25"/>
  <c r="U187" i="25"/>
  <c r="T187" i="25"/>
  <c r="T192" i="25" s="1"/>
  <c r="S187" i="25"/>
  <c r="R187" i="25"/>
  <c r="Q187" i="25"/>
  <c r="P187" i="25"/>
  <c r="O187" i="25"/>
  <c r="N187" i="25"/>
  <c r="M187" i="25"/>
  <c r="L187" i="25"/>
  <c r="K187" i="25"/>
  <c r="J187" i="25"/>
  <c r="J192" i="25" s="1"/>
  <c r="I187" i="25"/>
  <c r="H187" i="25"/>
  <c r="G187" i="25"/>
  <c r="F187" i="25"/>
  <c r="AL186" i="25"/>
  <c r="AK186" i="25"/>
  <c r="AJ186" i="25"/>
  <c r="AI186" i="25"/>
  <c r="AH186" i="25"/>
  <c r="AG186" i="25"/>
  <c r="AG192" i="25" s="1"/>
  <c r="AF186" i="25"/>
  <c r="AE186" i="25"/>
  <c r="AD186" i="25"/>
  <c r="AC186" i="25"/>
  <c r="AB186" i="25"/>
  <c r="AA186" i="25"/>
  <c r="Z186" i="25"/>
  <c r="Y186" i="25"/>
  <c r="X186" i="25"/>
  <c r="W186" i="25"/>
  <c r="W192" i="25" s="1"/>
  <c r="V186" i="25"/>
  <c r="U186" i="25"/>
  <c r="T186" i="25"/>
  <c r="S186" i="25"/>
  <c r="R186" i="25"/>
  <c r="Q186" i="25"/>
  <c r="P186" i="25"/>
  <c r="O186" i="25"/>
  <c r="N186" i="25"/>
  <c r="M186" i="25"/>
  <c r="M192" i="25" s="1"/>
  <c r="L186" i="25"/>
  <c r="K186" i="25"/>
  <c r="J186" i="25"/>
  <c r="I186" i="25"/>
  <c r="H186" i="25"/>
  <c r="G186" i="25"/>
  <c r="F186" i="25"/>
  <c r="AL185" i="25"/>
  <c r="AL192" i="25" s="1"/>
  <c r="AK185" i="25"/>
  <c r="AJ185" i="25"/>
  <c r="AJ192" i="25" s="1"/>
  <c r="AI185" i="25"/>
  <c r="AI192" i="25" s="1"/>
  <c r="AH185" i="25"/>
  <c r="AG185" i="25"/>
  <c r="AF185" i="25"/>
  <c r="AE185" i="25"/>
  <c r="AD185" i="25"/>
  <c r="AC185" i="25"/>
  <c r="AB185" i="25"/>
  <c r="AB192" i="25" s="1"/>
  <c r="AA185" i="25"/>
  <c r="Z185" i="25"/>
  <c r="Z192" i="25" s="1"/>
  <c r="Y185" i="25"/>
  <c r="X185" i="25"/>
  <c r="W185" i="25"/>
  <c r="V185" i="25"/>
  <c r="U185" i="25"/>
  <c r="T185" i="25"/>
  <c r="S185" i="25"/>
  <c r="R185" i="25"/>
  <c r="R192" i="25" s="1"/>
  <c r="Q185" i="25"/>
  <c r="P185" i="25"/>
  <c r="P192" i="25" s="1"/>
  <c r="O185" i="25"/>
  <c r="O192" i="25" s="1"/>
  <c r="N185" i="25"/>
  <c r="M185" i="25"/>
  <c r="L185" i="25"/>
  <c r="K185" i="25"/>
  <c r="J185" i="25"/>
  <c r="I185" i="25"/>
  <c r="H185" i="25"/>
  <c r="G185" i="25"/>
  <c r="F185" i="25"/>
  <c r="F192" i="25" s="1"/>
  <c r="W168" i="25"/>
  <c r="R168" i="25"/>
  <c r="G165" i="25"/>
  <c r="AB160" i="25"/>
  <c r="H160" i="25"/>
  <c r="AK158" i="25"/>
  <c r="AJ158" i="25"/>
  <c r="Z158" i="25"/>
  <c r="W158" i="25"/>
  <c r="Q158" i="25"/>
  <c r="P158" i="25"/>
  <c r="O158" i="25"/>
  <c r="N158" i="25"/>
  <c r="J158" i="25"/>
  <c r="AC157" i="25"/>
  <c r="H157" i="25"/>
  <c r="AK156" i="25"/>
  <c r="AF156" i="25"/>
  <c r="AD156" i="25"/>
  <c r="AC156" i="25"/>
  <c r="AA156" i="25"/>
  <c r="Z156" i="25"/>
  <c r="U156" i="25"/>
  <c r="S156" i="25"/>
  <c r="R156" i="25"/>
  <c r="N156" i="25"/>
  <c r="L156" i="25"/>
  <c r="AL154" i="25"/>
  <c r="AK154" i="25"/>
  <c r="AJ154" i="25"/>
  <c r="AI154" i="25"/>
  <c r="AH154" i="25"/>
  <c r="AG154" i="25"/>
  <c r="AF154" i="25"/>
  <c r="AE154" i="25"/>
  <c r="AD154" i="25"/>
  <c r="AC154" i="25"/>
  <c r="AB154" i="25"/>
  <c r="AB158" i="25" s="1"/>
  <c r="AA154" i="25"/>
  <c r="AA158" i="25" s="1"/>
  <c r="Z154" i="25"/>
  <c r="Y154" i="25"/>
  <c r="Y158" i="25" s="1"/>
  <c r="X154" i="25"/>
  <c r="W154" i="25"/>
  <c r="V154" i="25"/>
  <c r="U154" i="25"/>
  <c r="T154" i="25"/>
  <c r="S154" i="25"/>
  <c r="R154" i="25"/>
  <c r="R158" i="25" s="1"/>
  <c r="Q154" i="25"/>
  <c r="P154" i="25"/>
  <c r="O154" i="25"/>
  <c r="N154" i="25"/>
  <c r="M154" i="25"/>
  <c r="L154" i="25"/>
  <c r="K154" i="25"/>
  <c r="J154" i="25"/>
  <c r="I154" i="25"/>
  <c r="H154" i="25"/>
  <c r="G154" i="25"/>
  <c r="F154" i="25"/>
  <c r="F158" i="25" s="1"/>
  <c r="AL153" i="25"/>
  <c r="AL158" i="25" s="1"/>
  <c r="AK153" i="25"/>
  <c r="AJ153" i="25"/>
  <c r="AI153" i="25"/>
  <c r="AH153" i="25"/>
  <c r="AG153" i="25"/>
  <c r="AG158" i="25" s="1"/>
  <c r="AF153" i="25"/>
  <c r="AF158" i="25" s="1"/>
  <c r="AE153" i="25"/>
  <c r="AE158" i="25" s="1"/>
  <c r="AD153" i="25"/>
  <c r="AD158" i="25" s="1"/>
  <c r="AC153" i="25"/>
  <c r="AC158" i="25" s="1"/>
  <c r="AB153" i="25"/>
  <c r="AA153" i="25"/>
  <c r="Z153" i="25"/>
  <c r="Y153" i="25"/>
  <c r="X153" i="25"/>
  <c r="W153" i="25"/>
  <c r="V153" i="25"/>
  <c r="V158" i="25" s="1"/>
  <c r="U153" i="25"/>
  <c r="U158" i="25" s="1"/>
  <c r="T153" i="25"/>
  <c r="T158" i="25" s="1"/>
  <c r="S153" i="25"/>
  <c r="S158" i="25" s="1"/>
  <c r="R153" i="25"/>
  <c r="Q153" i="25"/>
  <c r="P153" i="25"/>
  <c r="O153" i="25"/>
  <c r="N153" i="25"/>
  <c r="M153" i="25"/>
  <c r="M158" i="25" s="1"/>
  <c r="L153" i="25"/>
  <c r="L158" i="25" s="1"/>
  <c r="K153" i="25"/>
  <c r="K158" i="25" s="1"/>
  <c r="J153" i="25"/>
  <c r="I153" i="25"/>
  <c r="I158" i="25" s="1"/>
  <c r="H153" i="25"/>
  <c r="H158" i="25" s="1"/>
  <c r="G153" i="25"/>
  <c r="F153" i="25"/>
  <c r="AL152" i="25"/>
  <c r="AK152" i="25"/>
  <c r="AJ152" i="25"/>
  <c r="AI152" i="25"/>
  <c r="AH152" i="25"/>
  <c r="AG152" i="25"/>
  <c r="AF152" i="25"/>
  <c r="AE152" i="25"/>
  <c r="AD152" i="25"/>
  <c r="AC152" i="25"/>
  <c r="AB152" i="25"/>
  <c r="AA152" i="25"/>
  <c r="Z152" i="25"/>
  <c r="Y152" i="25"/>
  <c r="X152" i="25"/>
  <c r="W152" i="25"/>
  <c r="V152" i="25"/>
  <c r="U152" i="25"/>
  <c r="T152" i="25"/>
  <c r="S152" i="25"/>
  <c r="R152" i="25"/>
  <c r="Q152" i="25"/>
  <c r="P152" i="25"/>
  <c r="O152" i="25"/>
  <c r="N152" i="25"/>
  <c r="M152" i="25"/>
  <c r="L152" i="25"/>
  <c r="K152" i="25"/>
  <c r="J152" i="25"/>
  <c r="I152" i="25"/>
  <c r="H152" i="25"/>
  <c r="G152" i="25"/>
  <c r="F152" i="25"/>
  <c r="AL151" i="25"/>
  <c r="AK151" i="25"/>
  <c r="AJ151" i="25"/>
  <c r="AI151" i="25"/>
  <c r="AH151" i="25"/>
  <c r="AG151" i="25"/>
  <c r="AF151" i="25"/>
  <c r="AE151" i="25"/>
  <c r="AD151" i="25"/>
  <c r="AC151" i="25"/>
  <c r="AB151" i="25"/>
  <c r="AA151" i="25"/>
  <c r="Z151" i="25"/>
  <c r="Y151" i="25"/>
  <c r="X151" i="25"/>
  <c r="W151" i="25"/>
  <c r="V151" i="25"/>
  <c r="U151" i="25"/>
  <c r="T151" i="25"/>
  <c r="S151" i="25"/>
  <c r="R151" i="25"/>
  <c r="Q151" i="25"/>
  <c r="P151" i="25"/>
  <c r="O151" i="25"/>
  <c r="N151" i="25"/>
  <c r="M151" i="25"/>
  <c r="L151" i="25"/>
  <c r="K151" i="25"/>
  <c r="J151" i="25"/>
  <c r="I151" i="25"/>
  <c r="H151" i="25"/>
  <c r="G151" i="25"/>
  <c r="F151" i="25"/>
  <c r="AL150" i="25"/>
  <c r="AK150" i="25"/>
  <c r="AJ150" i="25"/>
  <c r="AI150" i="25"/>
  <c r="AH150" i="25"/>
  <c r="AG150" i="25"/>
  <c r="AF150" i="25"/>
  <c r="AE150" i="25"/>
  <c r="AD150" i="25"/>
  <c r="AC150" i="25"/>
  <c r="AB150" i="25"/>
  <c r="AA150" i="25"/>
  <c r="Z150" i="25"/>
  <c r="Y150" i="25"/>
  <c r="X150" i="25"/>
  <c r="W150" i="25"/>
  <c r="V150" i="25"/>
  <c r="U150" i="25"/>
  <c r="T150" i="25"/>
  <c r="S150" i="25"/>
  <c r="R150" i="25"/>
  <c r="Q150" i="25"/>
  <c r="P150" i="25"/>
  <c r="O150" i="25"/>
  <c r="N150" i="25"/>
  <c r="M150" i="25"/>
  <c r="L150" i="25"/>
  <c r="K150" i="25"/>
  <c r="J150" i="25"/>
  <c r="J157" i="25" s="1"/>
  <c r="I150" i="25"/>
  <c r="H150" i="25"/>
  <c r="G150" i="25"/>
  <c r="F150" i="25"/>
  <c r="AL149" i="25"/>
  <c r="AK149" i="25"/>
  <c r="AJ149" i="25"/>
  <c r="AI149" i="25"/>
  <c r="AH149" i="25"/>
  <c r="AG149" i="25"/>
  <c r="AG157" i="25" s="1"/>
  <c r="AF149" i="25"/>
  <c r="AE149" i="25"/>
  <c r="AD149" i="25"/>
  <c r="AC149" i="25"/>
  <c r="AB149" i="25"/>
  <c r="AA149" i="25"/>
  <c r="Z149" i="25"/>
  <c r="Y149" i="25"/>
  <c r="X149" i="25"/>
  <c r="W149" i="25"/>
  <c r="V149" i="25"/>
  <c r="U149" i="25"/>
  <c r="T149" i="25"/>
  <c r="S149" i="25"/>
  <c r="R149" i="25"/>
  <c r="Q149" i="25"/>
  <c r="P149" i="25"/>
  <c r="O149" i="25"/>
  <c r="N149" i="25"/>
  <c r="M149" i="25"/>
  <c r="M157" i="25" s="1"/>
  <c r="L149" i="25"/>
  <c r="K149" i="25"/>
  <c r="J149" i="25"/>
  <c r="I149" i="25"/>
  <c r="H149" i="25"/>
  <c r="G149" i="25"/>
  <c r="F149" i="25"/>
  <c r="AL148" i="25"/>
  <c r="AK148" i="25"/>
  <c r="AJ148" i="25"/>
  <c r="AJ157" i="25" s="1"/>
  <c r="AI148" i="25"/>
  <c r="AH148" i="25"/>
  <c r="AG148" i="25"/>
  <c r="AF148" i="25"/>
  <c r="AE148" i="25"/>
  <c r="AD148" i="25"/>
  <c r="AC148" i="25"/>
  <c r="AB148" i="25"/>
  <c r="AA148" i="25"/>
  <c r="Z148" i="25"/>
  <c r="Z157" i="25" s="1"/>
  <c r="Z160" i="25" s="1"/>
  <c r="Y148" i="25"/>
  <c r="X148" i="25"/>
  <c r="W148" i="25"/>
  <c r="V148" i="25"/>
  <c r="U148" i="25"/>
  <c r="T148" i="25"/>
  <c r="S148" i="25"/>
  <c r="R148" i="25"/>
  <c r="Q148" i="25"/>
  <c r="P148" i="25"/>
  <c r="P157" i="25" s="1"/>
  <c r="O148" i="25"/>
  <c r="N148" i="25"/>
  <c r="M148" i="25"/>
  <c r="L148" i="25"/>
  <c r="K148" i="25"/>
  <c r="J148" i="25"/>
  <c r="I148" i="25"/>
  <c r="H148" i="25"/>
  <c r="G148" i="25"/>
  <c r="F148" i="25"/>
  <c r="F157" i="25" s="1"/>
  <c r="AL147" i="25"/>
  <c r="AK147" i="25"/>
  <c r="AJ147" i="25"/>
  <c r="AI147" i="25"/>
  <c r="AH147" i="25"/>
  <c r="AG147" i="25"/>
  <c r="AF147" i="25"/>
  <c r="AE147" i="25"/>
  <c r="AD147" i="25"/>
  <c r="AC147" i="25"/>
  <c r="AB147" i="25"/>
  <c r="AB157" i="25" s="1"/>
  <c r="AA147" i="25"/>
  <c r="Z147" i="25"/>
  <c r="Y147" i="25"/>
  <c r="X147" i="25"/>
  <c r="W147" i="25"/>
  <c r="V147" i="25"/>
  <c r="U147" i="25"/>
  <c r="T147" i="25"/>
  <c r="S147" i="25"/>
  <c r="S157" i="25" s="1"/>
  <c r="R147" i="25"/>
  <c r="Q147" i="25"/>
  <c r="P147" i="25"/>
  <c r="O147" i="25"/>
  <c r="N147" i="25"/>
  <c r="M147" i="25"/>
  <c r="L147" i="25"/>
  <c r="K147" i="25"/>
  <c r="J147" i="25"/>
  <c r="I147" i="25"/>
  <c r="H147" i="25"/>
  <c r="G147" i="25"/>
  <c r="F147" i="25"/>
  <c r="AL146" i="25"/>
  <c r="AK146" i="25"/>
  <c r="AJ146" i="25"/>
  <c r="AI146" i="25"/>
  <c r="AH146" i="25"/>
  <c r="AG146" i="25"/>
  <c r="AF146" i="25"/>
  <c r="AF157" i="25" s="1"/>
  <c r="AE146" i="25"/>
  <c r="AD146" i="25"/>
  <c r="AC146" i="25"/>
  <c r="AB146" i="25"/>
  <c r="AA146" i="25"/>
  <c r="Z146" i="25"/>
  <c r="Y146" i="25"/>
  <c r="X146" i="25"/>
  <c r="W146" i="25"/>
  <c r="V146" i="25"/>
  <c r="V157" i="25" s="1"/>
  <c r="U146" i="25"/>
  <c r="T146" i="25"/>
  <c r="S146" i="25"/>
  <c r="R146" i="25"/>
  <c r="Q146" i="25"/>
  <c r="P146" i="25"/>
  <c r="O146" i="25"/>
  <c r="N146" i="25"/>
  <c r="M146" i="25"/>
  <c r="L146" i="25"/>
  <c r="L157" i="25" s="1"/>
  <c r="L160" i="25" s="1"/>
  <c r="K146" i="25"/>
  <c r="J146" i="25"/>
  <c r="I146" i="25"/>
  <c r="H146" i="25"/>
  <c r="G146" i="25"/>
  <c r="F146" i="25"/>
  <c r="AL145" i="25"/>
  <c r="AL156" i="25" s="1"/>
  <c r="AK145" i="25"/>
  <c r="AJ145" i="25"/>
  <c r="AJ156" i="25" s="1"/>
  <c r="AJ160" i="25" s="1"/>
  <c r="AI145" i="25"/>
  <c r="AI156" i="25" s="1"/>
  <c r="AH145" i="25"/>
  <c r="AH156" i="25" s="1"/>
  <c r="AG145" i="25"/>
  <c r="AG156" i="25" s="1"/>
  <c r="AG160" i="25" s="1"/>
  <c r="AF145" i="25"/>
  <c r="AE145" i="25"/>
  <c r="AE156" i="25" s="1"/>
  <c r="AD145" i="25"/>
  <c r="AC145" i="25"/>
  <c r="AB145" i="25"/>
  <c r="AB156" i="25" s="1"/>
  <c r="AA145" i="25"/>
  <c r="Z145" i="25"/>
  <c r="Y145" i="25"/>
  <c r="Y156" i="25" s="1"/>
  <c r="X145" i="25"/>
  <c r="X156" i="25" s="1"/>
  <c r="W145" i="25"/>
  <c r="W156" i="25" s="1"/>
  <c r="V145" i="25"/>
  <c r="V156" i="25" s="1"/>
  <c r="V160" i="25" s="1"/>
  <c r="U145" i="25"/>
  <c r="T145" i="25"/>
  <c r="T156" i="25" s="1"/>
  <c r="S145" i="25"/>
  <c r="R145" i="25"/>
  <c r="Q145" i="25"/>
  <c r="Q156" i="25" s="1"/>
  <c r="P145" i="25"/>
  <c r="P156" i="25" s="1"/>
  <c r="P160" i="25" s="1"/>
  <c r="O145" i="25"/>
  <c r="O156" i="25" s="1"/>
  <c r="N145" i="25"/>
  <c r="M145" i="25"/>
  <c r="M156" i="25" s="1"/>
  <c r="L145" i="25"/>
  <c r="K145" i="25"/>
  <c r="K156" i="25" s="1"/>
  <c r="J145" i="25"/>
  <c r="J156" i="25" s="1"/>
  <c r="I145" i="25"/>
  <c r="I156" i="25" s="1"/>
  <c r="H145" i="25"/>
  <c r="H156" i="25" s="1"/>
  <c r="G145" i="25"/>
  <c r="G156" i="25" s="1"/>
  <c r="F145" i="25"/>
  <c r="F156" i="25" s="1"/>
  <c r="F160" i="25" s="1"/>
  <c r="D139" i="25"/>
  <c r="E139" i="25" s="1"/>
  <c r="AL139" i="25" s="1"/>
  <c r="AL172" i="25" s="1"/>
  <c r="C139" i="25"/>
  <c r="B139" i="25"/>
  <c r="D138" i="25"/>
  <c r="C138" i="25"/>
  <c r="B138" i="25"/>
  <c r="D137" i="25"/>
  <c r="C137" i="25"/>
  <c r="B137" i="25"/>
  <c r="D136" i="25"/>
  <c r="C136" i="25"/>
  <c r="B136" i="25"/>
  <c r="D135" i="25"/>
  <c r="C135" i="25"/>
  <c r="B135" i="25"/>
  <c r="D134" i="25"/>
  <c r="C134" i="25"/>
  <c r="B134" i="25"/>
  <c r="D133" i="25"/>
  <c r="C133" i="25"/>
  <c r="B133" i="25"/>
  <c r="D132" i="25"/>
  <c r="C132" i="25"/>
  <c r="B132" i="25"/>
  <c r="D131" i="25"/>
  <c r="C131" i="25"/>
  <c r="B131" i="25"/>
  <c r="D130" i="25"/>
  <c r="C130" i="25"/>
  <c r="B130" i="25"/>
  <c r="D129" i="25"/>
  <c r="C129" i="25"/>
  <c r="B129" i="25"/>
  <c r="D128" i="25"/>
  <c r="C128" i="25"/>
  <c r="B128" i="25"/>
  <c r="D127" i="25"/>
  <c r="C127" i="25"/>
  <c r="B127" i="25"/>
  <c r="D126" i="25"/>
  <c r="C126" i="25"/>
  <c r="B126" i="25"/>
  <c r="D125" i="25"/>
  <c r="C125" i="25"/>
  <c r="B125" i="25"/>
  <c r="D124" i="25"/>
  <c r="C124" i="25"/>
  <c r="B124" i="25"/>
  <c r="D123" i="25"/>
  <c r="C123" i="25"/>
  <c r="B123" i="25"/>
  <c r="D122" i="25"/>
  <c r="C122" i="25"/>
  <c r="B122" i="25"/>
  <c r="D121" i="25"/>
  <c r="C121" i="25"/>
  <c r="B121" i="25"/>
  <c r="D120" i="25"/>
  <c r="C120" i="25"/>
  <c r="B120" i="25"/>
  <c r="D119" i="25"/>
  <c r="C119" i="25"/>
  <c r="B119" i="25"/>
  <c r="D118" i="25"/>
  <c r="E118" i="25" s="1"/>
  <c r="C118" i="25"/>
  <c r="B118" i="25"/>
  <c r="D117" i="25"/>
  <c r="C117" i="25"/>
  <c r="B117" i="25"/>
  <c r="AL116" i="25"/>
  <c r="AL168" i="25" s="1"/>
  <c r="AK116" i="25"/>
  <c r="AK168" i="25" s="1"/>
  <c r="AJ116" i="25"/>
  <c r="AJ168" i="25" s="1"/>
  <c r="AF116" i="25"/>
  <c r="AF168" i="25" s="1"/>
  <c r="AA116" i="25"/>
  <c r="AA168" i="25" s="1"/>
  <c r="Z116" i="25"/>
  <c r="Z168" i="25" s="1"/>
  <c r="Y116" i="25"/>
  <c r="Y168" i="25" s="1"/>
  <c r="W116" i="25"/>
  <c r="V116" i="25"/>
  <c r="V168" i="25" s="1"/>
  <c r="R116" i="25"/>
  <c r="M116" i="25"/>
  <c r="M168" i="25" s="1"/>
  <c r="L116" i="25"/>
  <c r="L168" i="25" s="1"/>
  <c r="K116" i="25"/>
  <c r="K168" i="25" s="1"/>
  <c r="J116" i="25"/>
  <c r="J168" i="25" s="1"/>
  <c r="H116" i="25"/>
  <c r="H168" i="25" s="1"/>
  <c r="E116" i="25"/>
  <c r="AD116" i="25" s="1"/>
  <c r="AD168" i="25" s="1"/>
  <c r="D116" i="25"/>
  <c r="C116" i="25"/>
  <c r="B116" i="25"/>
  <c r="AI115" i="25"/>
  <c r="AI167" i="25" s="1"/>
  <c r="AH115" i="25"/>
  <c r="AH167" i="25" s="1"/>
  <c r="AB115" i="25"/>
  <c r="AB167" i="25" s="1"/>
  <c r="S115" i="25"/>
  <c r="S167" i="25" s="1"/>
  <c r="E115" i="25"/>
  <c r="D115" i="25"/>
  <c r="C115" i="25"/>
  <c r="B115" i="25"/>
  <c r="D114" i="25"/>
  <c r="C114" i="25"/>
  <c r="B114" i="25"/>
  <c r="D113" i="25"/>
  <c r="C113" i="25"/>
  <c r="B113" i="25"/>
  <c r="D112" i="25"/>
  <c r="C112" i="25"/>
  <c r="B112" i="25"/>
  <c r="D111" i="25"/>
  <c r="C111" i="25"/>
  <c r="B111" i="25"/>
  <c r="AK110" i="25"/>
  <c r="AJ110" i="25"/>
  <c r="AI110" i="25"/>
  <c r="AG110" i="25"/>
  <c r="AF110" i="25"/>
  <c r="AD110" i="25"/>
  <c r="AB110" i="25"/>
  <c r="AA110" i="25"/>
  <c r="Y110" i="25"/>
  <c r="W110" i="25"/>
  <c r="V110" i="25"/>
  <c r="T110" i="25"/>
  <c r="S110" i="25"/>
  <c r="R110" i="25"/>
  <c r="P110" i="25"/>
  <c r="O110" i="25"/>
  <c r="L110" i="25"/>
  <c r="J110" i="25"/>
  <c r="I110" i="25"/>
  <c r="H110" i="25"/>
  <c r="G110" i="25"/>
  <c r="F110" i="25"/>
  <c r="E110" i="25"/>
  <c r="AL110" i="25" s="1"/>
  <c r="D110" i="25"/>
  <c r="C110" i="25"/>
  <c r="B110" i="25"/>
  <c r="AI109" i="25"/>
  <c r="AI165" i="25" s="1"/>
  <c r="AH109" i="25"/>
  <c r="AG109" i="25"/>
  <c r="AF109" i="25"/>
  <c r="AF165" i="25" s="1"/>
  <c r="W109" i="25"/>
  <c r="W165" i="25" s="1"/>
  <c r="V109" i="25"/>
  <c r="V165" i="25" s="1"/>
  <c r="T109" i="25"/>
  <c r="T165" i="25" s="1"/>
  <c r="S109" i="25"/>
  <c r="S165" i="25" s="1"/>
  <c r="O109" i="25"/>
  <c r="O165" i="25" s="1"/>
  <c r="J109" i="25"/>
  <c r="J165" i="25" s="1"/>
  <c r="I109" i="25"/>
  <c r="G109" i="25"/>
  <c r="F109" i="25"/>
  <c r="F165" i="25" s="1"/>
  <c r="D109" i="25"/>
  <c r="E109" i="25" s="1"/>
  <c r="C109" i="25"/>
  <c r="B109" i="25"/>
  <c r="D108" i="25"/>
  <c r="C108" i="25"/>
  <c r="B108" i="25"/>
  <c r="D107" i="25"/>
  <c r="C107" i="25"/>
  <c r="B107" i="25"/>
  <c r="AJ106" i="25"/>
  <c r="AI106" i="25"/>
  <c r="AH106" i="25"/>
  <c r="AG106" i="25"/>
  <c r="AE106" i="25"/>
  <c r="AA106" i="25"/>
  <c r="X106" i="25"/>
  <c r="U106" i="25"/>
  <c r="T106" i="25"/>
  <c r="R106" i="25"/>
  <c r="O106" i="25"/>
  <c r="K106" i="25"/>
  <c r="J106" i="25"/>
  <c r="H106" i="25"/>
  <c r="G106" i="25"/>
  <c r="F106" i="25"/>
  <c r="D106" i="25"/>
  <c r="E106" i="25" s="1"/>
  <c r="C106" i="25"/>
  <c r="B106" i="25"/>
  <c r="AL105" i="25"/>
  <c r="AK105" i="25"/>
  <c r="AJ105" i="25"/>
  <c r="AI105" i="25"/>
  <c r="AH105" i="25"/>
  <c r="AG105" i="25"/>
  <c r="AF105" i="25"/>
  <c r="AE105" i="25"/>
  <c r="AD105" i="25"/>
  <c r="AC105" i="25"/>
  <c r="AB105" i="25"/>
  <c r="AA105" i="25"/>
  <c r="Z105" i="25"/>
  <c r="Y105" i="25"/>
  <c r="X105" i="25"/>
  <c r="W105" i="25"/>
  <c r="V105" i="25"/>
  <c r="U105" i="25"/>
  <c r="T105" i="25"/>
  <c r="S105" i="25"/>
  <c r="R105" i="25"/>
  <c r="Q105" i="25"/>
  <c r="P105" i="25"/>
  <c r="O105" i="25"/>
  <c r="N105" i="25"/>
  <c r="M105" i="25"/>
  <c r="L105" i="25"/>
  <c r="K105" i="25"/>
  <c r="J105" i="25"/>
  <c r="I105" i="25"/>
  <c r="H105" i="25"/>
  <c r="G105" i="25"/>
  <c r="F105" i="25"/>
  <c r="D105" i="25"/>
  <c r="C105" i="25"/>
  <c r="B105" i="25"/>
  <c r="R100" i="25"/>
  <c r="E100" i="25"/>
  <c r="R99" i="25"/>
  <c r="E99" i="25"/>
  <c r="R98" i="25"/>
  <c r="E98" i="25"/>
  <c r="R97" i="25"/>
  <c r="E97" i="25"/>
  <c r="E92" i="25"/>
  <c r="E91" i="25"/>
  <c r="E87" i="25"/>
  <c r="E86" i="25"/>
  <c r="E85" i="25"/>
  <c r="E84" i="25"/>
  <c r="E83" i="25"/>
  <c r="E80" i="25"/>
  <c r="E79" i="25"/>
  <c r="E78" i="25"/>
  <c r="E77" i="25"/>
  <c r="E76" i="25"/>
  <c r="E75" i="25"/>
  <c r="E114" i="25" s="1"/>
  <c r="E74" i="25"/>
  <c r="E73" i="25"/>
  <c r="X308" i="24"/>
  <c r="V308" i="24"/>
  <c r="C184" i="24"/>
  <c r="C183" i="24"/>
  <c r="C182" i="24"/>
  <c r="C181" i="24"/>
  <c r="H56" i="21"/>
  <c r="H55" i="21"/>
  <c r="H54" i="21"/>
  <c r="H53" i="21"/>
  <c r="W44" i="21"/>
  <c r="U44" i="21"/>
  <c r="C44" i="21"/>
  <c r="O44" i="21" s="1"/>
  <c r="S44" i="21" s="1"/>
  <c r="Y44" i="21" s="1"/>
  <c r="AA44" i="21" s="1"/>
  <c r="C55" i="21" s="1"/>
  <c r="Y37" i="21"/>
  <c r="W37" i="21"/>
  <c r="Q37" i="21"/>
  <c r="U37" i="21" s="1"/>
  <c r="AA37" i="21" s="1"/>
  <c r="AC37" i="21" s="1"/>
  <c r="C58" i="21" s="1"/>
  <c r="E37" i="21"/>
  <c r="C37" i="21"/>
  <c r="W29" i="21"/>
  <c r="C29" i="21"/>
  <c r="O29" i="21" s="1"/>
  <c r="S29" i="21" s="1"/>
  <c r="Y22" i="21"/>
  <c r="AA22" i="21" s="1"/>
  <c r="C56" i="21" s="1"/>
  <c r="W22" i="21"/>
  <c r="S22" i="21"/>
  <c r="O22" i="21"/>
  <c r="AI16" i="21"/>
  <c r="AE16" i="21"/>
  <c r="AC16" i="21"/>
  <c r="Y16" i="21"/>
  <c r="W16" i="21"/>
  <c r="Q16" i="21"/>
  <c r="M16" i="21"/>
  <c r="S10" i="21"/>
  <c r="U10" i="21" s="1"/>
  <c r="C53" i="21" s="1"/>
  <c r="Q10" i="21"/>
  <c r="O10" i="21"/>
  <c r="M10" i="21"/>
  <c r="K10" i="21"/>
  <c r="AD8" i="21"/>
  <c r="AD7" i="21"/>
  <c r="AA16" i="21" s="1"/>
  <c r="AG16" i="21" s="1"/>
  <c r="AK16" i="21" s="1"/>
  <c r="AM16" i="21" s="1"/>
  <c r="AD6" i="21"/>
  <c r="U22" i="21" s="1"/>
  <c r="AD5" i="21"/>
  <c r="U5" i="21"/>
  <c r="Q5" i="21"/>
  <c r="O5" i="21"/>
  <c r="D90" i="20"/>
  <c r="D89" i="20"/>
  <c r="D88" i="20"/>
  <c r="D87" i="20"/>
  <c r="O85" i="20"/>
  <c r="K78" i="20"/>
  <c r="J78" i="20"/>
  <c r="J80" i="20" s="1"/>
  <c r="U106" i="20" s="1"/>
  <c r="U108" i="20" s="1"/>
  <c r="K77" i="20"/>
  <c r="R77" i="20" s="1"/>
  <c r="G77" i="20"/>
  <c r="E77" i="20"/>
  <c r="V75" i="20"/>
  <c r="T75" i="20"/>
  <c r="U75" i="20" s="1"/>
  <c r="R75" i="20"/>
  <c r="M75" i="20"/>
  <c r="Q75" i="20" s="1"/>
  <c r="G75" i="20"/>
  <c r="E75" i="20"/>
  <c r="V73" i="20"/>
  <c r="W73" i="20" s="1"/>
  <c r="U73" i="20"/>
  <c r="T73" i="20"/>
  <c r="R73" i="20"/>
  <c r="K73" i="20"/>
  <c r="J73" i="20"/>
  <c r="G73" i="20"/>
  <c r="E73" i="20"/>
  <c r="U72" i="20"/>
  <c r="V72" i="20" s="1"/>
  <c r="W72" i="20" s="1"/>
  <c r="T72" i="20"/>
  <c r="R72" i="20"/>
  <c r="G72" i="20"/>
  <c r="E72" i="20"/>
  <c r="R71" i="20"/>
  <c r="G71" i="20"/>
  <c r="R69" i="20"/>
  <c r="G69" i="20"/>
  <c r="E69" i="20"/>
  <c r="E68" i="20"/>
  <c r="V67" i="20"/>
  <c r="W67" i="20" s="1"/>
  <c r="R67" i="20"/>
  <c r="T67" i="20" s="1"/>
  <c r="U67" i="20" s="1"/>
  <c r="G67" i="20"/>
  <c r="R66" i="20"/>
  <c r="G66" i="20"/>
  <c r="R64" i="20"/>
  <c r="G64" i="20"/>
  <c r="E64" i="20"/>
  <c r="V63" i="20"/>
  <c r="U63" i="20"/>
  <c r="T63" i="20"/>
  <c r="R63" i="20"/>
  <c r="M63" i="20"/>
  <c r="Q63" i="20" s="1"/>
  <c r="G63" i="20"/>
  <c r="E63" i="20"/>
  <c r="R62" i="20"/>
  <c r="T62" i="20" s="1"/>
  <c r="U62" i="20" s="1"/>
  <c r="V62" i="20" s="1"/>
  <c r="M62" i="20"/>
  <c r="Q62" i="20" s="1"/>
  <c r="G62" i="20"/>
  <c r="E62" i="20"/>
  <c r="T61" i="20"/>
  <c r="U61" i="20" s="1"/>
  <c r="R61" i="20"/>
  <c r="M61" i="20"/>
  <c r="G61" i="20"/>
  <c r="E61" i="20"/>
  <c r="K58" i="20"/>
  <c r="R58" i="20" s="1"/>
  <c r="J58" i="20"/>
  <c r="D58" i="20"/>
  <c r="M57" i="20"/>
  <c r="Q57" i="20" s="1"/>
  <c r="K57" i="20"/>
  <c r="R57" i="20" s="1"/>
  <c r="J57" i="20"/>
  <c r="D57" i="20"/>
  <c r="T55" i="20"/>
  <c r="R55" i="20"/>
  <c r="G55" i="20"/>
  <c r="E55" i="20"/>
  <c r="R53" i="20"/>
  <c r="O53" i="20"/>
  <c r="P53" i="20" s="1"/>
  <c r="M53" i="20"/>
  <c r="Q53" i="20" s="1"/>
  <c r="G53" i="20"/>
  <c r="E53" i="20"/>
  <c r="K51" i="20"/>
  <c r="R51" i="20" s="1"/>
  <c r="J51" i="20"/>
  <c r="G51" i="20"/>
  <c r="E51" i="20"/>
  <c r="T49" i="20"/>
  <c r="U49" i="20" s="1"/>
  <c r="V49" i="20" s="1"/>
  <c r="R49" i="20"/>
  <c r="G49" i="20"/>
  <c r="E49" i="20"/>
  <c r="U48" i="20"/>
  <c r="V48" i="20" s="1"/>
  <c r="R48" i="20"/>
  <c r="T48" i="20" s="1"/>
  <c r="G48" i="20"/>
  <c r="E48" i="20"/>
  <c r="U46" i="20"/>
  <c r="V46" i="20" s="1"/>
  <c r="W46" i="20" s="1"/>
  <c r="T46" i="20"/>
  <c r="R46" i="20"/>
  <c r="K46" i="20"/>
  <c r="J46" i="20"/>
  <c r="G46" i="20"/>
  <c r="E46" i="20"/>
  <c r="R45" i="20"/>
  <c r="Q45" i="20"/>
  <c r="P45" i="20"/>
  <c r="M45" i="20"/>
  <c r="O45" i="20" s="1"/>
  <c r="K45" i="20"/>
  <c r="J45" i="20"/>
  <c r="G45" i="20"/>
  <c r="E45" i="20"/>
  <c r="U44" i="20"/>
  <c r="V44" i="20" s="1"/>
  <c r="W44" i="20" s="1"/>
  <c r="T44" i="20"/>
  <c r="R44" i="20"/>
  <c r="G44" i="20"/>
  <c r="E44" i="20"/>
  <c r="T42" i="20"/>
  <c r="R42" i="20"/>
  <c r="K42" i="20"/>
  <c r="E42" i="20"/>
  <c r="R41" i="20"/>
  <c r="G41" i="20"/>
  <c r="E41" i="20"/>
  <c r="U39" i="20"/>
  <c r="V39" i="20" s="1"/>
  <c r="W39" i="20" s="1"/>
  <c r="T39" i="20"/>
  <c r="R39" i="20"/>
  <c r="G39" i="20"/>
  <c r="E39" i="20"/>
  <c r="K38" i="20"/>
  <c r="R38" i="20" s="1"/>
  <c r="J38" i="20"/>
  <c r="G38" i="20"/>
  <c r="E38" i="20"/>
  <c r="T36" i="20"/>
  <c r="R36" i="20"/>
  <c r="Q36" i="20"/>
  <c r="M36" i="20"/>
  <c r="O36" i="20" s="1"/>
  <c r="P36" i="20" s="1"/>
  <c r="E36" i="20"/>
  <c r="R33" i="20"/>
  <c r="Q33" i="20"/>
  <c r="P33" i="20"/>
  <c r="M33" i="20"/>
  <c r="O33" i="20" s="1"/>
  <c r="K33" i="20"/>
  <c r="J33" i="20"/>
  <c r="D33" i="20"/>
  <c r="R31" i="20"/>
  <c r="M31" i="20"/>
  <c r="Q31" i="20" s="1"/>
  <c r="G31" i="20"/>
  <c r="E31" i="20"/>
  <c r="T30" i="20"/>
  <c r="U30" i="20" s="1"/>
  <c r="V30" i="20" s="1"/>
  <c r="R30" i="20"/>
  <c r="G30" i="20"/>
  <c r="E30" i="20"/>
  <c r="T28" i="20"/>
  <c r="R28" i="20"/>
  <c r="G28" i="20"/>
  <c r="E28" i="20"/>
  <c r="R27" i="20"/>
  <c r="G27" i="20"/>
  <c r="E27" i="20"/>
  <c r="K24" i="20"/>
  <c r="K23" i="20"/>
  <c r="J23" i="20"/>
  <c r="G23" i="20"/>
  <c r="E23" i="20"/>
  <c r="R21" i="20"/>
  <c r="G21" i="20"/>
  <c r="E21" i="20"/>
  <c r="U19" i="20"/>
  <c r="V19" i="20" s="1"/>
  <c r="W19" i="20" s="1"/>
  <c r="T19" i="20"/>
  <c r="R19" i="20"/>
  <c r="K19" i="20"/>
  <c r="J19" i="20"/>
  <c r="T18" i="20"/>
  <c r="U18" i="20" s="1"/>
  <c r="R18" i="20"/>
  <c r="Q18" i="20"/>
  <c r="M18" i="20"/>
  <c r="O18" i="20" s="1"/>
  <c r="P18" i="20" s="1"/>
  <c r="K18" i="20"/>
  <c r="J18" i="20"/>
  <c r="U17" i="20"/>
  <c r="V17" i="20" s="1"/>
  <c r="W17" i="20" s="1"/>
  <c r="R17" i="20"/>
  <c r="T17" i="20" s="1"/>
  <c r="G17" i="20"/>
  <c r="E17" i="20"/>
  <c r="R16" i="20"/>
  <c r="Q16" i="20"/>
  <c r="O16" i="20"/>
  <c r="M16" i="20"/>
  <c r="G16" i="20"/>
  <c r="E16" i="20"/>
  <c r="T15" i="20"/>
  <c r="R15" i="20"/>
  <c r="K15" i="20"/>
  <c r="J15" i="20"/>
  <c r="G15" i="20"/>
  <c r="E15" i="20"/>
  <c r="R14" i="20"/>
  <c r="G14" i="20"/>
  <c r="E14" i="20"/>
  <c r="R12" i="20"/>
  <c r="T12" i="20" s="1"/>
  <c r="U12" i="20" s="1"/>
  <c r="V12" i="20" s="1"/>
  <c r="W12" i="20" s="1"/>
  <c r="G12" i="20"/>
  <c r="E12" i="20"/>
  <c r="T11" i="20"/>
  <c r="R11" i="20"/>
  <c r="Q11" i="20"/>
  <c r="O11" i="20"/>
  <c r="P11" i="20" s="1"/>
  <c r="M11" i="20"/>
  <c r="G11" i="20"/>
  <c r="E11" i="20"/>
  <c r="C46" i="19"/>
  <c r="C45" i="19"/>
  <c r="C44" i="19"/>
  <c r="C43" i="19"/>
  <c r="U35" i="19"/>
  <c r="M35" i="19"/>
  <c r="F35" i="19"/>
  <c r="AC35" i="19" s="1"/>
  <c r="Y33" i="19"/>
  <c r="Y29" i="19" s="1"/>
  <c r="T33" i="19"/>
  <c r="C33" i="19"/>
  <c r="K32" i="19"/>
  <c r="K33" i="19" s="1"/>
  <c r="E32" i="19"/>
  <c r="E33" i="19" s="1"/>
  <c r="D32" i="19"/>
  <c r="D33" i="19" s="1"/>
  <c r="U29" i="19"/>
  <c r="M29" i="19"/>
  <c r="F29" i="19"/>
  <c r="T26" i="19"/>
  <c r="T27" i="19" s="1"/>
  <c r="S26" i="19"/>
  <c r="S27" i="19" s="1"/>
  <c r="R26" i="19"/>
  <c r="R27" i="19" s="1"/>
  <c r="U23" i="19"/>
  <c r="M23" i="19"/>
  <c r="E23" i="19"/>
  <c r="D23" i="19"/>
  <c r="C23" i="19"/>
  <c r="F23" i="19" s="1"/>
  <c r="AC23" i="19" s="1"/>
  <c r="Y21" i="19"/>
  <c r="T21" i="19"/>
  <c r="S21" i="19"/>
  <c r="R21" i="19"/>
  <c r="Q21" i="19"/>
  <c r="L21" i="19"/>
  <c r="K21" i="19"/>
  <c r="J21" i="19"/>
  <c r="AC17" i="19"/>
  <c r="AC19" i="19" s="1"/>
  <c r="D17" i="19"/>
  <c r="D19" i="19" s="1"/>
  <c r="C17" i="19"/>
  <c r="C19" i="19" s="1"/>
  <c r="AC13" i="19"/>
  <c r="Y13" i="19"/>
  <c r="Y32" i="19" s="1"/>
  <c r="L13" i="19"/>
  <c r="L26" i="19" s="1"/>
  <c r="K13" i="19"/>
  <c r="K26" i="19" s="1"/>
  <c r="J13" i="19"/>
  <c r="E13" i="19"/>
  <c r="D13" i="19"/>
  <c r="D26" i="19" s="1"/>
  <c r="D27" i="19" s="1"/>
  <c r="C13" i="19"/>
  <c r="C32" i="19" s="1"/>
  <c r="U9" i="19"/>
  <c r="T9" i="19"/>
  <c r="T13" i="19" s="1"/>
  <c r="T32" i="19" s="1"/>
  <c r="S9" i="19"/>
  <c r="S13" i="19" s="1"/>
  <c r="R9" i="19"/>
  <c r="R13" i="19" s="1"/>
  <c r="Q9" i="19"/>
  <c r="Q13" i="19" s="1"/>
  <c r="M9" i="19"/>
  <c r="F9" i="19"/>
  <c r="AC9" i="19" s="1"/>
  <c r="G21" i="18"/>
  <c r="F21" i="18"/>
  <c r="F20" i="18"/>
  <c r="G20" i="18" s="1"/>
  <c r="G22" i="18" s="1"/>
  <c r="F8" i="18"/>
  <c r="G8" i="18" s="1"/>
  <c r="C245" i="17"/>
  <c r="E245" i="17" s="1"/>
  <c r="E234" i="17"/>
  <c r="W222" i="17"/>
  <c r="Y222" i="17" s="1"/>
  <c r="I222" i="17"/>
  <c r="W221" i="17"/>
  <c r="Y221" i="17" s="1"/>
  <c r="AA221" i="17" s="1"/>
  <c r="AC221" i="17" s="1"/>
  <c r="I221" i="17"/>
  <c r="W220" i="17"/>
  <c r="Y220" i="17" s="1"/>
  <c r="I220" i="17"/>
  <c r="W219" i="17"/>
  <c r="Y219" i="17" s="1"/>
  <c r="AA219" i="17" s="1"/>
  <c r="AC219" i="17" s="1"/>
  <c r="I219" i="17"/>
  <c r="W218" i="17"/>
  <c r="Y218" i="17" s="1"/>
  <c r="AA218" i="17" s="1"/>
  <c r="AC218" i="17" s="1"/>
  <c r="I218" i="17"/>
  <c r="W217" i="17"/>
  <c r="Y217" i="17" s="1"/>
  <c r="AA217" i="17" s="1"/>
  <c r="AC217" i="17" s="1"/>
  <c r="AA216" i="17"/>
  <c r="AC216" i="17" s="1"/>
  <c r="I216" i="17"/>
  <c r="W216" i="17" s="1"/>
  <c r="Y216" i="17" s="1"/>
  <c r="W215" i="17"/>
  <c r="Y215" i="17" s="1"/>
  <c r="AA215" i="17" s="1"/>
  <c r="AC215" i="17" s="1"/>
  <c r="I215" i="17"/>
  <c r="I214" i="17"/>
  <c r="W214" i="17" s="1"/>
  <c r="Y207" i="17"/>
  <c r="I207" i="17"/>
  <c r="W207" i="17" s="1"/>
  <c r="I206" i="17"/>
  <c r="W206" i="17" s="1"/>
  <c r="Y206" i="17" s="1"/>
  <c r="I205" i="17"/>
  <c r="W205" i="17" s="1"/>
  <c r="Y205" i="17" s="1"/>
  <c r="AA205" i="17" s="1"/>
  <c r="AC205" i="17" s="1"/>
  <c r="I204" i="17"/>
  <c r="W204" i="17" s="1"/>
  <c r="Y204" i="17" s="1"/>
  <c r="Y203" i="17"/>
  <c r="I203" i="17"/>
  <c r="W203" i="17" s="1"/>
  <c r="W202" i="17"/>
  <c r="Y202" i="17" s="1"/>
  <c r="Y201" i="17"/>
  <c r="AA201" i="17" s="1"/>
  <c r="AC201" i="17" s="1"/>
  <c r="W201" i="17"/>
  <c r="I201" i="17"/>
  <c r="I200" i="17"/>
  <c r="W200" i="17" s="1"/>
  <c r="Y200" i="17" s="1"/>
  <c r="W199" i="17"/>
  <c r="I199" i="17"/>
  <c r="U184" i="17"/>
  <c r="O184" i="17"/>
  <c r="I184" i="17"/>
  <c r="K184" i="17" s="1"/>
  <c r="O183" i="17"/>
  <c r="U183" i="17" s="1"/>
  <c r="I183" i="17"/>
  <c r="K183" i="17" s="1"/>
  <c r="S182" i="17"/>
  <c r="O182" i="17"/>
  <c r="U182" i="17" s="1"/>
  <c r="M182" i="17"/>
  <c r="I182" i="17"/>
  <c r="K182" i="17" s="1"/>
  <c r="O181" i="17"/>
  <c r="U181" i="17" s="1"/>
  <c r="M181" i="17"/>
  <c r="S181" i="17" s="1"/>
  <c r="I181" i="17"/>
  <c r="K181" i="17" s="1"/>
  <c r="U179" i="17"/>
  <c r="O179" i="17"/>
  <c r="M179" i="17"/>
  <c r="S179" i="17" s="1"/>
  <c r="I179" i="17"/>
  <c r="K179" i="17" s="1"/>
  <c r="M178" i="17"/>
  <c r="S178" i="17" s="1"/>
  <c r="I178" i="17"/>
  <c r="K178" i="17" s="1"/>
  <c r="S177" i="17"/>
  <c r="M177" i="17"/>
  <c r="I177" i="17"/>
  <c r="K177" i="17" s="1"/>
  <c r="M176" i="17"/>
  <c r="S176" i="17" s="1"/>
  <c r="I176" i="17"/>
  <c r="K176" i="17" s="1"/>
  <c r="M175" i="17"/>
  <c r="S175" i="17" s="1"/>
  <c r="K175" i="17"/>
  <c r="I175" i="17"/>
  <c r="O172" i="17"/>
  <c r="U172" i="17" s="1"/>
  <c r="M172" i="17"/>
  <c r="S172" i="17" s="1"/>
  <c r="I172" i="17"/>
  <c r="K172" i="17" s="1"/>
  <c r="S171" i="17"/>
  <c r="O171" i="17"/>
  <c r="U171" i="17" s="1"/>
  <c r="M171" i="17"/>
  <c r="I171" i="17"/>
  <c r="K171" i="17" s="1"/>
  <c r="O170" i="17"/>
  <c r="U170" i="17" s="1"/>
  <c r="M170" i="17"/>
  <c r="S170" i="17" s="1"/>
  <c r="I170" i="17"/>
  <c r="K170" i="17" s="1"/>
  <c r="U169" i="17"/>
  <c r="O169" i="17"/>
  <c r="M169" i="17"/>
  <c r="S169" i="17" s="1"/>
  <c r="I169" i="17"/>
  <c r="K169" i="17" s="1"/>
  <c r="S168" i="17"/>
  <c r="O168" i="17"/>
  <c r="U168" i="17" s="1"/>
  <c r="M168" i="17"/>
  <c r="K168" i="17"/>
  <c r="I168" i="17"/>
  <c r="O166" i="17"/>
  <c r="U166" i="17" s="1"/>
  <c r="I166" i="17"/>
  <c r="K166" i="17" s="1"/>
  <c r="O165" i="17"/>
  <c r="U165" i="17" s="1"/>
  <c r="I165" i="17"/>
  <c r="K165" i="17" s="1"/>
  <c r="O164" i="17"/>
  <c r="U164" i="17" s="1"/>
  <c r="I164" i="17"/>
  <c r="K164" i="17" s="1"/>
  <c r="O163" i="17"/>
  <c r="U163" i="17" s="1"/>
  <c r="I163" i="17"/>
  <c r="U162" i="17"/>
  <c r="O162" i="17"/>
  <c r="I162" i="17"/>
  <c r="K162" i="17" s="1"/>
  <c r="M161" i="17"/>
  <c r="S161" i="17" s="1"/>
  <c r="K161" i="17"/>
  <c r="I161" i="17"/>
  <c r="M160" i="17"/>
  <c r="S160" i="17" s="1"/>
  <c r="I160" i="17"/>
  <c r="K160" i="17" s="1"/>
  <c r="Q158" i="17"/>
  <c r="O158" i="17"/>
  <c r="U158" i="17" s="1"/>
  <c r="M158" i="17"/>
  <c r="K158" i="17"/>
  <c r="I158" i="17"/>
  <c r="AQ157" i="17"/>
  <c r="Q157" i="17"/>
  <c r="Q185" i="17" s="1"/>
  <c r="O157" i="17"/>
  <c r="M157" i="17"/>
  <c r="K157" i="17"/>
  <c r="I157" i="17"/>
  <c r="C140" i="17"/>
  <c r="E132" i="17"/>
  <c r="E131" i="17"/>
  <c r="E130" i="17"/>
  <c r="E125" i="17" s="1"/>
  <c r="E129" i="17"/>
  <c r="E128" i="17"/>
  <c r="E127" i="17"/>
  <c r="E126" i="17"/>
  <c r="C124" i="17"/>
  <c r="E124" i="17" s="1"/>
  <c r="K116" i="17"/>
  <c r="W116" i="17" s="1"/>
  <c r="K115" i="17"/>
  <c r="W115" i="17" s="1"/>
  <c r="K114" i="17"/>
  <c r="W114" i="17" s="1"/>
  <c r="K113" i="17"/>
  <c r="W113" i="17" s="1"/>
  <c r="W112" i="17"/>
  <c r="K112" i="17"/>
  <c r="S111" i="17"/>
  <c r="K111" i="17"/>
  <c r="W111" i="17" s="1"/>
  <c r="K110" i="17"/>
  <c r="W109" i="17"/>
  <c r="S109" i="17"/>
  <c r="K109" i="17"/>
  <c r="K108" i="17"/>
  <c r="W108" i="17" s="1"/>
  <c r="W107" i="17"/>
  <c r="S107" i="17"/>
  <c r="K107" i="17"/>
  <c r="K106" i="17"/>
  <c r="W105" i="17"/>
  <c r="S105" i="17"/>
  <c r="K105" i="17"/>
  <c r="K104" i="17"/>
  <c r="S104" i="17" s="1"/>
  <c r="K103" i="17"/>
  <c r="S103" i="17" s="1"/>
  <c r="S102" i="17"/>
  <c r="K102" i="17"/>
  <c r="S101" i="17"/>
  <c r="K101" i="17"/>
  <c r="S100" i="17"/>
  <c r="K100" i="17"/>
  <c r="K99" i="17"/>
  <c r="S99" i="17" s="1"/>
  <c r="K98" i="17"/>
  <c r="S98" i="17" s="1"/>
  <c r="S97" i="17"/>
  <c r="K97" i="17"/>
  <c r="K96" i="17"/>
  <c r="Q82" i="17"/>
  <c r="S82" i="17" s="1"/>
  <c r="U82" i="17" s="1"/>
  <c r="Q81" i="17"/>
  <c r="S81" i="17" s="1"/>
  <c r="U81" i="17" s="1"/>
  <c r="Q68" i="17"/>
  <c r="O60" i="17"/>
  <c r="Q60" i="17" s="1"/>
  <c r="S60" i="17" s="1"/>
  <c r="I60" i="17"/>
  <c r="Q59" i="17"/>
  <c r="S59" i="17" s="1"/>
  <c r="U59" i="17" s="1"/>
  <c r="W59" i="17" s="1"/>
  <c r="I59" i="17"/>
  <c r="O59" i="17" s="1"/>
  <c r="O58" i="17"/>
  <c r="Q58" i="17" s="1"/>
  <c r="S58" i="17" s="1"/>
  <c r="I58" i="17"/>
  <c r="S57" i="17"/>
  <c r="Q57" i="17"/>
  <c r="O57" i="17"/>
  <c r="I57" i="17"/>
  <c r="O55" i="17"/>
  <c r="Q55" i="17" s="1"/>
  <c r="S55" i="17" s="1"/>
  <c r="I55" i="17"/>
  <c r="I54" i="17"/>
  <c r="O54" i="17" s="1"/>
  <c r="Q54" i="17" s="1"/>
  <c r="S54" i="17" s="1"/>
  <c r="U54" i="17" s="1"/>
  <c r="W54" i="17" s="1"/>
  <c r="S53" i="17"/>
  <c r="O53" i="17"/>
  <c r="Q53" i="17" s="1"/>
  <c r="I53" i="17"/>
  <c r="O52" i="17"/>
  <c r="Q52" i="17" s="1"/>
  <c r="S52" i="17" s="1"/>
  <c r="I52" i="17"/>
  <c r="O51" i="17"/>
  <c r="Q51" i="17" s="1"/>
  <c r="S51" i="17" s="1"/>
  <c r="U51" i="17" s="1"/>
  <c r="W51" i="17" s="1"/>
  <c r="I51" i="17"/>
  <c r="O48" i="17"/>
  <c r="Q48" i="17" s="1"/>
  <c r="S48" i="17" s="1"/>
  <c r="I48" i="17"/>
  <c r="S47" i="17"/>
  <c r="I47" i="17"/>
  <c r="O47" i="17" s="1"/>
  <c r="Q47" i="17" s="1"/>
  <c r="O46" i="17"/>
  <c r="Q46" i="17" s="1"/>
  <c r="S46" i="17" s="1"/>
  <c r="U46" i="17" s="1"/>
  <c r="W46" i="17" s="1"/>
  <c r="I46" i="17"/>
  <c r="O45" i="17"/>
  <c r="Q45" i="17" s="1"/>
  <c r="S45" i="17" s="1"/>
  <c r="I45" i="17"/>
  <c r="Q44" i="17"/>
  <c r="S44" i="17" s="1"/>
  <c r="O44" i="17"/>
  <c r="I44" i="17"/>
  <c r="O42" i="17"/>
  <c r="Q42" i="17" s="1"/>
  <c r="S42" i="17" s="1"/>
  <c r="I42" i="17"/>
  <c r="I41" i="17"/>
  <c r="O41" i="17" s="1"/>
  <c r="Q41" i="17" s="1"/>
  <c r="S41" i="17" s="1"/>
  <c r="U41" i="17" s="1"/>
  <c r="W41" i="17" s="1"/>
  <c r="O40" i="17"/>
  <c r="Q40" i="17" s="1"/>
  <c r="S40" i="17" s="1"/>
  <c r="I40" i="17"/>
  <c r="O39" i="17"/>
  <c r="Q39" i="17" s="1"/>
  <c r="S39" i="17" s="1"/>
  <c r="I39" i="17"/>
  <c r="O38" i="17"/>
  <c r="Q38" i="17" s="1"/>
  <c r="S38" i="17" s="1"/>
  <c r="U38" i="17" s="1"/>
  <c r="W38" i="17" s="1"/>
  <c r="I38" i="17"/>
  <c r="O37" i="17"/>
  <c r="Q37" i="17" s="1"/>
  <c r="S37" i="17" s="1"/>
  <c r="I37" i="17"/>
  <c r="W36" i="17"/>
  <c r="S36" i="17"/>
  <c r="U36" i="17" s="1"/>
  <c r="I36" i="17"/>
  <c r="O36" i="17" s="1"/>
  <c r="Q36" i="17" s="1"/>
  <c r="I35" i="17"/>
  <c r="O35" i="17" s="1"/>
  <c r="Q35" i="17" s="1"/>
  <c r="S35" i="17" s="1"/>
  <c r="O33" i="17"/>
  <c r="Q33" i="17" s="1"/>
  <c r="S33" i="17" s="1"/>
  <c r="I33" i="17"/>
  <c r="Q32" i="17"/>
  <c r="O32" i="17"/>
  <c r="I32" i="17"/>
  <c r="I24" i="17"/>
  <c r="G24" i="17"/>
  <c r="I23" i="17"/>
  <c r="G23" i="17"/>
  <c r="I22" i="17"/>
  <c r="G22" i="17"/>
  <c r="I21" i="17"/>
  <c r="G21" i="17"/>
  <c r="I19" i="17"/>
  <c r="G19" i="17"/>
  <c r="G18" i="17"/>
  <c r="I18" i="17" s="1"/>
  <c r="K18" i="17" s="1"/>
  <c r="M18" i="17" s="1"/>
  <c r="I17" i="17"/>
  <c r="G17" i="17"/>
  <c r="I16" i="17"/>
  <c r="G16" i="17"/>
  <c r="K15" i="17"/>
  <c r="M15" i="17" s="1"/>
  <c r="I15" i="17"/>
  <c r="G15" i="17"/>
  <c r="I14" i="17"/>
  <c r="G14" i="17"/>
  <c r="I13" i="17"/>
  <c r="G13" i="17"/>
  <c r="I12" i="17"/>
  <c r="G12" i="17"/>
  <c r="I11" i="17"/>
  <c r="G11" i="17"/>
  <c r="Z9" i="17"/>
  <c r="G9" i="17"/>
  <c r="I9" i="17" s="1"/>
  <c r="Z8" i="17"/>
  <c r="Q72" i="17" s="1"/>
  <c r="S72" i="17" s="1"/>
  <c r="U72" i="17" s="1"/>
  <c r="I8" i="17"/>
  <c r="K8" i="17" s="1"/>
  <c r="M8" i="17" s="1"/>
  <c r="G8" i="17"/>
  <c r="Z7" i="17"/>
  <c r="G7" i="17"/>
  <c r="I7" i="17" s="1"/>
  <c r="K7" i="17" s="1"/>
  <c r="M7" i="17" s="1"/>
  <c r="Z6" i="17"/>
  <c r="I6" i="17"/>
  <c r="G6" i="17"/>
  <c r="I8" i="16"/>
  <c r="J8" i="16" s="1"/>
  <c r="I7" i="16"/>
  <c r="G7" i="16"/>
  <c r="G20" i="15"/>
  <c r="F20" i="15"/>
  <c r="G19" i="15"/>
  <c r="G18" i="15"/>
  <c r="G16" i="15"/>
  <c r="G14" i="15"/>
  <c r="K12" i="15"/>
  <c r="F12" i="15"/>
  <c r="F19" i="15" s="1"/>
  <c r="K11" i="15"/>
  <c r="F11" i="15"/>
  <c r="F18" i="15" s="1"/>
  <c r="K10" i="15"/>
  <c r="G10" i="15"/>
  <c r="K9" i="15"/>
  <c r="G9" i="15"/>
  <c r="G8" i="15"/>
  <c r="D42" i="14"/>
  <c r="J27" i="14"/>
  <c r="L27" i="14" s="1"/>
  <c r="D50" i="14" s="1"/>
  <c r="H22" i="14"/>
  <c r="L17" i="14"/>
  <c r="D40" i="14" s="1"/>
  <c r="L16" i="14"/>
  <c r="J16" i="14" s="1"/>
  <c r="H16" i="14"/>
  <c r="J12" i="14"/>
  <c r="H12" i="14" s="1"/>
  <c r="J11" i="14"/>
  <c r="H11" i="14" s="1"/>
  <c r="P9" i="14"/>
  <c r="P8" i="14"/>
  <c r="P7" i="14"/>
  <c r="J7" i="14"/>
  <c r="H7" i="14" s="1"/>
  <c r="P6" i="14"/>
  <c r="J6" i="14"/>
  <c r="H6" i="14"/>
  <c r="J5" i="14"/>
  <c r="D38" i="14" s="1"/>
  <c r="I72" i="13"/>
  <c r="H72" i="13"/>
  <c r="G72" i="13"/>
  <c r="I70" i="13"/>
  <c r="H70" i="13"/>
  <c r="I68" i="13"/>
  <c r="I66" i="13"/>
  <c r="H66" i="13"/>
  <c r="G66" i="13"/>
  <c r="H57" i="13"/>
  <c r="I50" i="13"/>
  <c r="I57" i="13" s="1"/>
  <c r="H50" i="13"/>
  <c r="H68" i="13" s="1"/>
  <c r="G50" i="13"/>
  <c r="G35" i="13"/>
  <c r="G33" i="13"/>
  <c r="I31" i="13"/>
  <c r="H31" i="13"/>
  <c r="G26" i="13"/>
  <c r="G37" i="13" s="1"/>
  <c r="G21" i="13"/>
  <c r="H19" i="13"/>
  <c r="I17" i="13"/>
  <c r="I19" i="13" s="1"/>
  <c r="H17" i="13"/>
  <c r="G17" i="13"/>
  <c r="G31" i="13" s="1"/>
  <c r="G11" i="13"/>
  <c r="C56" i="12"/>
  <c r="C53" i="12"/>
  <c r="J29" i="12"/>
  <c r="C63" i="12" s="1"/>
  <c r="H29" i="12"/>
  <c r="J28" i="12"/>
  <c r="C62" i="12" s="1"/>
  <c r="H28" i="12"/>
  <c r="C55" i="12" s="1"/>
  <c r="J27" i="12"/>
  <c r="C61" i="12" s="1"/>
  <c r="C60" i="12" s="1"/>
  <c r="H27" i="12"/>
  <c r="C54" i="12" s="1"/>
  <c r="R17" i="12"/>
  <c r="R16" i="12"/>
  <c r="R15" i="12"/>
  <c r="H15" i="12"/>
  <c r="J15" i="12" s="1"/>
  <c r="L15" i="12" s="1"/>
  <c r="R14" i="12"/>
  <c r="H13" i="12"/>
  <c r="J9" i="12"/>
  <c r="H9" i="12"/>
  <c r="J6" i="12"/>
  <c r="L6" i="12" s="1"/>
  <c r="C72" i="11"/>
  <c r="J70" i="11"/>
  <c r="H70" i="11"/>
  <c r="E50" i="11"/>
  <c r="F50" i="11" s="1"/>
  <c r="C50" i="11"/>
  <c r="E49" i="11"/>
  <c r="F49" i="11" s="1"/>
  <c r="C49" i="11"/>
  <c r="E48" i="11"/>
  <c r="F48" i="11" s="1"/>
  <c r="F51" i="11" s="1"/>
  <c r="C85" i="11" s="1"/>
  <c r="E33" i="11"/>
  <c r="F33" i="11" s="1"/>
  <c r="E32" i="11"/>
  <c r="F32" i="11" s="1"/>
  <c r="F31" i="11"/>
  <c r="E31" i="11"/>
  <c r="I28" i="11"/>
  <c r="E28" i="11"/>
  <c r="F28" i="11" s="1"/>
  <c r="I27" i="11"/>
  <c r="I70" i="11" s="1"/>
  <c r="E27" i="11"/>
  <c r="F27" i="11" s="1"/>
  <c r="I26" i="11"/>
  <c r="E26" i="11"/>
  <c r="I25" i="11"/>
  <c r="E25" i="11"/>
  <c r="F25" i="11" s="1"/>
  <c r="F9" i="11"/>
  <c r="E8" i="11"/>
  <c r="F8" i="11" s="1"/>
  <c r="AA107" i="10"/>
  <c r="AC107" i="10" s="1"/>
  <c r="AE107" i="10" s="1"/>
  <c r="AG107" i="10" s="1"/>
  <c r="V107" i="10"/>
  <c r="X107" i="10" s="1"/>
  <c r="T107" i="10"/>
  <c r="K107" i="10"/>
  <c r="M107" i="10" s="1"/>
  <c r="O107" i="10" s="1"/>
  <c r="E107" i="10"/>
  <c r="AA106" i="10"/>
  <c r="AC106" i="10" s="1"/>
  <c r="AE106" i="10" s="1"/>
  <c r="X106" i="10"/>
  <c r="AG106" i="10" s="1"/>
  <c r="T106" i="10"/>
  <c r="V106" i="10" s="1"/>
  <c r="E106" i="10"/>
  <c r="K106" i="10" s="1"/>
  <c r="M106" i="10" s="1"/>
  <c r="O106" i="10" s="1"/>
  <c r="K92" i="10"/>
  <c r="M92" i="10" s="1"/>
  <c r="I92" i="10"/>
  <c r="M91" i="10"/>
  <c r="I91" i="10"/>
  <c r="K91" i="10" s="1"/>
  <c r="K90" i="10"/>
  <c r="I90" i="10"/>
  <c r="O82" i="10"/>
  <c r="Q82" i="10" s="1"/>
  <c r="S82" i="10" s="1"/>
  <c r="E73" i="1" s="1"/>
  <c r="C82" i="10"/>
  <c r="I82" i="10" s="1"/>
  <c r="M73" i="10"/>
  <c r="O73" i="10" s="1"/>
  <c r="K73" i="10"/>
  <c r="K72" i="10"/>
  <c r="M72" i="10" s="1"/>
  <c r="O72" i="10" s="1"/>
  <c r="E72" i="10"/>
  <c r="C72" i="10"/>
  <c r="O71" i="10"/>
  <c r="K71" i="10"/>
  <c r="M71" i="10" s="1"/>
  <c r="E71" i="10"/>
  <c r="C70" i="10"/>
  <c r="AA69" i="10"/>
  <c r="AC69" i="10" s="1"/>
  <c r="AE69" i="10" s="1"/>
  <c r="C69" i="10"/>
  <c r="E69" i="10" s="1"/>
  <c r="K69" i="10" s="1"/>
  <c r="M69" i="10" s="1"/>
  <c r="O69" i="10" s="1"/>
  <c r="AA68" i="10"/>
  <c r="AC68" i="10" s="1"/>
  <c r="AE68" i="10" s="1"/>
  <c r="T68" i="10"/>
  <c r="V68" i="10" s="1"/>
  <c r="X68" i="10" s="1"/>
  <c r="AG68" i="10" s="1"/>
  <c r="O68" i="10"/>
  <c r="C68" i="10"/>
  <c r="E68" i="10" s="1"/>
  <c r="K68" i="10" s="1"/>
  <c r="M68" i="10" s="1"/>
  <c r="C67" i="10"/>
  <c r="AA66" i="10"/>
  <c r="AC66" i="10" s="1"/>
  <c r="AE66" i="10" s="1"/>
  <c r="C66" i="10"/>
  <c r="M65" i="10"/>
  <c r="O65" i="10" s="1"/>
  <c r="E65" i="10"/>
  <c r="K65" i="10" s="1"/>
  <c r="O64" i="10"/>
  <c r="K64" i="10"/>
  <c r="M64" i="10" s="1"/>
  <c r="AA63" i="10"/>
  <c r="AC63" i="10" s="1"/>
  <c r="AE63" i="10" s="1"/>
  <c r="O63" i="10"/>
  <c r="K63" i="10"/>
  <c r="M63" i="10" s="1"/>
  <c r="E63" i="10"/>
  <c r="T63" i="10" s="1"/>
  <c r="V63" i="10" s="1"/>
  <c r="X63" i="10" s="1"/>
  <c r="C63" i="10"/>
  <c r="O62" i="10"/>
  <c r="E62" i="10"/>
  <c r="K62" i="10" s="1"/>
  <c r="M62" i="10" s="1"/>
  <c r="C62" i="10"/>
  <c r="AA61" i="10"/>
  <c r="AC61" i="10" s="1"/>
  <c r="AE61" i="10" s="1"/>
  <c r="K61" i="10"/>
  <c r="M61" i="10" s="1"/>
  <c r="O61" i="10" s="1"/>
  <c r="C61" i="10"/>
  <c r="E61" i="10" s="1"/>
  <c r="AA60" i="10"/>
  <c r="AC60" i="10" s="1"/>
  <c r="AE60" i="10" s="1"/>
  <c r="V60" i="10"/>
  <c r="X60" i="10" s="1"/>
  <c r="AG60" i="10" s="1"/>
  <c r="T60" i="10"/>
  <c r="O60" i="10"/>
  <c r="C60" i="10"/>
  <c r="E60" i="10" s="1"/>
  <c r="K60" i="10" s="1"/>
  <c r="M60" i="10" s="1"/>
  <c r="C59" i="10"/>
  <c r="AA58" i="10"/>
  <c r="AC58" i="10" s="1"/>
  <c r="AE58" i="10" s="1"/>
  <c r="C58" i="10"/>
  <c r="K57" i="10"/>
  <c r="M57" i="10" s="1"/>
  <c r="O57" i="10" s="1"/>
  <c r="E57" i="10"/>
  <c r="I44" i="10"/>
  <c r="I45" i="10" s="1"/>
  <c r="I42" i="10"/>
  <c r="I39" i="10"/>
  <c r="K39" i="10" s="1"/>
  <c r="I37" i="10"/>
  <c r="M36" i="10"/>
  <c r="M35" i="10"/>
  <c r="M34" i="10"/>
  <c r="M33" i="10"/>
  <c r="M32" i="10"/>
  <c r="M39" i="10" s="1"/>
  <c r="K32" i="10"/>
  <c r="I28" i="10"/>
  <c r="K26" i="10"/>
  <c r="I26" i="10"/>
  <c r="K25" i="10"/>
  <c r="K24" i="10"/>
  <c r="M23" i="10"/>
  <c r="K23" i="10"/>
  <c r="M22" i="10"/>
  <c r="K22" i="10"/>
  <c r="M21" i="10"/>
  <c r="K21" i="10"/>
  <c r="M20" i="10"/>
  <c r="K20" i="10"/>
  <c r="M19" i="10"/>
  <c r="K19" i="10"/>
  <c r="E14" i="10"/>
  <c r="C71" i="10" s="1"/>
  <c r="E13" i="10"/>
  <c r="E12" i="10"/>
  <c r="P11" i="10"/>
  <c r="G11" i="10"/>
  <c r="E11" i="10"/>
  <c r="C11" i="10"/>
  <c r="P10" i="10"/>
  <c r="E10" i="10"/>
  <c r="P9" i="10"/>
  <c r="E9" i="10"/>
  <c r="C65" i="10" s="1"/>
  <c r="P8" i="10"/>
  <c r="E8" i="10"/>
  <c r="E6" i="10"/>
  <c r="E5" i="10"/>
  <c r="C57" i="10" s="1"/>
  <c r="C125" i="9"/>
  <c r="E124" i="9"/>
  <c r="D124" i="9"/>
  <c r="C124" i="9"/>
  <c r="D123" i="9"/>
  <c r="C123" i="9"/>
  <c r="D122" i="9"/>
  <c r="C122" i="9"/>
  <c r="D121" i="9"/>
  <c r="C121" i="9"/>
  <c r="D120" i="9"/>
  <c r="C120" i="9"/>
  <c r="D119" i="9"/>
  <c r="C119" i="9"/>
  <c r="D118" i="9"/>
  <c r="C118" i="9"/>
  <c r="D117" i="9"/>
  <c r="C117" i="9"/>
  <c r="D116" i="9"/>
  <c r="C116" i="9"/>
  <c r="D115" i="9"/>
  <c r="C115" i="9"/>
  <c r="D114" i="9"/>
  <c r="C114" i="9"/>
  <c r="D113" i="9"/>
  <c r="C113" i="9"/>
  <c r="D112" i="9"/>
  <c r="C112" i="9"/>
  <c r="D111" i="9"/>
  <c r="C111" i="9"/>
  <c r="D110" i="9"/>
  <c r="C110" i="9"/>
  <c r="D109" i="9"/>
  <c r="C109" i="9"/>
  <c r="D108" i="9"/>
  <c r="C108" i="9"/>
  <c r="D107" i="9"/>
  <c r="C107" i="9"/>
  <c r="D106" i="9"/>
  <c r="C106" i="9"/>
  <c r="D105" i="9"/>
  <c r="C105" i="9"/>
  <c r="E104" i="9"/>
  <c r="D104" i="9"/>
  <c r="C104" i="9"/>
  <c r="D103" i="9"/>
  <c r="C103" i="9"/>
  <c r="E102" i="9"/>
  <c r="D102" i="9"/>
  <c r="C102" i="9"/>
  <c r="F93" i="9"/>
  <c r="F92" i="9"/>
  <c r="H91" i="9"/>
  <c r="F122" i="9" s="1"/>
  <c r="F91" i="9"/>
  <c r="F90" i="9"/>
  <c r="H89" i="9"/>
  <c r="F120" i="9" s="1"/>
  <c r="F89" i="9"/>
  <c r="F88" i="9"/>
  <c r="F87" i="9"/>
  <c r="F86" i="9"/>
  <c r="F85" i="9"/>
  <c r="F84" i="9"/>
  <c r="F83" i="9"/>
  <c r="F82" i="9"/>
  <c r="H81" i="9"/>
  <c r="F112" i="9" s="1"/>
  <c r="F81" i="9"/>
  <c r="F80" i="9"/>
  <c r="F79" i="9"/>
  <c r="F78" i="9"/>
  <c r="F77" i="9"/>
  <c r="F76" i="9"/>
  <c r="F75" i="9"/>
  <c r="F74" i="9"/>
  <c r="H73" i="9"/>
  <c r="F104" i="9" s="1"/>
  <c r="F73" i="9"/>
  <c r="F72" i="9"/>
  <c r="F71" i="9"/>
  <c r="F63" i="9"/>
  <c r="F62" i="9"/>
  <c r="H61" i="9"/>
  <c r="G122" i="9" s="1"/>
  <c r="F61" i="9"/>
  <c r="F60" i="9"/>
  <c r="H59" i="9"/>
  <c r="G120" i="9" s="1"/>
  <c r="F59" i="9"/>
  <c r="F58" i="9"/>
  <c r="F57" i="9"/>
  <c r="F56" i="9"/>
  <c r="F55" i="9"/>
  <c r="F54" i="9"/>
  <c r="F53" i="9"/>
  <c r="F52" i="9"/>
  <c r="H51" i="9"/>
  <c r="G112" i="9" s="1"/>
  <c r="F51" i="9"/>
  <c r="F50" i="9"/>
  <c r="F49" i="9"/>
  <c r="F48" i="9"/>
  <c r="F47" i="9"/>
  <c r="F46" i="9"/>
  <c r="F45" i="9"/>
  <c r="F44" i="9"/>
  <c r="H43" i="9"/>
  <c r="G104" i="9" s="1"/>
  <c r="F43" i="9"/>
  <c r="F42" i="9"/>
  <c r="F41" i="9"/>
  <c r="F33" i="9"/>
  <c r="I33" i="9" s="1"/>
  <c r="J33" i="9" s="1"/>
  <c r="E123" i="9" s="1"/>
  <c r="F32" i="9"/>
  <c r="I32" i="9" s="1"/>
  <c r="J32" i="9" s="1"/>
  <c r="E122" i="9" s="1"/>
  <c r="H122" i="9" s="1"/>
  <c r="F31" i="9"/>
  <c r="I31" i="9" s="1"/>
  <c r="J31" i="9" s="1"/>
  <c r="E121" i="9" s="1"/>
  <c r="F30" i="9"/>
  <c r="I30" i="9" s="1"/>
  <c r="J30" i="9" s="1"/>
  <c r="E120" i="9" s="1"/>
  <c r="F29" i="9"/>
  <c r="I29" i="9" s="1"/>
  <c r="J29" i="9" s="1"/>
  <c r="E119" i="9" s="1"/>
  <c r="F28" i="9"/>
  <c r="I28" i="9" s="1"/>
  <c r="J28" i="9" s="1"/>
  <c r="E118" i="9" s="1"/>
  <c r="F27" i="9"/>
  <c r="I27" i="9" s="1"/>
  <c r="J27" i="9" s="1"/>
  <c r="E117" i="9" s="1"/>
  <c r="F26" i="9"/>
  <c r="I26" i="9" s="1"/>
  <c r="J26" i="9" s="1"/>
  <c r="E116" i="9" s="1"/>
  <c r="F25" i="9"/>
  <c r="I25" i="9" s="1"/>
  <c r="J25" i="9" s="1"/>
  <c r="E115" i="9" s="1"/>
  <c r="F24" i="9"/>
  <c r="I24" i="9" s="1"/>
  <c r="J24" i="9" s="1"/>
  <c r="E114" i="9" s="1"/>
  <c r="F23" i="9"/>
  <c r="I23" i="9" s="1"/>
  <c r="J23" i="9" s="1"/>
  <c r="E113" i="9" s="1"/>
  <c r="F22" i="9"/>
  <c r="I22" i="9" s="1"/>
  <c r="J22" i="9" s="1"/>
  <c r="E112" i="9" s="1"/>
  <c r="H112" i="9" s="1"/>
  <c r="F21" i="9"/>
  <c r="I21" i="9" s="1"/>
  <c r="J21" i="9" s="1"/>
  <c r="E111" i="9" s="1"/>
  <c r="F20" i="9"/>
  <c r="I20" i="9" s="1"/>
  <c r="J20" i="9" s="1"/>
  <c r="E110" i="9" s="1"/>
  <c r="F19" i="9"/>
  <c r="I19" i="9" s="1"/>
  <c r="J19" i="9" s="1"/>
  <c r="E109" i="9" s="1"/>
  <c r="F18" i="9"/>
  <c r="I18" i="9" s="1"/>
  <c r="J18" i="9" s="1"/>
  <c r="E108" i="9" s="1"/>
  <c r="F17" i="9"/>
  <c r="I17" i="9" s="1"/>
  <c r="J17" i="9" s="1"/>
  <c r="E107" i="9" s="1"/>
  <c r="F16" i="9"/>
  <c r="I16" i="9" s="1"/>
  <c r="J16" i="9" s="1"/>
  <c r="E106" i="9" s="1"/>
  <c r="F15" i="9"/>
  <c r="I15" i="9" s="1"/>
  <c r="J15" i="9" s="1"/>
  <c r="E105" i="9" s="1"/>
  <c r="M14" i="9"/>
  <c r="F14" i="9"/>
  <c r="I14" i="9" s="1"/>
  <c r="M13" i="9"/>
  <c r="F13" i="9"/>
  <c r="I13" i="9" s="1"/>
  <c r="J13" i="9" s="1"/>
  <c r="M12" i="9"/>
  <c r="F12" i="9"/>
  <c r="I12" i="9" s="1"/>
  <c r="M11" i="9"/>
  <c r="D60" i="8"/>
  <c r="F44" i="8"/>
  <c r="G44" i="8" s="1"/>
  <c r="E61" i="8" s="1"/>
  <c r="E44" i="8"/>
  <c r="F43" i="8"/>
  <c r="E43" i="8"/>
  <c r="G43" i="8" s="1"/>
  <c r="E60" i="8" s="1"/>
  <c r="E42" i="8"/>
  <c r="E41" i="8"/>
  <c r="E40" i="8"/>
  <c r="E39" i="8"/>
  <c r="G39" i="8" s="1"/>
  <c r="E56" i="8" s="1"/>
  <c r="E38" i="8"/>
  <c r="E37" i="8"/>
  <c r="F29" i="8"/>
  <c r="E29" i="8"/>
  <c r="G29" i="8" s="1"/>
  <c r="F61" i="8" s="1"/>
  <c r="E28" i="8"/>
  <c r="E27" i="8"/>
  <c r="G26" i="8"/>
  <c r="F58" i="8" s="1"/>
  <c r="F26" i="8"/>
  <c r="E26" i="8"/>
  <c r="E25" i="8"/>
  <c r="F24" i="8"/>
  <c r="G24" i="8" s="1"/>
  <c r="F56" i="8" s="1"/>
  <c r="E24" i="8"/>
  <c r="E23" i="8"/>
  <c r="G23" i="8" s="1"/>
  <c r="F55" i="8" s="1"/>
  <c r="F22" i="8"/>
  <c r="G22" i="8" s="1"/>
  <c r="E22" i="8"/>
  <c r="F14" i="8"/>
  <c r="G14" i="8" s="1"/>
  <c r="F13" i="8"/>
  <c r="G13" i="8" s="1"/>
  <c r="D59" i="8" s="1"/>
  <c r="F12" i="8"/>
  <c r="G12" i="8" s="1"/>
  <c r="D58" i="8" s="1"/>
  <c r="F11" i="8"/>
  <c r="G11" i="8" s="1"/>
  <c r="D57" i="8" s="1"/>
  <c r="J10" i="8"/>
  <c r="G10" i="8"/>
  <c r="D56" i="8" s="1"/>
  <c r="F10" i="8"/>
  <c r="J9" i="8"/>
  <c r="F23" i="8" s="1"/>
  <c r="F9" i="8"/>
  <c r="G9" i="8" s="1"/>
  <c r="D55" i="8" s="1"/>
  <c r="J8" i="8"/>
  <c r="F39" i="8" s="1"/>
  <c r="F8" i="8"/>
  <c r="G8" i="8" s="1"/>
  <c r="J7" i="8"/>
  <c r="E38" i="7"/>
  <c r="E37" i="7"/>
  <c r="E36" i="7"/>
  <c r="E35" i="7"/>
  <c r="E34" i="7"/>
  <c r="E33" i="7"/>
  <c r="E25" i="7"/>
  <c r="E24" i="7"/>
  <c r="E23" i="7"/>
  <c r="E22" i="7"/>
  <c r="E21" i="7"/>
  <c r="E20" i="7"/>
  <c r="F13" i="7"/>
  <c r="G13" i="7" s="1"/>
  <c r="C52" i="7" s="1"/>
  <c r="J12" i="7"/>
  <c r="F12" i="7"/>
  <c r="G12" i="7" s="1"/>
  <c r="C51" i="7" s="1"/>
  <c r="J11" i="7"/>
  <c r="F11" i="7"/>
  <c r="G11" i="7" s="1"/>
  <c r="C50" i="7" s="1"/>
  <c r="J10" i="7"/>
  <c r="F10" i="7"/>
  <c r="G10" i="7" s="1"/>
  <c r="C49" i="7" s="1"/>
  <c r="J9" i="7"/>
  <c r="F9" i="7"/>
  <c r="G9" i="7" s="1"/>
  <c r="W86" i="6"/>
  <c r="L86" i="6"/>
  <c r="D72" i="6"/>
  <c r="N70" i="6"/>
  <c r="T59" i="6"/>
  <c r="T86" i="6" s="1"/>
  <c r="S59" i="6"/>
  <c r="S86" i="6" s="1"/>
  <c r="Q59" i="6"/>
  <c r="Q86" i="6" s="1"/>
  <c r="O59" i="6"/>
  <c r="O86" i="6" s="1"/>
  <c r="F59" i="6"/>
  <c r="F86" i="6" s="1"/>
  <c r="E59" i="6"/>
  <c r="E86" i="6" s="1"/>
  <c r="C59" i="6"/>
  <c r="C86" i="6" s="1"/>
  <c r="W52" i="6"/>
  <c r="T52" i="6"/>
  <c r="S52" i="6"/>
  <c r="R52" i="6"/>
  <c r="R59" i="6" s="1"/>
  <c r="Q52" i="6"/>
  <c r="P52" i="6"/>
  <c r="P59" i="6" s="1"/>
  <c r="P86" i="6" s="1"/>
  <c r="O52" i="6"/>
  <c r="N52" i="6"/>
  <c r="N59" i="6" s="1"/>
  <c r="N86" i="6" s="1"/>
  <c r="M52" i="6"/>
  <c r="M59" i="6" s="1"/>
  <c r="M86" i="6" s="1"/>
  <c r="L52" i="6"/>
  <c r="L59" i="6" s="1"/>
  <c r="K52" i="6"/>
  <c r="K59" i="6" s="1"/>
  <c r="K86" i="6" s="1"/>
  <c r="J52" i="6"/>
  <c r="J59" i="6" s="1"/>
  <c r="J86" i="6" s="1"/>
  <c r="I52" i="6"/>
  <c r="I59" i="6" s="1"/>
  <c r="I86" i="6" s="1"/>
  <c r="H52" i="6"/>
  <c r="H59" i="6" s="1"/>
  <c r="H86" i="6" s="1"/>
  <c r="G52" i="6"/>
  <c r="G59" i="6" s="1"/>
  <c r="G86" i="6" s="1"/>
  <c r="F52" i="6"/>
  <c r="E52" i="6"/>
  <c r="D52" i="6"/>
  <c r="D59" i="6" s="1"/>
  <c r="D86" i="6" s="1"/>
  <c r="C52" i="6"/>
  <c r="V51" i="6"/>
  <c r="V52" i="6" s="1"/>
  <c r="V59" i="6" s="1"/>
  <c r="V86" i="6" s="1"/>
  <c r="U51" i="6"/>
  <c r="U52" i="6" s="1"/>
  <c r="U59" i="6" s="1"/>
  <c r="U86" i="6" s="1"/>
  <c r="V40" i="6"/>
  <c r="U40" i="6"/>
  <c r="S40" i="6"/>
  <c r="I40" i="6"/>
  <c r="G40" i="6"/>
  <c r="E40" i="6"/>
  <c r="V33" i="6"/>
  <c r="T33" i="6"/>
  <c r="T40" i="6" s="1"/>
  <c r="S33" i="6"/>
  <c r="R33" i="6"/>
  <c r="R40" i="6" s="1"/>
  <c r="Q33" i="6"/>
  <c r="Q40" i="6" s="1"/>
  <c r="P33" i="6"/>
  <c r="P40" i="6" s="1"/>
  <c r="O33" i="6"/>
  <c r="O40" i="6" s="1"/>
  <c r="N33" i="6"/>
  <c r="N40" i="6" s="1"/>
  <c r="M33" i="6"/>
  <c r="M40" i="6" s="1"/>
  <c r="L33" i="6"/>
  <c r="L40" i="6" s="1"/>
  <c r="K33" i="6"/>
  <c r="K40" i="6" s="1"/>
  <c r="J33" i="6"/>
  <c r="J40" i="6" s="1"/>
  <c r="I33" i="6"/>
  <c r="H33" i="6"/>
  <c r="H40" i="6" s="1"/>
  <c r="G33" i="6"/>
  <c r="F33" i="6"/>
  <c r="F40" i="6" s="1"/>
  <c r="E33" i="6"/>
  <c r="D33" i="6"/>
  <c r="D40" i="6" s="1"/>
  <c r="C33" i="6"/>
  <c r="C40" i="6" s="1"/>
  <c r="W28" i="6"/>
  <c r="W59" i="6" s="1"/>
  <c r="U28" i="6"/>
  <c r="U33" i="6" s="1"/>
  <c r="D63" i="5"/>
  <c r="D52" i="5"/>
  <c r="J38" i="5"/>
  <c r="J37" i="5"/>
  <c r="J36" i="5"/>
  <c r="J35" i="5"/>
  <c r="K28" i="5"/>
  <c r="K27" i="5"/>
  <c r="K26" i="5"/>
  <c r="K24" i="5"/>
  <c r="K23" i="5"/>
  <c r="K22" i="5"/>
  <c r="K20" i="5"/>
  <c r="K19" i="5"/>
  <c r="K18" i="5"/>
  <c r="H16" i="5"/>
  <c r="G16" i="5"/>
  <c r="F16" i="5"/>
  <c r="E16" i="5"/>
  <c r="D16" i="5"/>
  <c r="D36" i="5" s="1"/>
  <c r="G87" i="4"/>
  <c r="F87" i="4"/>
  <c r="E87" i="4"/>
  <c r="F85" i="4"/>
  <c r="E85" i="4" s="1"/>
  <c r="E89" i="4" s="1"/>
  <c r="F89" i="4" s="1"/>
  <c r="G89" i="4" s="1"/>
  <c r="G83" i="4"/>
  <c r="F83" i="4"/>
  <c r="E83" i="4"/>
  <c r="F74" i="4"/>
  <c r="G74" i="4" s="1"/>
  <c r="F72" i="4"/>
  <c r="G72" i="4" s="1"/>
  <c r="E72" i="4"/>
  <c r="G70" i="4"/>
  <c r="F70" i="4"/>
  <c r="E70" i="4"/>
  <c r="F62" i="4"/>
  <c r="G62" i="4" s="1"/>
  <c r="E62" i="4"/>
  <c r="D62" i="4"/>
  <c r="F60" i="4"/>
  <c r="G60" i="4" s="1"/>
  <c r="E60" i="4"/>
  <c r="D60" i="4"/>
  <c r="J58" i="4"/>
  <c r="G58" i="4"/>
  <c r="F58" i="4"/>
  <c r="E58" i="4"/>
  <c r="D58" i="4"/>
  <c r="J57" i="4"/>
  <c r="J56" i="4"/>
  <c r="G56" i="4"/>
  <c r="F56" i="4"/>
  <c r="E56" i="4"/>
  <c r="D56" i="4"/>
  <c r="J55" i="4"/>
  <c r="G48" i="4"/>
  <c r="F48" i="4"/>
  <c r="F390" i="2" s="1"/>
  <c r="E48" i="4"/>
  <c r="I43" i="4"/>
  <c r="H43" i="4"/>
  <c r="H42" i="4"/>
  <c r="I42" i="4" s="1"/>
  <c r="H41" i="4"/>
  <c r="I41" i="4" s="1"/>
  <c r="H39" i="4"/>
  <c r="H33" i="4"/>
  <c r="I33" i="4" s="1"/>
  <c r="H32" i="4"/>
  <c r="I32" i="4" s="1"/>
  <c r="H31" i="4"/>
  <c r="I31" i="4" s="1"/>
  <c r="H29" i="4"/>
  <c r="H23" i="4"/>
  <c r="I23" i="4" s="1"/>
  <c r="I22" i="4"/>
  <c r="H22" i="4"/>
  <c r="H21" i="4"/>
  <c r="I21" i="4" s="1"/>
  <c r="H19" i="4"/>
  <c r="H13" i="4"/>
  <c r="I13" i="4" s="1"/>
  <c r="H12" i="4"/>
  <c r="I12" i="4" s="1"/>
  <c r="H11" i="4"/>
  <c r="I11" i="4" s="1"/>
  <c r="H9" i="4"/>
  <c r="J289" i="3"/>
  <c r="J286" i="3"/>
  <c r="J283" i="3"/>
  <c r="J282" i="3"/>
  <c r="J281" i="3"/>
  <c r="J280" i="3"/>
  <c r="J279" i="3"/>
  <c r="J278" i="3"/>
  <c r="J277" i="3"/>
  <c r="J273" i="3"/>
  <c r="J272" i="3"/>
  <c r="J271" i="3"/>
  <c r="J270" i="3"/>
  <c r="J266" i="3"/>
  <c r="J265" i="3"/>
  <c r="J264" i="3"/>
  <c r="J263" i="3"/>
  <c r="J257" i="3"/>
  <c r="J256" i="3"/>
  <c r="J253" i="3"/>
  <c r="J252" i="3"/>
  <c r="J250" i="3"/>
  <c r="M249" i="3"/>
  <c r="L249" i="3"/>
  <c r="K249" i="3"/>
  <c r="J249" i="3"/>
  <c r="M248" i="3"/>
  <c r="L248" i="3"/>
  <c r="K248" i="3"/>
  <c r="J248" i="3"/>
  <c r="J246" i="3"/>
  <c r="J245" i="3"/>
  <c r="J243" i="3"/>
  <c r="J242" i="3"/>
  <c r="J241" i="3"/>
  <c r="J240" i="3"/>
  <c r="J236" i="3"/>
  <c r="J235" i="3"/>
  <c r="J234" i="3"/>
  <c r="J233" i="3"/>
  <c r="J232" i="3"/>
  <c r="J231" i="3"/>
  <c r="J230" i="3"/>
  <c r="J229" i="3"/>
  <c r="J228" i="3"/>
  <c r="J227" i="3"/>
  <c r="F223" i="3"/>
  <c r="F222" i="3"/>
  <c r="F221" i="3"/>
  <c r="F220" i="3"/>
  <c r="F219" i="3"/>
  <c r="J215" i="3"/>
  <c r="J214" i="3"/>
  <c r="J213" i="3"/>
  <c r="J212" i="3"/>
  <c r="J208" i="3"/>
  <c r="J207" i="3"/>
  <c r="J206" i="3"/>
  <c r="J205" i="3"/>
  <c r="J204" i="3"/>
  <c r="J203" i="3"/>
  <c r="J202" i="3"/>
  <c r="J201" i="3"/>
  <c r="J196" i="3"/>
  <c r="J195" i="3"/>
  <c r="J192" i="3"/>
  <c r="J191" i="3"/>
  <c r="J187" i="3"/>
  <c r="J186" i="3"/>
  <c r="J185" i="3"/>
  <c r="J184" i="3"/>
  <c r="J183" i="3"/>
  <c r="J182" i="3"/>
  <c r="J181" i="3"/>
  <c r="J180" i="3"/>
  <c r="J178" i="3"/>
  <c r="M177" i="3" s="1"/>
  <c r="J177" i="3"/>
  <c r="J176" i="3"/>
  <c r="J173" i="3"/>
  <c r="J172" i="3"/>
  <c r="J168" i="3"/>
  <c r="J167" i="3"/>
  <c r="J166" i="3"/>
  <c r="J163" i="3"/>
  <c r="J162" i="3"/>
  <c r="J157" i="3"/>
  <c r="J154" i="3"/>
  <c r="J153" i="3"/>
  <c r="J150" i="3"/>
  <c r="J149" i="3"/>
  <c r="J147" i="3"/>
  <c r="M146" i="3"/>
  <c r="L146" i="3"/>
  <c r="K146" i="3"/>
  <c r="J146" i="3"/>
  <c r="M145" i="3"/>
  <c r="L145" i="3"/>
  <c r="K145" i="3"/>
  <c r="J145" i="3"/>
  <c r="J141" i="3"/>
  <c r="J137" i="3"/>
  <c r="J135" i="3"/>
  <c r="J132" i="3"/>
  <c r="J131" i="3"/>
  <c r="J128" i="3"/>
  <c r="J126" i="3"/>
  <c r="J124" i="3"/>
  <c r="J122" i="3"/>
  <c r="M118" i="3"/>
  <c r="L118" i="3"/>
  <c r="K118" i="3"/>
  <c r="J118" i="3"/>
  <c r="J117" i="3"/>
  <c r="M117" i="3" s="1"/>
  <c r="J115" i="3"/>
  <c r="L115" i="3" s="1"/>
  <c r="M114" i="3"/>
  <c r="J114" i="3"/>
  <c r="J111" i="3"/>
  <c r="J109" i="3"/>
  <c r="J107" i="3"/>
  <c r="J105" i="3"/>
  <c r="J102" i="3"/>
  <c r="J101" i="3"/>
  <c r="M102" i="3" s="1"/>
  <c r="J98" i="3"/>
  <c r="M95" i="3"/>
  <c r="L95" i="3"/>
  <c r="K95" i="3"/>
  <c r="J95" i="3"/>
  <c r="J94" i="3"/>
  <c r="M94" i="3" s="1"/>
  <c r="J92" i="3"/>
  <c r="L92" i="3" s="1"/>
  <c r="M91" i="3"/>
  <c r="J91" i="3"/>
  <c r="M89" i="3"/>
  <c r="L89" i="3"/>
  <c r="K89" i="3"/>
  <c r="J89" i="3"/>
  <c r="M88" i="3"/>
  <c r="L88" i="3"/>
  <c r="K88" i="3"/>
  <c r="J88" i="3"/>
  <c r="J86" i="3"/>
  <c r="J83" i="3"/>
  <c r="M82" i="3"/>
  <c r="L82" i="3"/>
  <c r="K82" i="3"/>
  <c r="J82" i="3"/>
  <c r="M81" i="3"/>
  <c r="L81" i="3"/>
  <c r="K81" i="3"/>
  <c r="J81" i="3"/>
  <c r="J77" i="3"/>
  <c r="J76" i="3"/>
  <c r="J75" i="3"/>
  <c r="J72" i="3"/>
  <c r="L71" i="3" s="1"/>
  <c r="M71" i="3"/>
  <c r="J71" i="3"/>
  <c r="J69" i="3"/>
  <c r="L68" i="3"/>
  <c r="K68" i="3"/>
  <c r="J68" i="3"/>
  <c r="J66" i="3"/>
  <c r="J65" i="3"/>
  <c r="J63" i="3"/>
  <c r="J62" i="3"/>
  <c r="J58" i="3"/>
  <c r="M55" i="3"/>
  <c r="J55" i="3"/>
  <c r="J54" i="3"/>
  <c r="M54" i="3" s="1"/>
  <c r="M53" i="3"/>
  <c r="J53" i="3"/>
  <c r="L53" i="3" s="1"/>
  <c r="M50" i="3"/>
  <c r="J50" i="3"/>
  <c r="L50" i="3" s="1"/>
  <c r="L49" i="3"/>
  <c r="J49" i="3"/>
  <c r="J48" i="3"/>
  <c r="M48" i="3" s="1"/>
  <c r="J45" i="3"/>
  <c r="J44" i="3"/>
  <c r="K44" i="3" s="1"/>
  <c r="M43" i="3"/>
  <c r="L43" i="3"/>
  <c r="J43" i="3"/>
  <c r="J41" i="3"/>
  <c r="L40" i="3"/>
  <c r="K40" i="3"/>
  <c r="J40" i="3"/>
  <c r="J39" i="3"/>
  <c r="M39" i="3" s="1"/>
  <c r="J35" i="3"/>
  <c r="J33" i="3"/>
  <c r="J31" i="3"/>
  <c r="J27" i="3"/>
  <c r="M25" i="3"/>
  <c r="J25" i="3"/>
  <c r="L25" i="3" s="1"/>
  <c r="M24" i="3"/>
  <c r="J24" i="3"/>
  <c r="L24" i="3" s="1"/>
  <c r="M20" i="3"/>
  <c r="L20" i="3"/>
  <c r="K20" i="3"/>
  <c r="J20" i="3"/>
  <c r="M19" i="3"/>
  <c r="L19" i="3"/>
  <c r="K19" i="3"/>
  <c r="J19" i="3"/>
  <c r="J17" i="3"/>
  <c r="M16" i="3"/>
  <c r="K16" i="3"/>
  <c r="J16" i="3"/>
  <c r="J11" i="3"/>
  <c r="J10" i="3"/>
  <c r="L8" i="3"/>
  <c r="K8" i="3"/>
  <c r="J8" i="3"/>
  <c r="L7" i="3"/>
  <c r="K7" i="3"/>
  <c r="F439" i="2"/>
  <c r="F437" i="2"/>
  <c r="J427" i="2"/>
  <c r="F427" i="2"/>
  <c r="J426" i="2"/>
  <c r="F438" i="2" s="1"/>
  <c r="F426" i="2"/>
  <c r="J425" i="2"/>
  <c r="J424" i="2"/>
  <c r="F393" i="2"/>
  <c r="M390" i="2"/>
  <c r="L390" i="2"/>
  <c r="K390" i="2"/>
  <c r="M388" i="2"/>
  <c r="L388" i="2"/>
  <c r="K388" i="2"/>
  <c r="F388" i="2"/>
  <c r="M284" i="2"/>
  <c r="L284" i="2"/>
  <c r="K284" i="2"/>
  <c r="J284" i="2"/>
  <c r="F284" i="2"/>
  <c r="J280" i="2"/>
  <c r="J287" i="2" s="1"/>
  <c r="F280" i="2"/>
  <c r="J241" i="2"/>
  <c r="J222" i="2"/>
  <c r="J243" i="2" s="1"/>
  <c r="C425" i="2" s="1"/>
  <c r="C437" i="2" s="1"/>
  <c r="C451" i="2" s="1"/>
  <c r="F188" i="2"/>
  <c r="F186" i="2"/>
  <c r="F243" i="2" s="1"/>
  <c r="J62" i="2"/>
  <c r="F55" i="2"/>
  <c r="J53" i="2"/>
  <c r="J55" i="2" s="1"/>
  <c r="C405" i="2" s="1"/>
  <c r="C424" i="2" s="1"/>
  <c r="C436" i="2" s="1"/>
  <c r="C450" i="2" s="1"/>
  <c r="C194" i="1"/>
  <c r="C193" i="1"/>
  <c r="C192" i="1"/>
  <c r="C191" i="1"/>
  <c r="D178" i="1"/>
  <c r="D167" i="1"/>
  <c r="D166" i="1"/>
  <c r="E165" i="1"/>
  <c r="E164" i="1" s="1"/>
  <c r="D165" i="1"/>
  <c r="D164" i="1" s="1"/>
  <c r="E163" i="1"/>
  <c r="D163" i="1"/>
  <c r="D161" i="1"/>
  <c r="D159" i="1"/>
  <c r="E155" i="1"/>
  <c r="D155" i="1" s="1"/>
  <c r="E153" i="1"/>
  <c r="D153" i="1" s="1"/>
  <c r="D150" i="1"/>
  <c r="D149" i="1"/>
  <c r="E148" i="1"/>
  <c r="D148" i="1"/>
  <c r="E147" i="1"/>
  <c r="D144" i="1"/>
  <c r="D141" i="1"/>
  <c r="D140" i="1"/>
  <c r="D136" i="1"/>
  <c r="D134" i="1"/>
  <c r="D132" i="1"/>
  <c r="D129" i="1"/>
  <c r="D128" i="1"/>
  <c r="D127" i="1"/>
  <c r="D126" i="1" s="1"/>
  <c r="E126" i="1"/>
  <c r="D125" i="1"/>
  <c r="D124" i="1"/>
  <c r="E123" i="1"/>
  <c r="E122" i="1" s="1"/>
  <c r="D121" i="1"/>
  <c r="D120" i="1"/>
  <c r="D119" i="1"/>
  <c r="D118" i="1" s="1"/>
  <c r="E118" i="1"/>
  <c r="D116" i="1"/>
  <c r="D115" i="1"/>
  <c r="D112" i="1"/>
  <c r="D111" i="1"/>
  <c r="D110" i="1" s="1"/>
  <c r="E110" i="1"/>
  <c r="D109" i="1"/>
  <c r="D108" i="1"/>
  <c r="D106" i="1" s="1"/>
  <c r="E107" i="1"/>
  <c r="D107" i="1"/>
  <c r="E106" i="1"/>
  <c r="D105" i="1"/>
  <c r="D104" i="1"/>
  <c r="D101" i="1"/>
  <c r="D100" i="1"/>
  <c r="E99" i="1"/>
  <c r="D99" i="1" s="1"/>
  <c r="D98" i="1" s="1"/>
  <c r="D97" i="1"/>
  <c r="D96" i="1"/>
  <c r="D92" i="1"/>
  <c r="D90" i="1"/>
  <c r="D88" i="1"/>
  <c r="D87" i="1"/>
  <c r="D86" i="1"/>
  <c r="D85" i="1" s="1"/>
  <c r="E85" i="1"/>
  <c r="E84" i="1"/>
  <c r="D84" i="1"/>
  <c r="E82" i="1"/>
  <c r="E77" i="1"/>
  <c r="D75" i="1"/>
  <c r="D74" i="1"/>
  <c r="E66" i="1"/>
  <c r="E65" i="1"/>
  <c r="D65" i="1" s="1"/>
  <c r="E58" i="1"/>
  <c r="D58" i="1"/>
  <c r="E57" i="1"/>
  <c r="D57" i="1"/>
  <c r="E51" i="1"/>
  <c r="D51" i="1" s="1"/>
  <c r="E50" i="1"/>
  <c r="D50" i="1" s="1"/>
  <c r="E49" i="1"/>
  <c r="D49" i="1"/>
  <c r="E44" i="1"/>
  <c r="D44" i="1" s="1"/>
  <c r="F130" i="9" l="1"/>
  <c r="F133" i="9" s="1"/>
  <c r="G57" i="9"/>
  <c r="H57" i="9" s="1"/>
  <c r="G118" i="9" s="1"/>
  <c r="G54" i="9"/>
  <c r="H54" i="9" s="1"/>
  <c r="G115" i="9" s="1"/>
  <c r="G52" i="9"/>
  <c r="H52" i="9" s="1"/>
  <c r="G113" i="9" s="1"/>
  <c r="G51" i="9"/>
  <c r="G48" i="9"/>
  <c r="H48" i="9" s="1"/>
  <c r="G109" i="9" s="1"/>
  <c r="G46" i="9"/>
  <c r="H46" i="9" s="1"/>
  <c r="G107" i="9" s="1"/>
  <c r="G45" i="9"/>
  <c r="H45" i="9" s="1"/>
  <c r="G106" i="9" s="1"/>
  <c r="G44" i="9"/>
  <c r="H44" i="9" s="1"/>
  <c r="G105" i="9" s="1"/>
  <c r="G42" i="9"/>
  <c r="H42" i="9" s="1"/>
  <c r="G103" i="9" s="1"/>
  <c r="G41" i="9"/>
  <c r="H41" i="9" s="1"/>
  <c r="G102" i="9" s="1"/>
  <c r="G62" i="9"/>
  <c r="H62" i="9" s="1"/>
  <c r="G123" i="9" s="1"/>
  <c r="G61" i="9"/>
  <c r="G58" i="9"/>
  <c r="H58" i="9" s="1"/>
  <c r="G119" i="9" s="1"/>
  <c r="G56" i="9"/>
  <c r="H56" i="9" s="1"/>
  <c r="G117" i="9" s="1"/>
  <c r="G55" i="9"/>
  <c r="H55" i="9" s="1"/>
  <c r="G116" i="9" s="1"/>
  <c r="G78" i="9"/>
  <c r="H78" i="9" s="1"/>
  <c r="F109" i="9" s="1"/>
  <c r="H109" i="9" s="1"/>
  <c r="G91" i="9"/>
  <c r="G75" i="9"/>
  <c r="H75" i="9" s="1"/>
  <c r="F106" i="9" s="1"/>
  <c r="H106" i="9" s="1"/>
  <c r="G71" i="9"/>
  <c r="H71" i="9" s="1"/>
  <c r="F102" i="9" s="1"/>
  <c r="H102" i="9" s="1"/>
  <c r="G82" i="9"/>
  <c r="H82" i="9" s="1"/>
  <c r="F113" i="9" s="1"/>
  <c r="G85" i="9"/>
  <c r="H85" i="9" s="1"/>
  <c r="F116" i="9" s="1"/>
  <c r="H116" i="9" s="1"/>
  <c r="G86" i="9"/>
  <c r="H86" i="9" s="1"/>
  <c r="F117" i="9" s="1"/>
  <c r="H117" i="9" s="1"/>
  <c r="E36" i="1"/>
  <c r="D36" i="1" s="1"/>
  <c r="F25" i="7"/>
  <c r="G25" i="7" s="1"/>
  <c r="D53" i="7" s="1"/>
  <c r="F21" i="7"/>
  <c r="G21" i="7" s="1"/>
  <c r="D49" i="7" s="1"/>
  <c r="F38" i="7"/>
  <c r="G38" i="7" s="1"/>
  <c r="E53" i="7" s="1"/>
  <c r="F37" i="7"/>
  <c r="G37" i="7" s="1"/>
  <c r="E52" i="7" s="1"/>
  <c r="F35" i="7"/>
  <c r="G35" i="7" s="1"/>
  <c r="E50" i="7" s="1"/>
  <c r="F33" i="7"/>
  <c r="G33" i="7" s="1"/>
  <c r="H5" i="14"/>
  <c r="E98" i="1"/>
  <c r="J22" i="14"/>
  <c r="L22" i="14" s="1"/>
  <c r="D48" i="14" s="1"/>
  <c r="E117" i="1" s="1"/>
  <c r="E114" i="1"/>
  <c r="D117" i="1" a="1"/>
  <c r="D117" i="1" s="1"/>
  <c r="D114" i="1" s="1"/>
  <c r="D39" i="14"/>
  <c r="J17" i="14"/>
  <c r="D123" i="1"/>
  <c r="D122" i="1" s="1"/>
  <c r="C255" i="27"/>
  <c r="C251" i="27"/>
  <c r="D152" i="27"/>
  <c r="G118" i="27"/>
  <c r="G117" i="27"/>
  <c r="C139" i="27"/>
  <c r="C157" i="27" s="1"/>
  <c r="G119" i="27"/>
  <c r="E136" i="27"/>
  <c r="C149" i="27"/>
  <c r="D136" i="27"/>
  <c r="D149" i="27"/>
  <c r="G149" i="27"/>
  <c r="E156" i="27"/>
  <c r="G136" i="27"/>
  <c r="F152" i="27"/>
  <c r="E152" i="27"/>
  <c r="G121" i="27"/>
  <c r="F149" i="27"/>
  <c r="F156" i="27" s="1"/>
  <c r="G152" i="27"/>
  <c r="G116" i="27"/>
  <c r="H139" i="27"/>
  <c r="C136" i="27"/>
  <c r="H149" i="27"/>
  <c r="H152" i="27"/>
  <c r="J204" i="27"/>
  <c r="D205" i="27"/>
  <c r="D139" i="27"/>
  <c r="F187" i="27"/>
  <c r="F193" i="27" s="1"/>
  <c r="I203" i="27"/>
  <c r="J187" i="27"/>
  <c r="J193" i="27" s="1"/>
  <c r="D189" i="27"/>
  <c r="I190" i="27"/>
  <c r="I194" i="27" s="1"/>
  <c r="D198" i="27"/>
  <c r="I199" i="27"/>
  <c r="I204" i="27" s="1"/>
  <c r="G202" i="27"/>
  <c r="G205" i="27" s="1"/>
  <c r="L203" i="27"/>
  <c r="L205" i="27" s="1"/>
  <c r="Q239" i="27"/>
  <c r="Q243" i="27"/>
  <c r="H135" i="27"/>
  <c r="H136" i="27" s="1"/>
  <c r="H156" i="27" s="1"/>
  <c r="L187" i="27"/>
  <c r="L193" i="27" s="1"/>
  <c r="F189" i="27"/>
  <c r="J190" i="27"/>
  <c r="J194" i="27" s="1"/>
  <c r="F198" i="27"/>
  <c r="F204" i="27" s="1"/>
  <c r="J199" i="27"/>
  <c r="I202" i="27"/>
  <c r="I205" i="27" s="1"/>
  <c r="R239" i="27"/>
  <c r="R243" i="27"/>
  <c r="E139" i="27"/>
  <c r="F203" i="27"/>
  <c r="M239" i="27"/>
  <c r="M243" i="27"/>
  <c r="F139" i="27"/>
  <c r="D190" i="27"/>
  <c r="D199" i="27"/>
  <c r="G203" i="27"/>
  <c r="G139" i="27"/>
  <c r="F199" i="27"/>
  <c r="D202" i="27"/>
  <c r="O239" i="27"/>
  <c r="O243" i="27"/>
  <c r="J203" i="27"/>
  <c r="G189" i="27"/>
  <c r="G194" i="27" s="1"/>
  <c r="L190" i="27"/>
  <c r="L194" i="27" s="1"/>
  <c r="G198" i="27"/>
  <c r="G204" i="27" s="1"/>
  <c r="L199" i="27"/>
  <c r="L204" i="27" s="1"/>
  <c r="J202" i="27"/>
  <c r="J205" i="27" s="1"/>
  <c r="C268" i="27"/>
  <c r="D187" i="27"/>
  <c r="D193" i="27" s="1"/>
  <c r="N239" i="27"/>
  <c r="N243" i="27"/>
  <c r="G187" i="27"/>
  <c r="G193" i="27" s="1"/>
  <c r="F190" i="27"/>
  <c r="F202" i="27"/>
  <c r="F205" i="27" s="1"/>
  <c r="AL118" i="26"/>
  <c r="AB118" i="26"/>
  <c r="R118" i="26"/>
  <c r="H118" i="26"/>
  <c r="AH118" i="26"/>
  <c r="W118" i="26"/>
  <c r="L118" i="26"/>
  <c r="AG118" i="26"/>
  <c r="V118" i="26"/>
  <c r="K118" i="26"/>
  <c r="AF118" i="26"/>
  <c r="U118" i="26"/>
  <c r="J118" i="26"/>
  <c r="AE118" i="26"/>
  <c r="T118" i="26"/>
  <c r="I118" i="26"/>
  <c r="S118" i="26"/>
  <c r="O118" i="26"/>
  <c r="AA118" i="26"/>
  <c r="AK118" i="26"/>
  <c r="Q118" i="26"/>
  <c r="N118" i="26"/>
  <c r="M118" i="26"/>
  <c r="AJ118" i="26"/>
  <c r="P118" i="26"/>
  <c r="AI118" i="26"/>
  <c r="AD118" i="26"/>
  <c r="AC118" i="26"/>
  <c r="G118" i="26"/>
  <c r="Y118" i="26"/>
  <c r="X118" i="26"/>
  <c r="F118" i="26"/>
  <c r="Z118" i="26"/>
  <c r="AG113" i="26"/>
  <c r="W113" i="26"/>
  <c r="M113" i="26"/>
  <c r="AE113" i="26"/>
  <c r="T113" i="26"/>
  <c r="I113" i="26"/>
  <c r="AC113" i="26"/>
  <c r="R113" i="26"/>
  <c r="G113" i="26"/>
  <c r="AB113" i="26"/>
  <c r="Q113" i="26"/>
  <c r="F113" i="26"/>
  <c r="AI113" i="26"/>
  <c r="S113" i="26"/>
  <c r="N113" i="26"/>
  <c r="J113" i="26"/>
  <c r="AH113" i="26"/>
  <c r="P113" i="26"/>
  <c r="AF113" i="26"/>
  <c r="O113" i="26"/>
  <c r="AD113" i="26"/>
  <c r="AA113" i="26"/>
  <c r="L113" i="26"/>
  <c r="Z113" i="26"/>
  <c r="K113" i="26"/>
  <c r="Y113" i="26"/>
  <c r="AK113" i="26"/>
  <c r="AJ113" i="26"/>
  <c r="X113" i="26"/>
  <c r="U113" i="26"/>
  <c r="V113" i="26"/>
  <c r="H113" i="26"/>
  <c r="AL113" i="26"/>
  <c r="AI166" i="26"/>
  <c r="AF126" i="26"/>
  <c r="V126" i="26"/>
  <c r="L126" i="26"/>
  <c r="AD126" i="26"/>
  <c r="T126" i="26"/>
  <c r="J126" i="26"/>
  <c r="AK126" i="26"/>
  <c r="Y126" i="26"/>
  <c r="M126" i="26"/>
  <c r="AJ126" i="26"/>
  <c r="X126" i="26"/>
  <c r="K126" i="26"/>
  <c r="AI126" i="26"/>
  <c r="W126" i="26"/>
  <c r="I126" i="26"/>
  <c r="AH126" i="26"/>
  <c r="U126" i="26"/>
  <c r="H126" i="26"/>
  <c r="Q126" i="26"/>
  <c r="AE126" i="26"/>
  <c r="N126" i="26"/>
  <c r="G126" i="26"/>
  <c r="AB126" i="26"/>
  <c r="AA126" i="26"/>
  <c r="AL126" i="26"/>
  <c r="P126" i="26"/>
  <c r="F126" i="26"/>
  <c r="AG126" i="26"/>
  <c r="O126" i="26"/>
  <c r="AC126" i="26"/>
  <c r="R126" i="26"/>
  <c r="F160" i="26"/>
  <c r="E101" i="26"/>
  <c r="E137" i="26" s="1"/>
  <c r="F164" i="26"/>
  <c r="F175" i="26" s="1"/>
  <c r="U164" i="26"/>
  <c r="U175" i="26" s="1"/>
  <c r="S126" i="26"/>
  <c r="AD129" i="26"/>
  <c r="T129" i="26"/>
  <c r="J129" i="26"/>
  <c r="AH129" i="26"/>
  <c r="W129" i="26"/>
  <c r="L129" i="26"/>
  <c r="AF129" i="26"/>
  <c r="U129" i="26"/>
  <c r="I129" i="26"/>
  <c r="AA129" i="26"/>
  <c r="N129" i="26"/>
  <c r="Z129" i="26"/>
  <c r="M129" i="26"/>
  <c r="AL129" i="26"/>
  <c r="Y129" i="26"/>
  <c r="K129" i="26"/>
  <c r="AK129" i="26"/>
  <c r="X129" i="26"/>
  <c r="H129" i="26"/>
  <c r="AG129" i="26"/>
  <c r="G129" i="26"/>
  <c r="AB129" i="26"/>
  <c r="S129" i="26"/>
  <c r="AE129" i="26"/>
  <c r="F129" i="26"/>
  <c r="R129" i="26"/>
  <c r="AC129" i="26"/>
  <c r="V129" i="26"/>
  <c r="T160" i="26"/>
  <c r="AE109" i="26"/>
  <c r="AE165" i="26" s="1"/>
  <c r="U109" i="26"/>
  <c r="K109" i="26"/>
  <c r="K165" i="26" s="1"/>
  <c r="AK109" i="26"/>
  <c r="Z109" i="26"/>
  <c r="Z165" i="26" s="1"/>
  <c r="O109" i="26"/>
  <c r="O165" i="26" s="1"/>
  <c r="AI109" i="26"/>
  <c r="AI165" i="26" s="1"/>
  <c r="X109" i="26"/>
  <c r="M109" i="26"/>
  <c r="M165" i="26" s="1"/>
  <c r="AH109" i="26"/>
  <c r="W109" i="26"/>
  <c r="W165" i="26" s="1"/>
  <c r="L109" i="26"/>
  <c r="L165" i="26" s="1"/>
  <c r="AD109" i="26"/>
  <c r="AD165" i="26" s="1"/>
  <c r="P109" i="26"/>
  <c r="P165" i="26" s="1"/>
  <c r="I109" i="26"/>
  <c r="Y109" i="26"/>
  <c r="Y165" i="26" s="1"/>
  <c r="F109" i="26"/>
  <c r="F165" i="26" s="1"/>
  <c r="AC109" i="26"/>
  <c r="N109" i="26"/>
  <c r="V109" i="26"/>
  <c r="G109" i="26"/>
  <c r="AB109" i="26"/>
  <c r="AB165" i="26" s="1"/>
  <c r="J109" i="26"/>
  <c r="J165" i="26" s="1"/>
  <c r="AA109" i="26"/>
  <c r="AA165" i="26" s="1"/>
  <c r="H109" i="26"/>
  <c r="AL109" i="26"/>
  <c r="AL165" i="26" s="1"/>
  <c r="T109" i="26"/>
  <c r="T165" i="26" s="1"/>
  <c r="AD112" i="26"/>
  <c r="T112" i="26"/>
  <c r="J112" i="26"/>
  <c r="AJ112" i="26"/>
  <c r="Y112" i="26"/>
  <c r="N112" i="26"/>
  <c r="N198" i="26" s="1"/>
  <c r="AH112" i="26"/>
  <c r="AH198" i="26" s="1"/>
  <c r="W112" i="26"/>
  <c r="L112" i="26"/>
  <c r="L198" i="26" s="1"/>
  <c r="AG112" i="26"/>
  <c r="AG198" i="26" s="1"/>
  <c r="V112" i="26"/>
  <c r="K112" i="26"/>
  <c r="Z112" i="26"/>
  <c r="H112" i="26"/>
  <c r="S112" i="26"/>
  <c r="X112" i="26"/>
  <c r="X198" i="26" s="1"/>
  <c r="G112" i="26"/>
  <c r="G198" i="26" s="1"/>
  <c r="AF112" i="26"/>
  <c r="AF198" i="26" s="1"/>
  <c r="AL112" i="26"/>
  <c r="AL198" i="26" s="1"/>
  <c r="U112" i="26"/>
  <c r="F112" i="26"/>
  <c r="AK112" i="26"/>
  <c r="AI112" i="26"/>
  <c r="R112" i="26"/>
  <c r="Q112" i="26"/>
  <c r="P112" i="26"/>
  <c r="AE112" i="26"/>
  <c r="AE198" i="26" s="1"/>
  <c r="E119" i="26"/>
  <c r="Z126" i="26"/>
  <c r="O129" i="26"/>
  <c r="AK111" i="26"/>
  <c r="AA111" i="26"/>
  <c r="Q111" i="26"/>
  <c r="Q166" i="26" s="1"/>
  <c r="G111" i="26"/>
  <c r="AC111" i="26"/>
  <c r="R111" i="26"/>
  <c r="R166" i="26" s="1"/>
  <c r="F111" i="26"/>
  <c r="F166" i="26" s="1"/>
  <c r="AL111" i="26"/>
  <c r="Z111" i="26"/>
  <c r="O111" i="26"/>
  <c r="O166" i="26" s="1"/>
  <c r="AJ111" i="26"/>
  <c r="Y111" i="26"/>
  <c r="N111" i="26"/>
  <c r="N166" i="26" s="1"/>
  <c r="AF111" i="26"/>
  <c r="AF166" i="26" s="1"/>
  <c r="P111" i="26"/>
  <c r="AB111" i="26"/>
  <c r="AB166" i="26" s="1"/>
  <c r="AE111" i="26"/>
  <c r="AE166" i="26" s="1"/>
  <c r="M111" i="26"/>
  <c r="I111" i="26"/>
  <c r="V111" i="26"/>
  <c r="V166" i="26" s="1"/>
  <c r="AD111" i="26"/>
  <c r="AD166" i="26" s="1"/>
  <c r="L111" i="26"/>
  <c r="K111" i="26"/>
  <c r="K166" i="26" s="1"/>
  <c r="X111" i="26"/>
  <c r="J111" i="26"/>
  <c r="W111" i="26"/>
  <c r="W166" i="26" s="1"/>
  <c r="H111" i="26"/>
  <c r="H166" i="26" s="1"/>
  <c r="AL128" i="26"/>
  <c r="AB128" i="26"/>
  <c r="R128" i="26"/>
  <c r="H128" i="26"/>
  <c r="AJ128" i="26"/>
  <c r="AJ198" i="26" s="1"/>
  <c r="Z128" i="26"/>
  <c r="Z198" i="26" s="1"/>
  <c r="P128" i="26"/>
  <c r="F128" i="26"/>
  <c r="F198" i="26" s="1"/>
  <c r="AK128" i="26"/>
  <c r="AK198" i="26" s="1"/>
  <c r="X128" i="26"/>
  <c r="L128" i="26"/>
  <c r="AI128" i="26"/>
  <c r="W128" i="26"/>
  <c r="K128" i="26"/>
  <c r="AH128" i="26"/>
  <c r="V128" i="26"/>
  <c r="J128" i="26"/>
  <c r="AG128" i="26"/>
  <c r="U128" i="26"/>
  <c r="I128" i="26"/>
  <c r="AA128" i="26"/>
  <c r="S128" i="26"/>
  <c r="AF128" i="26"/>
  <c r="Y128" i="26"/>
  <c r="Q128" i="26"/>
  <c r="O128" i="26"/>
  <c r="N128" i="26"/>
  <c r="T128" i="26"/>
  <c r="T198" i="26" s="1"/>
  <c r="S111" i="26"/>
  <c r="S166" i="26" s="1"/>
  <c r="P125" i="26"/>
  <c r="G128" i="26"/>
  <c r="M132" i="26"/>
  <c r="S165" i="26"/>
  <c r="T111" i="26"/>
  <c r="AI127" i="26"/>
  <c r="Y127" i="26"/>
  <c r="O127" i="26"/>
  <c r="AG127" i="26"/>
  <c r="W127" i="26"/>
  <c r="M127" i="26"/>
  <c r="AK127" i="26"/>
  <c r="X127" i="26"/>
  <c r="K127" i="26"/>
  <c r="AJ127" i="26"/>
  <c r="V127" i="26"/>
  <c r="J127" i="26"/>
  <c r="AH127" i="26"/>
  <c r="U127" i="26"/>
  <c r="I127" i="26"/>
  <c r="AF127" i="26"/>
  <c r="T127" i="26"/>
  <c r="H127" i="26"/>
  <c r="S127" i="26"/>
  <c r="AL127" i="26"/>
  <c r="P127" i="26"/>
  <c r="AE127" i="26"/>
  <c r="R127" i="26"/>
  <c r="N127" i="26"/>
  <c r="L127" i="26"/>
  <c r="G127" i="26"/>
  <c r="Q127" i="26"/>
  <c r="AD127" i="26"/>
  <c r="AC127" i="26"/>
  <c r="M128" i="26"/>
  <c r="M198" i="26" s="1"/>
  <c r="AI129" i="26"/>
  <c r="AC125" i="26"/>
  <c r="S125" i="26"/>
  <c r="I125" i="26"/>
  <c r="AK125" i="26"/>
  <c r="AA125" i="26"/>
  <c r="Q125" i="26"/>
  <c r="G125" i="26"/>
  <c r="AL125" i="26"/>
  <c r="Y125" i="26"/>
  <c r="M125" i="26"/>
  <c r="AJ125" i="26"/>
  <c r="X125" i="26"/>
  <c r="L125" i="26"/>
  <c r="AI125" i="26"/>
  <c r="W125" i="26"/>
  <c r="K125" i="26"/>
  <c r="AH125" i="26"/>
  <c r="V125" i="26"/>
  <c r="J125" i="26"/>
  <c r="AG125" i="26"/>
  <c r="O125" i="26"/>
  <c r="AD125" i="26"/>
  <c r="Z125" i="26"/>
  <c r="AF125" i="26"/>
  <c r="N125" i="26"/>
  <c r="AB125" i="26"/>
  <c r="U125" i="26"/>
  <c r="AE125" i="26"/>
  <c r="H125" i="26"/>
  <c r="F125" i="26"/>
  <c r="AF132" i="26"/>
  <c r="V132" i="26"/>
  <c r="AC132" i="26"/>
  <c r="S132" i="26"/>
  <c r="I132" i="26"/>
  <c r="AI132" i="26"/>
  <c r="W132" i="26"/>
  <c r="K132" i="26"/>
  <c r="AG132" i="26"/>
  <c r="T132" i="26"/>
  <c r="H132" i="26"/>
  <c r="Z132" i="26"/>
  <c r="L132" i="26"/>
  <c r="Y132" i="26"/>
  <c r="J132" i="26"/>
  <c r="AL132" i="26"/>
  <c r="X132" i="26"/>
  <c r="G132" i="26"/>
  <c r="AK132" i="26"/>
  <c r="U132" i="26"/>
  <c r="F132" i="26"/>
  <c r="AB132" i="26"/>
  <c r="Q132" i="26"/>
  <c r="O132" i="26"/>
  <c r="AA132" i="26"/>
  <c r="P132" i="26"/>
  <c r="AJ132" i="26"/>
  <c r="N132" i="26"/>
  <c r="R132" i="26"/>
  <c r="R165" i="26"/>
  <c r="U111" i="26"/>
  <c r="AC115" i="26"/>
  <c r="AC167" i="26" s="1"/>
  <c r="S115" i="26"/>
  <c r="S167" i="26" s="1"/>
  <c r="I115" i="26"/>
  <c r="I167" i="26" s="1"/>
  <c r="AI115" i="26"/>
  <c r="AI167" i="26" s="1"/>
  <c r="X115" i="26"/>
  <c r="X167" i="26" s="1"/>
  <c r="M115" i="26"/>
  <c r="M167" i="26" s="1"/>
  <c r="AG115" i="26"/>
  <c r="AG167" i="26" s="1"/>
  <c r="V115" i="26"/>
  <c r="V167" i="26" s="1"/>
  <c r="K115" i="26"/>
  <c r="K167" i="26" s="1"/>
  <c r="AF115" i="26"/>
  <c r="AF167" i="26" s="1"/>
  <c r="U115" i="26"/>
  <c r="U167" i="26" s="1"/>
  <c r="J115" i="26"/>
  <c r="J167" i="26" s="1"/>
  <c r="AJ115" i="26"/>
  <c r="AJ167" i="26" s="1"/>
  <c r="R115" i="26"/>
  <c r="R167" i="26" s="1"/>
  <c r="AD115" i="26"/>
  <c r="AD167" i="26" s="1"/>
  <c r="Z115" i="26"/>
  <c r="Z167" i="26" s="1"/>
  <c r="AH115" i="26"/>
  <c r="AH167" i="26" s="1"/>
  <c r="Q115" i="26"/>
  <c r="Q167" i="26" s="1"/>
  <c r="AB115" i="26"/>
  <c r="AB167" i="26" s="1"/>
  <c r="L115" i="26"/>
  <c r="L167" i="26" s="1"/>
  <c r="AE115" i="26"/>
  <c r="AE167" i="26" s="1"/>
  <c r="P115" i="26"/>
  <c r="P167" i="26" s="1"/>
  <c r="O115" i="26"/>
  <c r="O167" i="26" s="1"/>
  <c r="N115" i="26"/>
  <c r="N167" i="26" s="1"/>
  <c r="AA115" i="26"/>
  <c r="AA167" i="26" s="1"/>
  <c r="H115" i="26"/>
  <c r="H167" i="26" s="1"/>
  <c r="AG123" i="26"/>
  <c r="W123" i="26"/>
  <c r="M123" i="26"/>
  <c r="AE123" i="26"/>
  <c r="U123" i="26"/>
  <c r="AL123" i="26"/>
  <c r="Z123" i="26"/>
  <c r="N123" i="26"/>
  <c r="AK123" i="26"/>
  <c r="Y123" i="26"/>
  <c r="L123" i="26"/>
  <c r="AJ123" i="26"/>
  <c r="X123" i="26"/>
  <c r="K123" i="26"/>
  <c r="AI123" i="26"/>
  <c r="V123" i="26"/>
  <c r="J123" i="26"/>
  <c r="AB123" i="26"/>
  <c r="G123" i="26"/>
  <c r="S123" i="26"/>
  <c r="R123" i="26"/>
  <c r="AA123" i="26"/>
  <c r="F123" i="26"/>
  <c r="AH123" i="26"/>
  <c r="T123" i="26"/>
  <c r="Q123" i="26"/>
  <c r="P123" i="26"/>
  <c r="T125" i="26"/>
  <c r="AC128" i="26"/>
  <c r="AC198" i="26" s="1"/>
  <c r="AJ129" i="26"/>
  <c r="AE132" i="26"/>
  <c r="AL134" i="26"/>
  <c r="AB134" i="26"/>
  <c r="R134" i="26"/>
  <c r="H134" i="26"/>
  <c r="AI134" i="26"/>
  <c r="Y134" i="26"/>
  <c r="O134" i="26"/>
  <c r="AH134" i="26"/>
  <c r="V134" i="26"/>
  <c r="J134" i="26"/>
  <c r="AF134" i="26"/>
  <c r="T134" i="26"/>
  <c r="G134" i="26"/>
  <c r="AC134" i="26"/>
  <c r="M134" i="26"/>
  <c r="AA134" i="26"/>
  <c r="L134" i="26"/>
  <c r="Z134" i="26"/>
  <c r="K134" i="26"/>
  <c r="X134" i="26"/>
  <c r="I134" i="26"/>
  <c r="W134" i="26"/>
  <c r="Q134" i="26"/>
  <c r="P134" i="26"/>
  <c r="N134" i="26"/>
  <c r="U134" i="26"/>
  <c r="AK134" i="26"/>
  <c r="AJ134" i="26"/>
  <c r="F134" i="26"/>
  <c r="S134" i="26"/>
  <c r="L160" i="26"/>
  <c r="AG111" i="26"/>
  <c r="AD128" i="26"/>
  <c r="AH132" i="26"/>
  <c r="AD134" i="26"/>
  <c r="H164" i="26"/>
  <c r="H175" i="26" s="1"/>
  <c r="AH111" i="26"/>
  <c r="G115" i="26"/>
  <c r="G167" i="26" s="1"/>
  <c r="AK121" i="26"/>
  <c r="AA121" i="26"/>
  <c r="Q121" i="26"/>
  <c r="G121" i="26"/>
  <c r="AG121" i="26"/>
  <c r="V121" i="26"/>
  <c r="K121" i="26"/>
  <c r="AF121" i="26"/>
  <c r="U121" i="26"/>
  <c r="J121" i="26"/>
  <c r="AE121" i="26"/>
  <c r="T121" i="26"/>
  <c r="I121" i="26"/>
  <c r="AD121" i="26"/>
  <c r="S121" i="26"/>
  <c r="H121" i="26"/>
  <c r="AH121" i="26"/>
  <c r="N121" i="26"/>
  <c r="Z121" i="26"/>
  <c r="F121" i="26"/>
  <c r="AC121" i="26"/>
  <c r="M121" i="26"/>
  <c r="W121" i="26"/>
  <c r="AB121" i="26"/>
  <c r="L121" i="26"/>
  <c r="Y121" i="26"/>
  <c r="X121" i="26"/>
  <c r="I123" i="26"/>
  <c r="AA127" i="26"/>
  <c r="AE128" i="26"/>
  <c r="AE134" i="26"/>
  <c r="AC136" i="26"/>
  <c r="S136" i="26"/>
  <c r="I136" i="26"/>
  <c r="AL136" i="26"/>
  <c r="AA136" i="26"/>
  <c r="P136" i="26"/>
  <c r="AI136" i="26"/>
  <c r="X136" i="26"/>
  <c r="M136" i="26"/>
  <c r="Y136" i="26"/>
  <c r="K136" i="26"/>
  <c r="AJ136" i="26"/>
  <c r="V136" i="26"/>
  <c r="H136" i="26"/>
  <c r="AH136" i="26"/>
  <c r="R136" i="26"/>
  <c r="AG136" i="26"/>
  <c r="Q136" i="26"/>
  <c r="AF136" i="26"/>
  <c r="O136" i="26"/>
  <c r="AE136" i="26"/>
  <c r="N136" i="26"/>
  <c r="W136" i="26"/>
  <c r="L136" i="26"/>
  <c r="G136" i="26"/>
  <c r="U136" i="26"/>
  <c r="J136" i="26"/>
  <c r="F136" i="26"/>
  <c r="T136" i="26"/>
  <c r="AK136" i="26"/>
  <c r="T120" i="26"/>
  <c r="E130" i="26"/>
  <c r="AL139" i="26"/>
  <c r="AL172" i="26" s="1"/>
  <c r="AB139" i="26"/>
  <c r="AB172" i="26" s="1"/>
  <c r="R139" i="26"/>
  <c r="R172" i="26" s="1"/>
  <c r="H139" i="26"/>
  <c r="H172" i="26" s="1"/>
  <c r="AK139" i="26"/>
  <c r="AK172" i="26" s="1"/>
  <c r="AA139" i="26"/>
  <c r="AA172" i="26" s="1"/>
  <c r="Q139" i="26"/>
  <c r="Q172" i="26" s="1"/>
  <c r="G139" i="26"/>
  <c r="G172" i="26" s="1"/>
  <c r="AG139" i="26"/>
  <c r="AG172" i="26" s="1"/>
  <c r="U139" i="26"/>
  <c r="U172" i="26" s="1"/>
  <c r="I139" i="26"/>
  <c r="I172" i="26" s="1"/>
  <c r="AD139" i="26"/>
  <c r="AD172" i="26" s="1"/>
  <c r="P139" i="26"/>
  <c r="P172" i="26" s="1"/>
  <c r="Z139" i="26"/>
  <c r="Z172" i="26" s="1"/>
  <c r="L139" i="26"/>
  <c r="L172" i="26" s="1"/>
  <c r="X139" i="26"/>
  <c r="X172" i="26" s="1"/>
  <c r="J139" i="26"/>
  <c r="J172" i="26" s="1"/>
  <c r="Y139" i="26"/>
  <c r="Y172" i="26" s="1"/>
  <c r="W139" i="26"/>
  <c r="W172" i="26" s="1"/>
  <c r="V139" i="26"/>
  <c r="V172" i="26" s="1"/>
  <c r="T139" i="26"/>
  <c r="T172" i="26" s="1"/>
  <c r="U107" i="26"/>
  <c r="E135" i="26"/>
  <c r="E131" i="26"/>
  <c r="F107" i="26"/>
  <c r="F120" i="26"/>
  <c r="U120" i="26"/>
  <c r="L192" i="26"/>
  <c r="AC164" i="26"/>
  <c r="AC175" i="26" s="1"/>
  <c r="T114" i="26"/>
  <c r="G120" i="26"/>
  <c r="AA120" i="26"/>
  <c r="P164" i="26"/>
  <c r="P175" i="26" s="1"/>
  <c r="U114" i="26"/>
  <c r="H120" i="26"/>
  <c r="E133" i="26"/>
  <c r="AF139" i="26"/>
  <c r="AF172" i="26" s="1"/>
  <c r="V160" i="26"/>
  <c r="Q164" i="26"/>
  <c r="Q175" i="26" s="1"/>
  <c r="L107" i="26"/>
  <c r="AL108" i="26"/>
  <c r="AB108" i="26"/>
  <c r="R108" i="26"/>
  <c r="R164" i="26" s="1"/>
  <c r="R175" i="26" s="1"/>
  <c r="H108" i="26"/>
  <c r="AD108" i="26"/>
  <c r="AD164" i="26" s="1"/>
  <c r="AD175" i="26" s="1"/>
  <c r="S108" i="26"/>
  <c r="G108" i="26"/>
  <c r="AA108" i="26"/>
  <c r="P108" i="26"/>
  <c r="AK108" i="26"/>
  <c r="Z108" i="26"/>
  <c r="O108" i="26"/>
  <c r="U108" i="26"/>
  <c r="AI108" i="26"/>
  <c r="AH110" i="26"/>
  <c r="X110" i="26"/>
  <c r="N110" i="26"/>
  <c r="AF110" i="26"/>
  <c r="AF165" i="26" s="1"/>
  <c r="U110" i="26"/>
  <c r="J110" i="26"/>
  <c r="AD110" i="26"/>
  <c r="S110" i="26"/>
  <c r="H110" i="26"/>
  <c r="AC110" i="26"/>
  <c r="R110" i="26"/>
  <c r="G110" i="26"/>
  <c r="V110" i="26"/>
  <c r="AK110" i="26"/>
  <c r="H114" i="26"/>
  <c r="I120" i="26"/>
  <c r="E124" i="26"/>
  <c r="AH139" i="26"/>
  <c r="AH172" i="26" s="1"/>
  <c r="W160" i="26"/>
  <c r="AI107" i="26"/>
  <c r="Y107" i="26"/>
  <c r="Y164" i="26" s="1"/>
  <c r="Y175" i="26" s="1"/>
  <c r="O107" i="26"/>
  <c r="AG107" i="26"/>
  <c r="AG164" i="26" s="1"/>
  <c r="AG175" i="26" s="1"/>
  <c r="V107" i="26"/>
  <c r="K107" i="26"/>
  <c r="AE107" i="26"/>
  <c r="AE164" i="26" s="1"/>
  <c r="AE175" i="26" s="1"/>
  <c r="T107" i="26"/>
  <c r="T164" i="26" s="1"/>
  <c r="T175" i="26" s="1"/>
  <c r="I107" i="26"/>
  <c r="I164" i="26" s="1"/>
  <c r="I175" i="26" s="1"/>
  <c r="AD107" i="26"/>
  <c r="S107" i="26"/>
  <c r="H107" i="26"/>
  <c r="AH120" i="26"/>
  <c r="X120" i="26"/>
  <c r="N120" i="26"/>
  <c r="AK120" i="26"/>
  <c r="Z120" i="26"/>
  <c r="O120" i="26"/>
  <c r="AJ120" i="26"/>
  <c r="Y120" i="26"/>
  <c r="M120" i="26"/>
  <c r="AI120" i="26"/>
  <c r="W120" i="26"/>
  <c r="L120" i="26"/>
  <c r="AG120" i="26"/>
  <c r="V120" i="26"/>
  <c r="K120" i="26"/>
  <c r="S139" i="26"/>
  <c r="S172" i="26" s="1"/>
  <c r="AL107" i="26"/>
  <c r="F192" i="26"/>
  <c r="AJ114" i="26"/>
  <c r="Z114" i="26"/>
  <c r="P114" i="26"/>
  <c r="F114" i="26"/>
  <c r="AB114" i="26"/>
  <c r="Q114" i="26"/>
  <c r="AK114" i="26"/>
  <c r="Y114" i="26"/>
  <c r="N114" i="26"/>
  <c r="AI114" i="26"/>
  <c r="X114" i="26"/>
  <c r="M114" i="26"/>
  <c r="AE139" i="26"/>
  <c r="AE172" i="26" s="1"/>
  <c r="M107" i="26"/>
  <c r="AB107" i="26"/>
  <c r="AB164" i="26" s="1"/>
  <c r="AB175" i="26" s="1"/>
  <c r="I114" i="26"/>
  <c r="W114" i="26"/>
  <c r="J120" i="26"/>
  <c r="AD120" i="26"/>
  <c r="F139" i="26"/>
  <c r="F172" i="26" s="1"/>
  <c r="AI139" i="26"/>
  <c r="AI172" i="26" s="1"/>
  <c r="AK107" i="26"/>
  <c r="W107" i="26"/>
  <c r="E116" i="26"/>
  <c r="AC139" i="26"/>
  <c r="AC172" i="26" s="1"/>
  <c r="V192" i="26"/>
  <c r="Z192" i="26"/>
  <c r="N164" i="26"/>
  <c r="N175" i="26" s="1"/>
  <c r="G107" i="26"/>
  <c r="G164" i="26" s="1"/>
  <c r="G175" i="26" s="1"/>
  <c r="X107" i="26"/>
  <c r="AH114" i="26"/>
  <c r="E122" i="26"/>
  <c r="J107" i="26"/>
  <c r="Z107" i="26"/>
  <c r="G114" i="26"/>
  <c r="AL114" i="26"/>
  <c r="AB120" i="26"/>
  <c r="S157" i="26"/>
  <c r="AF106" i="26"/>
  <c r="AF164" i="26" s="1"/>
  <c r="AF175" i="26" s="1"/>
  <c r="V106" i="26"/>
  <c r="L106" i="26"/>
  <c r="L164" i="26" s="1"/>
  <c r="L175" i="26" s="1"/>
  <c r="AK106" i="26"/>
  <c r="Z106" i="26"/>
  <c r="Z164" i="26" s="1"/>
  <c r="Z175" i="26" s="1"/>
  <c r="O106" i="26"/>
  <c r="O164" i="26" s="1"/>
  <c r="O175" i="26" s="1"/>
  <c r="AI106" i="26"/>
  <c r="X106" i="26"/>
  <c r="X164" i="26" s="1"/>
  <c r="X175" i="26" s="1"/>
  <c r="M106" i="26"/>
  <c r="AH106" i="26"/>
  <c r="AH164" i="26" s="1"/>
  <c r="AH175" i="26" s="1"/>
  <c r="W106" i="26"/>
  <c r="K106" i="26"/>
  <c r="S106" i="26"/>
  <c r="AJ106" i="26"/>
  <c r="AJ164" i="26" s="1"/>
  <c r="AJ175" i="26" s="1"/>
  <c r="N107" i="26"/>
  <c r="AC107" i="26"/>
  <c r="I108" i="26"/>
  <c r="W108" i="26"/>
  <c r="I110" i="26"/>
  <c r="Y110" i="26"/>
  <c r="J114" i="26"/>
  <c r="AA114" i="26"/>
  <c r="P120" i="26"/>
  <c r="AE120" i="26"/>
  <c r="K139" i="26"/>
  <c r="K172" i="26" s="1"/>
  <c r="AJ139" i="26"/>
  <c r="AJ172" i="26" s="1"/>
  <c r="Y160" i="26"/>
  <c r="Z160" i="26"/>
  <c r="AJ160" i="26"/>
  <c r="M157" i="26"/>
  <c r="M160" i="26" s="1"/>
  <c r="AG157" i="26"/>
  <c r="AG160" i="26" s="1"/>
  <c r="AH160" i="26"/>
  <c r="G160" i="26"/>
  <c r="Q160" i="26"/>
  <c r="H160" i="26"/>
  <c r="AB160" i="26"/>
  <c r="AL160" i="26"/>
  <c r="O157" i="26"/>
  <c r="AI157" i="26"/>
  <c r="AI160" i="26" s="1"/>
  <c r="V157" i="26"/>
  <c r="AF157" i="26"/>
  <c r="AF160" i="26" s="1"/>
  <c r="E117" i="26"/>
  <c r="S160" i="26"/>
  <c r="AA160" i="26"/>
  <c r="AK160" i="26"/>
  <c r="N157" i="26"/>
  <c r="N160" i="26" s="1"/>
  <c r="X157" i="26"/>
  <c r="X160" i="26" s="1"/>
  <c r="AH157" i="26"/>
  <c r="U157" i="26"/>
  <c r="U160" i="26" s="1"/>
  <c r="AE157" i="26"/>
  <c r="O198" i="26"/>
  <c r="AA198" i="26"/>
  <c r="AD198" i="26"/>
  <c r="J198" i="26"/>
  <c r="S198" i="26"/>
  <c r="I198" i="26"/>
  <c r="P198" i="26"/>
  <c r="Y198" i="26"/>
  <c r="K198" i="26"/>
  <c r="W198" i="26"/>
  <c r="H198" i="26"/>
  <c r="V198" i="26"/>
  <c r="U198" i="26"/>
  <c r="R198" i="26"/>
  <c r="AI198" i="26"/>
  <c r="Q198" i="26"/>
  <c r="I160" i="26"/>
  <c r="F157" i="26"/>
  <c r="AB198" i="26"/>
  <c r="E138" i="26"/>
  <c r="P157" i="26"/>
  <c r="P160" i="26" s="1"/>
  <c r="Z157" i="26"/>
  <c r="O158" i="26"/>
  <c r="O160" i="26" s="1"/>
  <c r="P158" i="26"/>
  <c r="Z158" i="26"/>
  <c r="H192" i="26"/>
  <c r="R192" i="26"/>
  <c r="AB192" i="26"/>
  <c r="AL192" i="26"/>
  <c r="I192" i="26"/>
  <c r="S192" i="26"/>
  <c r="AC192" i="26"/>
  <c r="AJ192" i="26"/>
  <c r="W192" i="26"/>
  <c r="J192" i="26"/>
  <c r="G192" i="26"/>
  <c r="AK192" i="26"/>
  <c r="O192" i="26"/>
  <c r="Y192" i="26"/>
  <c r="AI192" i="26"/>
  <c r="K158" i="26"/>
  <c r="K160" i="26" s="1"/>
  <c r="U158" i="26"/>
  <c r="AE158" i="26"/>
  <c r="AE160" i="26" s="1"/>
  <c r="AD118" i="25"/>
  <c r="T118" i="25"/>
  <c r="J118" i="25"/>
  <c r="AI118" i="25"/>
  <c r="X118" i="25"/>
  <c r="M118" i="25"/>
  <c r="AF118" i="25"/>
  <c r="U118" i="25"/>
  <c r="I118" i="25"/>
  <c r="AA118" i="25"/>
  <c r="N118" i="25"/>
  <c r="Z118" i="25"/>
  <c r="L118" i="25"/>
  <c r="AK118" i="25"/>
  <c r="W118" i="25"/>
  <c r="H118" i="25"/>
  <c r="AJ118" i="25"/>
  <c r="V118" i="25"/>
  <c r="G118" i="25"/>
  <c r="AH118" i="25"/>
  <c r="S118" i="25"/>
  <c r="F118" i="25"/>
  <c r="AC118" i="25"/>
  <c r="AB118" i="25"/>
  <c r="R118" i="25"/>
  <c r="Q118" i="25"/>
  <c r="P118" i="25"/>
  <c r="AL118" i="25"/>
  <c r="AG118" i="25"/>
  <c r="AE118" i="25"/>
  <c r="Y118" i="25"/>
  <c r="O118" i="25"/>
  <c r="K118" i="25"/>
  <c r="AL114" i="25"/>
  <c r="AB114" i="25"/>
  <c r="R114" i="25"/>
  <c r="H114" i="25"/>
  <c r="AC114" i="25"/>
  <c r="Q114" i="25"/>
  <c r="F114" i="25"/>
  <c r="AJ114" i="25"/>
  <c r="Y114" i="25"/>
  <c r="N114" i="25"/>
  <c r="AA114" i="25"/>
  <c r="M114" i="25"/>
  <c r="Z114" i="25"/>
  <c r="L114" i="25"/>
  <c r="AK114" i="25"/>
  <c r="W114" i="25"/>
  <c r="J114" i="25"/>
  <c r="AI114" i="25"/>
  <c r="V114" i="25"/>
  <c r="I114" i="25"/>
  <c r="AH114" i="25"/>
  <c r="U114" i="25"/>
  <c r="G114" i="25"/>
  <c r="O114" i="25"/>
  <c r="K114" i="25"/>
  <c r="AF114" i="25"/>
  <c r="AD114" i="25"/>
  <c r="AE114" i="25"/>
  <c r="X114" i="25"/>
  <c r="T114" i="25"/>
  <c r="S114" i="25"/>
  <c r="P114" i="25"/>
  <c r="AG114" i="25"/>
  <c r="G139" i="25"/>
  <c r="G172" i="25" s="1"/>
  <c r="N139" i="25"/>
  <c r="N172" i="25" s="1"/>
  <c r="AE115" i="25"/>
  <c r="AE167" i="25" s="1"/>
  <c r="U115" i="25"/>
  <c r="U167" i="25" s="1"/>
  <c r="K115" i="25"/>
  <c r="K167" i="25" s="1"/>
  <c r="AJ115" i="25"/>
  <c r="AJ167" i="25" s="1"/>
  <c r="Y115" i="25"/>
  <c r="Y167" i="25" s="1"/>
  <c r="N115" i="25"/>
  <c r="N167" i="25" s="1"/>
  <c r="AG115" i="25"/>
  <c r="AG167" i="25" s="1"/>
  <c r="V115" i="25"/>
  <c r="V167" i="25" s="1"/>
  <c r="J115" i="25"/>
  <c r="J167" i="25" s="1"/>
  <c r="AD115" i="25"/>
  <c r="AD167" i="25" s="1"/>
  <c r="Q115" i="25"/>
  <c r="Q167" i="25" s="1"/>
  <c r="AC115" i="25"/>
  <c r="AC167" i="25" s="1"/>
  <c r="P115" i="25"/>
  <c r="P167" i="25" s="1"/>
  <c r="AA115" i="25"/>
  <c r="AA167" i="25" s="1"/>
  <c r="M115" i="25"/>
  <c r="M167" i="25" s="1"/>
  <c r="Z115" i="25"/>
  <c r="Z167" i="25" s="1"/>
  <c r="L115" i="25"/>
  <c r="L167" i="25" s="1"/>
  <c r="AL115" i="25"/>
  <c r="AL167" i="25" s="1"/>
  <c r="X115" i="25"/>
  <c r="X167" i="25" s="1"/>
  <c r="I115" i="25"/>
  <c r="I167" i="25" s="1"/>
  <c r="W115" i="25"/>
  <c r="W167" i="25" s="1"/>
  <c r="T115" i="25"/>
  <c r="T167" i="25" s="1"/>
  <c r="R115" i="25"/>
  <c r="R167" i="25" s="1"/>
  <c r="AK115" i="25"/>
  <c r="AK167" i="25" s="1"/>
  <c r="H115" i="25"/>
  <c r="H167" i="25" s="1"/>
  <c r="O115" i="25"/>
  <c r="O167" i="25" s="1"/>
  <c r="E111" i="25"/>
  <c r="F115" i="25"/>
  <c r="F167" i="25" s="1"/>
  <c r="E130" i="25"/>
  <c r="AH139" i="25"/>
  <c r="AH172" i="25" s="1"/>
  <c r="Q139" i="25"/>
  <c r="Q172" i="25" s="1"/>
  <c r="G115" i="25"/>
  <c r="G167" i="25" s="1"/>
  <c r="O160" i="25"/>
  <c r="Y160" i="25"/>
  <c r="AF160" i="25"/>
  <c r="AG139" i="25"/>
  <c r="AG172" i="25" s="1"/>
  <c r="W139" i="25"/>
  <c r="W172" i="25" s="1"/>
  <c r="M139" i="25"/>
  <c r="M172" i="25" s="1"/>
  <c r="AE139" i="25"/>
  <c r="AE172" i="25" s="1"/>
  <c r="T139" i="25"/>
  <c r="T172" i="25" s="1"/>
  <c r="I139" i="25"/>
  <c r="I172" i="25" s="1"/>
  <c r="AI139" i="25"/>
  <c r="AI172" i="25" s="1"/>
  <c r="V139" i="25"/>
  <c r="V172" i="25" s="1"/>
  <c r="J139" i="25"/>
  <c r="J172" i="25" s="1"/>
  <c r="AD139" i="25"/>
  <c r="AD172" i="25" s="1"/>
  <c r="R139" i="25"/>
  <c r="R172" i="25" s="1"/>
  <c r="F139" i="25"/>
  <c r="F172" i="25" s="1"/>
  <c r="AF139" i="25"/>
  <c r="AF172" i="25" s="1"/>
  <c r="P139" i="25"/>
  <c r="P172" i="25" s="1"/>
  <c r="AC139" i="25"/>
  <c r="AC172" i="25" s="1"/>
  <c r="O139" i="25"/>
  <c r="O172" i="25" s="1"/>
  <c r="AA139" i="25"/>
  <c r="AA172" i="25" s="1"/>
  <c r="L139" i="25"/>
  <c r="L172" i="25" s="1"/>
  <c r="Z139" i="25"/>
  <c r="Z172" i="25" s="1"/>
  <c r="K139" i="25"/>
  <c r="K172" i="25" s="1"/>
  <c r="Y139" i="25"/>
  <c r="Y172" i="25" s="1"/>
  <c r="H139" i="25"/>
  <c r="H172" i="25" s="1"/>
  <c r="AK139" i="25"/>
  <c r="AK172" i="25" s="1"/>
  <c r="AJ139" i="25"/>
  <c r="AJ172" i="25" s="1"/>
  <c r="AB139" i="25"/>
  <c r="AB172" i="25" s="1"/>
  <c r="U139" i="25"/>
  <c r="U172" i="25" s="1"/>
  <c r="X139" i="25"/>
  <c r="X172" i="25" s="1"/>
  <c r="S139" i="25"/>
  <c r="S172" i="25" s="1"/>
  <c r="E128" i="25"/>
  <c r="E127" i="25"/>
  <c r="Q160" i="25"/>
  <c r="N160" i="25"/>
  <c r="AF115" i="25"/>
  <c r="AF167" i="25" s="1"/>
  <c r="E119" i="25"/>
  <c r="E88" i="25"/>
  <c r="E134" i="25" s="1"/>
  <c r="S160" i="25"/>
  <c r="AF106" i="25"/>
  <c r="V106" i="25"/>
  <c r="L106" i="25"/>
  <c r="AC106" i="25"/>
  <c r="S106" i="25"/>
  <c r="I106" i="25"/>
  <c r="AD106" i="25"/>
  <c r="Q106" i="25"/>
  <c r="AB106" i="25"/>
  <c r="P106" i="25"/>
  <c r="AL106" i="25"/>
  <c r="Z106" i="25"/>
  <c r="N106" i="25"/>
  <c r="AK106" i="25"/>
  <c r="Y106" i="25"/>
  <c r="M106" i="25"/>
  <c r="W106" i="25"/>
  <c r="AE109" i="25"/>
  <c r="AE165" i="25" s="1"/>
  <c r="U109" i="25"/>
  <c r="U165" i="25" s="1"/>
  <c r="K109" i="25"/>
  <c r="K165" i="25" s="1"/>
  <c r="AL109" i="25"/>
  <c r="AL165" i="25" s="1"/>
  <c r="AB109" i="25"/>
  <c r="AB165" i="25" s="1"/>
  <c r="R109" i="25"/>
  <c r="R165" i="25" s="1"/>
  <c r="H109" i="25"/>
  <c r="H165" i="25" s="1"/>
  <c r="AD109" i="25"/>
  <c r="AD165" i="25" s="1"/>
  <c r="Q109" i="25"/>
  <c r="AC109" i="25"/>
  <c r="P109" i="25"/>
  <c r="P165" i="25" s="1"/>
  <c r="Z109" i="25"/>
  <c r="N109" i="25"/>
  <c r="N165" i="25" s="1"/>
  <c r="AK109" i="25"/>
  <c r="AK165" i="25" s="1"/>
  <c r="Y109" i="25"/>
  <c r="Y165" i="25" s="1"/>
  <c r="M109" i="25"/>
  <c r="AJ109" i="25"/>
  <c r="AJ165" i="25" s="1"/>
  <c r="X109" i="25"/>
  <c r="L109" i="25"/>
  <c r="L165" i="25" s="1"/>
  <c r="AA109" i="25"/>
  <c r="AA165" i="25" s="1"/>
  <c r="E112" i="25"/>
  <c r="E121" i="25"/>
  <c r="E131" i="25"/>
  <c r="E133" i="25"/>
  <c r="R157" i="25"/>
  <c r="R160" i="25" s="1"/>
  <c r="G158" i="25"/>
  <c r="E101" i="25"/>
  <c r="AG165" i="25"/>
  <c r="M160" i="25"/>
  <c r="T157" i="25"/>
  <c r="AD157" i="25"/>
  <c r="G157" i="25"/>
  <c r="G160" i="25" s="1"/>
  <c r="Q157" i="25"/>
  <c r="AA157" i="25"/>
  <c r="AA160" i="25" s="1"/>
  <c r="AK157" i="25"/>
  <c r="AK160" i="25" s="1"/>
  <c r="N157" i="25"/>
  <c r="X157" i="25"/>
  <c r="X160" i="25" s="1"/>
  <c r="I165" i="25"/>
  <c r="K157" i="25"/>
  <c r="K160" i="25" s="1"/>
  <c r="U157" i="25"/>
  <c r="U160" i="25" s="1"/>
  <c r="AE157" i="25"/>
  <c r="AE160" i="25" s="1"/>
  <c r="W157" i="25"/>
  <c r="W160" i="25" s="1"/>
  <c r="E113" i="25"/>
  <c r="O116" i="25"/>
  <c r="O168" i="25" s="1"/>
  <c r="AC116" i="25"/>
  <c r="AC168" i="25" s="1"/>
  <c r="E117" i="25"/>
  <c r="AH157" i="25"/>
  <c r="AH160" i="25" s="1"/>
  <c r="I192" i="25"/>
  <c r="S192" i="25"/>
  <c r="AC192" i="25"/>
  <c r="M110" i="25"/>
  <c r="Z110" i="25"/>
  <c r="P116" i="25"/>
  <c r="P168" i="25" s="1"/>
  <c r="O157" i="25"/>
  <c r="Y157" i="25"/>
  <c r="AI157" i="25"/>
  <c r="AI160" i="25" s="1"/>
  <c r="AH158" i="25"/>
  <c r="AD160" i="25"/>
  <c r="AH116" i="25"/>
  <c r="AH168" i="25" s="1"/>
  <c r="X116" i="25"/>
  <c r="X168" i="25" s="1"/>
  <c r="N116" i="25"/>
  <c r="N168" i="25" s="1"/>
  <c r="AE116" i="25"/>
  <c r="AE168" i="25" s="1"/>
  <c r="T116" i="25"/>
  <c r="T168" i="25" s="1"/>
  <c r="I116" i="25"/>
  <c r="I168" i="25" s="1"/>
  <c r="AB116" i="25"/>
  <c r="AB168" i="25" s="1"/>
  <c r="Q116" i="25"/>
  <c r="Q168" i="25" s="1"/>
  <c r="F116" i="25"/>
  <c r="F168" i="25" s="1"/>
  <c r="S116" i="25"/>
  <c r="S168" i="25" s="1"/>
  <c r="AG116" i="25"/>
  <c r="AG168" i="25" s="1"/>
  <c r="J160" i="25"/>
  <c r="T160" i="25"/>
  <c r="V192" i="25"/>
  <c r="E107" i="25"/>
  <c r="E108" i="25"/>
  <c r="AH110" i="25"/>
  <c r="AH165" i="25" s="1"/>
  <c r="X110" i="25"/>
  <c r="N110" i="25"/>
  <c r="AE110" i="25"/>
  <c r="U110" i="25"/>
  <c r="K110" i="25"/>
  <c r="Q110" i="25"/>
  <c r="AC110" i="25"/>
  <c r="G116" i="25"/>
  <c r="G168" i="25" s="1"/>
  <c r="U116" i="25"/>
  <c r="U168" i="25" s="1"/>
  <c r="AI116" i="25"/>
  <c r="AI168" i="25" s="1"/>
  <c r="AL157" i="25"/>
  <c r="AL160" i="25" s="1"/>
  <c r="X158" i="25"/>
  <c r="AA192" i="25"/>
  <c r="N192" i="25"/>
  <c r="I160" i="25"/>
  <c r="I157" i="25"/>
  <c r="AC160" i="25"/>
  <c r="AI158" i="25"/>
  <c r="AE192" i="25"/>
  <c r="E40" i="1"/>
  <c r="D82" i="1"/>
  <c r="E72" i="1"/>
  <c r="D73" i="1"/>
  <c r="D72" i="1" s="1"/>
  <c r="D77" i="1"/>
  <c r="D48" i="1"/>
  <c r="E48" i="1"/>
  <c r="D66" i="1"/>
  <c r="F54" i="8"/>
  <c r="C407" i="2"/>
  <c r="C426" i="2"/>
  <c r="C438" i="2" s="1"/>
  <c r="C452" i="2" s="1"/>
  <c r="F53" i="7"/>
  <c r="F287" i="2"/>
  <c r="L17" i="3"/>
  <c r="K17" i="3"/>
  <c r="M17" i="3" s="1"/>
  <c r="M62" i="3"/>
  <c r="L62" i="3"/>
  <c r="K62" i="3"/>
  <c r="M69" i="3"/>
  <c r="L69" i="3"/>
  <c r="K69" i="3"/>
  <c r="K92" i="3"/>
  <c r="L102" i="3"/>
  <c r="K115" i="3"/>
  <c r="M192" i="3"/>
  <c r="G14" i="7"/>
  <c r="E34" i="11"/>
  <c r="F26" i="11"/>
  <c r="L44" i="3"/>
  <c r="K63" i="3"/>
  <c r="K71" i="3"/>
  <c r="M92" i="3"/>
  <c r="M115" i="3"/>
  <c r="J151" i="3"/>
  <c r="M150" i="3" s="1"/>
  <c r="J164" i="3"/>
  <c r="L163" i="3" s="1"/>
  <c r="J197" i="3"/>
  <c r="L195" i="3" s="1"/>
  <c r="K72" i="6"/>
  <c r="M72" i="6"/>
  <c r="L72" i="6"/>
  <c r="J72" i="6"/>
  <c r="J76" i="6" s="1"/>
  <c r="J78" i="6" s="1"/>
  <c r="I72" i="6"/>
  <c r="H72" i="6"/>
  <c r="H76" i="6" s="1"/>
  <c r="H78" i="6" s="1"/>
  <c r="F72" i="6"/>
  <c r="F76" i="6" s="1"/>
  <c r="F78" i="6" s="1"/>
  <c r="H26" i="13"/>
  <c r="H37" i="13" s="1"/>
  <c r="H33" i="13"/>
  <c r="M101" i="3"/>
  <c r="L101" i="3"/>
  <c r="K101" i="3"/>
  <c r="D67" i="5"/>
  <c r="H18" i="5"/>
  <c r="H22" i="5"/>
  <c r="D54" i="5"/>
  <c r="I64" i="6"/>
  <c r="R86" i="6"/>
  <c r="S157" i="17"/>
  <c r="M185" i="17"/>
  <c r="K102" i="3"/>
  <c r="K246" i="3"/>
  <c r="W209" i="17"/>
  <c r="Y199" i="17"/>
  <c r="F425" i="2"/>
  <c r="F424" i="2"/>
  <c r="J9" i="3"/>
  <c r="M8" i="3"/>
  <c r="M7" i="3"/>
  <c r="K25" i="3"/>
  <c r="M40" i="3"/>
  <c r="M44" i="3"/>
  <c r="K53" i="3"/>
  <c r="L63" i="3"/>
  <c r="J103" i="3"/>
  <c r="K163" i="3"/>
  <c r="J254" i="3"/>
  <c r="M253" i="3" s="1"/>
  <c r="K253" i="3"/>
  <c r="E74" i="4"/>
  <c r="E76" i="4" s="1"/>
  <c r="F76" i="4" s="1"/>
  <c r="G76" i="4" s="1"/>
  <c r="C72" i="6"/>
  <c r="C76" i="6" s="1"/>
  <c r="E48" i="7"/>
  <c r="H104" i="9"/>
  <c r="O74" i="10"/>
  <c r="Y214" i="17"/>
  <c r="W224" i="17"/>
  <c r="R24" i="20"/>
  <c r="M24" i="20"/>
  <c r="G85" i="4"/>
  <c r="J384" i="2"/>
  <c r="J393" i="2" s="1"/>
  <c r="M45" i="3"/>
  <c r="M63" i="3"/>
  <c r="J133" i="3"/>
  <c r="M131" i="3" s="1"/>
  <c r="L132" i="3"/>
  <c r="H23" i="5"/>
  <c r="C48" i="7"/>
  <c r="U71" i="20"/>
  <c r="V71" i="20" s="1"/>
  <c r="W71" i="20" s="1"/>
  <c r="T71" i="20"/>
  <c r="E59" i="1"/>
  <c r="J28" i="3"/>
  <c r="M27" i="3"/>
  <c r="L27" i="3"/>
  <c r="K27" i="3"/>
  <c r="M65" i="3"/>
  <c r="K65" i="3"/>
  <c r="M72" i="3"/>
  <c r="K72" i="3"/>
  <c r="M166" i="3"/>
  <c r="M176" i="3"/>
  <c r="L176" i="3"/>
  <c r="K176" i="3"/>
  <c r="L256" i="3"/>
  <c r="D40" i="5"/>
  <c r="E72" i="6"/>
  <c r="E76" i="6" s="1"/>
  <c r="E78" i="6" s="1"/>
  <c r="D54" i="8"/>
  <c r="G15" i="8"/>
  <c r="L29" i="12"/>
  <c r="L27" i="12"/>
  <c r="N6" i="12"/>
  <c r="D20" i="12" s="1"/>
  <c r="L28" i="12"/>
  <c r="M41" i="3"/>
  <c r="L41" i="3"/>
  <c r="K48" i="3"/>
  <c r="L65" i="3"/>
  <c r="L72" i="3"/>
  <c r="J155" i="3"/>
  <c r="M153" i="3" s="1"/>
  <c r="L154" i="3"/>
  <c r="M167" i="3"/>
  <c r="K177" i="3"/>
  <c r="G72" i="6"/>
  <c r="F22" i="7"/>
  <c r="G22" i="7" s="1"/>
  <c r="D50" i="7" s="1"/>
  <c r="F24" i="7"/>
  <c r="G24" i="7" s="1"/>
  <c r="D52" i="7" s="1"/>
  <c r="F52" i="7" s="1"/>
  <c r="F20" i="7"/>
  <c r="G20" i="7" s="1"/>
  <c r="F23" i="7"/>
  <c r="G56" i="8"/>
  <c r="J34" i="9"/>
  <c r="E103" i="9"/>
  <c r="K163" i="17"/>
  <c r="I185" i="17"/>
  <c r="W161" i="17" s="1"/>
  <c r="W162" i="17" s="1"/>
  <c r="O191" i="17" s="1"/>
  <c r="D147" i="1"/>
  <c r="K41" i="3"/>
  <c r="L48" i="3"/>
  <c r="K55" i="3"/>
  <c r="M66" i="3"/>
  <c r="K167" i="3"/>
  <c r="L177" i="3"/>
  <c r="J247" i="3"/>
  <c r="L245" i="3" s="1"/>
  <c r="M245" i="3"/>
  <c r="J258" i="3"/>
  <c r="L257" i="3"/>
  <c r="F27" i="5"/>
  <c r="F24" i="5"/>
  <c r="D38" i="5"/>
  <c r="D42" i="5" s="1"/>
  <c r="H20" i="5"/>
  <c r="N72" i="6"/>
  <c r="H120" i="9"/>
  <c r="L16" i="3"/>
  <c r="K43" i="3"/>
  <c r="M49" i="3"/>
  <c r="L55" i="3"/>
  <c r="M68" i="3"/>
  <c r="L91" i="3"/>
  <c r="L114" i="3"/>
  <c r="M154" i="3"/>
  <c r="L167" i="3"/>
  <c r="J193" i="3"/>
  <c r="L191" i="3" s="1"/>
  <c r="K245" i="3"/>
  <c r="K257" i="3"/>
  <c r="G27" i="5"/>
  <c r="G20" i="5"/>
  <c r="G24" i="5"/>
  <c r="G18" i="5"/>
  <c r="G22" i="5"/>
  <c r="G19" i="5"/>
  <c r="G23" i="7"/>
  <c r="D51" i="7" s="1"/>
  <c r="M26" i="10"/>
  <c r="K36" i="10"/>
  <c r="K35" i="10"/>
  <c r="K34" i="10"/>
  <c r="K38" i="10"/>
  <c r="K33" i="10"/>
  <c r="K37" i="10"/>
  <c r="O108" i="10"/>
  <c r="Q61" i="17"/>
  <c r="S32" i="17"/>
  <c r="E66" i="10"/>
  <c r="K66" i="10" s="1"/>
  <c r="M66" i="10" s="1"/>
  <c r="O66" i="10" s="1"/>
  <c r="E53" i="1" s="1"/>
  <c r="F34" i="11"/>
  <c r="K9" i="17"/>
  <c r="M9" i="17" s="1"/>
  <c r="K21" i="17"/>
  <c r="M21" i="17" s="1"/>
  <c r="E242" i="17"/>
  <c r="U37" i="17"/>
  <c r="W37" i="17" s="1"/>
  <c r="U42" i="17"/>
  <c r="W42" i="17" s="1"/>
  <c r="J174" i="3"/>
  <c r="K172" i="3" s="1"/>
  <c r="I16" i="5"/>
  <c r="H28" i="5" s="1"/>
  <c r="F36" i="7"/>
  <c r="G36" i="7" s="1"/>
  <c r="E51" i="7" s="1"/>
  <c r="G72" i="9"/>
  <c r="H72" i="9" s="1"/>
  <c r="G76" i="9"/>
  <c r="H76" i="9" s="1"/>
  <c r="F107" i="9" s="1"/>
  <c r="G81" i="9"/>
  <c r="T59" i="10"/>
  <c r="V59" i="10" s="1"/>
  <c r="X59" i="10" s="1"/>
  <c r="E59" i="10"/>
  <c r="K59" i="10" s="1"/>
  <c r="M59" i="10" s="1"/>
  <c r="O59" i="10" s="1"/>
  <c r="AA59" i="10"/>
  <c r="AC59" i="10" s="1"/>
  <c r="AE59" i="10" s="1"/>
  <c r="E62" i="1" s="1"/>
  <c r="D62" i="1" s="1"/>
  <c r="K93" i="10"/>
  <c r="M90" i="10"/>
  <c r="M93" i="10" s="1"/>
  <c r="K22" i="17"/>
  <c r="M22" i="17" s="1"/>
  <c r="U47" i="17"/>
  <c r="W47" i="17" s="1"/>
  <c r="AA207" i="17"/>
  <c r="AC207" i="17" s="1"/>
  <c r="U45" i="20"/>
  <c r="V45" i="20" s="1"/>
  <c r="W45" i="20" s="1"/>
  <c r="T45" i="20"/>
  <c r="G40" i="8"/>
  <c r="E57" i="8" s="1"/>
  <c r="G57" i="8" s="1"/>
  <c r="G61" i="8"/>
  <c r="U33" i="17"/>
  <c r="W33" i="17" s="1"/>
  <c r="U44" i="17"/>
  <c r="W44" i="17" s="1"/>
  <c r="S68" i="17"/>
  <c r="U68" i="17" s="1"/>
  <c r="S106" i="17"/>
  <c r="W106" i="17"/>
  <c r="R78" i="20"/>
  <c r="M78" i="20"/>
  <c r="K54" i="3"/>
  <c r="K94" i="3"/>
  <c r="K117" i="3"/>
  <c r="K192" i="3"/>
  <c r="W40" i="6"/>
  <c r="F38" i="8"/>
  <c r="G38" i="8" s="1"/>
  <c r="E55" i="8" s="1"/>
  <c r="G55" i="8" s="1"/>
  <c r="F41" i="8"/>
  <c r="F37" i="8"/>
  <c r="G37" i="8" s="1"/>
  <c r="F40" i="8"/>
  <c r="AA70" i="10"/>
  <c r="AC70" i="10" s="1"/>
  <c r="AE70" i="10" s="1"/>
  <c r="T70" i="10"/>
  <c r="V70" i="10" s="1"/>
  <c r="X70" i="10" s="1"/>
  <c r="AG70" i="10" s="1"/>
  <c r="E70" i="10"/>
  <c r="K70" i="10" s="1"/>
  <c r="M70" i="10" s="1"/>
  <c r="O70" i="10" s="1"/>
  <c r="E69" i="1" s="1"/>
  <c r="L9" i="12"/>
  <c r="D21" i="12" s="1"/>
  <c r="U35" i="17"/>
  <c r="W35" i="17" s="1"/>
  <c r="U39" i="17"/>
  <c r="W39" i="17" s="1"/>
  <c r="AA202" i="17"/>
  <c r="AC202" i="17" s="1"/>
  <c r="K39" i="3"/>
  <c r="K45" i="3"/>
  <c r="L54" i="3"/>
  <c r="K66" i="3"/>
  <c r="L94" i="3"/>
  <c r="L117" i="3"/>
  <c r="K166" i="3"/>
  <c r="L192" i="3"/>
  <c r="D50" i="5"/>
  <c r="W33" i="6"/>
  <c r="G41" i="8"/>
  <c r="E58" i="8" s="1"/>
  <c r="G58" i="8" s="1"/>
  <c r="G74" i="9"/>
  <c r="H74" i="9" s="1"/>
  <c r="F105" i="9" s="1"/>
  <c r="T67" i="10"/>
  <c r="V67" i="10" s="1"/>
  <c r="X67" i="10" s="1"/>
  <c r="AG67" i="10" s="1"/>
  <c r="E67" i="10"/>
  <c r="K67" i="10" s="1"/>
  <c r="M67" i="10" s="1"/>
  <c r="O67" i="10" s="1"/>
  <c r="AA67" i="10"/>
  <c r="AC67" i="10" s="1"/>
  <c r="AE67" i="10" s="1"/>
  <c r="E54" i="1" s="1"/>
  <c r="D54" i="1" s="1"/>
  <c r="K70" i="11"/>
  <c r="C87" i="11" s="1"/>
  <c r="J13" i="12"/>
  <c r="H17" i="12"/>
  <c r="G57" i="13"/>
  <c r="G59" i="13" s="1"/>
  <c r="G70" i="13" s="1"/>
  <c r="G76" i="13" s="1"/>
  <c r="G78" i="13" s="1"/>
  <c r="G80" i="13" s="1"/>
  <c r="E95" i="1" s="1"/>
  <c r="G68" i="13"/>
  <c r="K14" i="17"/>
  <c r="M14" i="17" s="1"/>
  <c r="T38" i="20"/>
  <c r="U38" i="20" s="1"/>
  <c r="V38" i="20" s="1"/>
  <c r="W38" i="20" s="1"/>
  <c r="K24" i="3"/>
  <c r="L39" i="3"/>
  <c r="L45" i="3"/>
  <c r="K50" i="3"/>
  <c r="L66" i="3"/>
  <c r="K91" i="3"/>
  <c r="K114" i="3"/>
  <c r="K153" i="3"/>
  <c r="K162" i="3"/>
  <c r="L166" i="3"/>
  <c r="K256" i="3"/>
  <c r="D23" i="5"/>
  <c r="F34" i="7"/>
  <c r="G34" i="7" s="1"/>
  <c r="E49" i="7" s="1"/>
  <c r="F25" i="8"/>
  <c r="G25" i="8" s="1"/>
  <c r="F57" i="8" s="1"/>
  <c r="F28" i="8"/>
  <c r="G28" i="8" s="1"/>
  <c r="F60" i="8" s="1"/>
  <c r="G60" i="8" s="1"/>
  <c r="F27" i="8"/>
  <c r="G27" i="8" s="1"/>
  <c r="F59" i="8" s="1"/>
  <c r="G87" i="9"/>
  <c r="H87" i="9" s="1"/>
  <c r="F118" i="9" s="1"/>
  <c r="H118" i="9" s="1"/>
  <c r="G77" i="9"/>
  <c r="H77" i="9" s="1"/>
  <c r="F108" i="9" s="1"/>
  <c r="G90" i="9"/>
  <c r="H90" i="9" s="1"/>
  <c r="F121" i="9" s="1"/>
  <c r="G80" i="9"/>
  <c r="H80" i="9" s="1"/>
  <c r="F111" i="9" s="1"/>
  <c r="G93" i="9"/>
  <c r="H93" i="9" s="1"/>
  <c r="F124" i="9" s="1"/>
  <c r="G83" i="9"/>
  <c r="H83" i="9" s="1"/>
  <c r="F114" i="9" s="1"/>
  <c r="G73" i="9"/>
  <c r="G89" i="9"/>
  <c r="G79" i="9"/>
  <c r="H79" i="9" s="1"/>
  <c r="F110" i="9" s="1"/>
  <c r="G92" i="9"/>
  <c r="H92" i="9" s="1"/>
  <c r="F123" i="9" s="1"/>
  <c r="H123" i="9" s="1"/>
  <c r="T71" i="10"/>
  <c r="V71" i="10" s="1"/>
  <c r="X71" i="10" s="1"/>
  <c r="AA71" i="10"/>
  <c r="AC71" i="10" s="1"/>
  <c r="AE71" i="10" s="1"/>
  <c r="K24" i="17"/>
  <c r="M24" i="17" s="1"/>
  <c r="U58" i="17"/>
  <c r="W58" i="17" s="1"/>
  <c r="E133" i="17"/>
  <c r="E135" i="17" s="1"/>
  <c r="C125" i="17"/>
  <c r="AA203" i="17"/>
  <c r="AC203" i="17" s="1"/>
  <c r="S32" i="19"/>
  <c r="S33" i="19" s="1"/>
  <c r="S17" i="19"/>
  <c r="S19" i="19" s="1"/>
  <c r="AC32" i="19"/>
  <c r="AC33" i="19" s="1"/>
  <c r="AC26" i="19"/>
  <c r="AC27" i="19" s="1"/>
  <c r="U33" i="20"/>
  <c r="T33" i="20"/>
  <c r="U91" i="20"/>
  <c r="U85" i="20"/>
  <c r="K85" i="20"/>
  <c r="F436" i="2"/>
  <c r="D65" i="5"/>
  <c r="E23" i="5"/>
  <c r="F42" i="8"/>
  <c r="G42" i="8" s="1"/>
  <c r="E59" i="8" s="1"/>
  <c r="G84" i="9"/>
  <c r="H84" i="9" s="1"/>
  <c r="F115" i="9" s="1"/>
  <c r="H115" i="9" s="1"/>
  <c r="G88" i="9"/>
  <c r="H88" i="9" s="1"/>
  <c r="F119" i="9" s="1"/>
  <c r="H119" i="9" s="1"/>
  <c r="E51" i="11"/>
  <c r="I26" i="13"/>
  <c r="I37" i="13" s="1"/>
  <c r="I33" i="13"/>
  <c r="U40" i="17"/>
  <c r="W40" i="17" s="1"/>
  <c r="K11" i="17"/>
  <c r="M11" i="17" s="1"/>
  <c r="K23" i="17"/>
  <c r="M23" i="17" s="1"/>
  <c r="W30" i="20"/>
  <c r="G49" i="9"/>
  <c r="H49" i="9" s="1"/>
  <c r="G110" i="9" s="1"/>
  <c r="G59" i="9"/>
  <c r="T58" i="10"/>
  <c r="V58" i="10" s="1"/>
  <c r="X58" i="10" s="1"/>
  <c r="E58" i="10"/>
  <c r="K58" i="10" s="1"/>
  <c r="M58" i="10" s="1"/>
  <c r="O58" i="10" s="1"/>
  <c r="K12" i="17"/>
  <c r="M12" i="17" s="1"/>
  <c r="K19" i="17"/>
  <c r="M19" i="17" s="1"/>
  <c r="U52" i="17"/>
  <c r="W52" i="17" s="1"/>
  <c r="U55" i="17"/>
  <c r="W55" i="17" s="1"/>
  <c r="W110" i="17"/>
  <c r="S110" i="17"/>
  <c r="M124" i="17"/>
  <c r="K124" i="17"/>
  <c r="K185" i="17"/>
  <c r="G189" i="17" s="1"/>
  <c r="V33" i="20"/>
  <c r="W33" i="20" s="1"/>
  <c r="W48" i="20"/>
  <c r="Q61" i="20"/>
  <c r="V61" i="20" s="1"/>
  <c r="O61" i="20"/>
  <c r="P61" i="20" s="1"/>
  <c r="G43" i="9"/>
  <c r="G53" i="9"/>
  <c r="H53" i="9" s="1"/>
  <c r="G114" i="9" s="1"/>
  <c r="G63" i="9"/>
  <c r="H63" i="9" s="1"/>
  <c r="G124" i="9" s="1"/>
  <c r="E46" i="1" s="1"/>
  <c r="D46" i="1" s="1"/>
  <c r="AG63" i="10"/>
  <c r="AE108" i="10"/>
  <c r="K16" i="17"/>
  <c r="M16" i="17" s="1"/>
  <c r="U157" i="17"/>
  <c r="U185" i="17" s="1"/>
  <c r="O185" i="17"/>
  <c r="J26" i="19"/>
  <c r="J17" i="19"/>
  <c r="J19" i="19" s="1"/>
  <c r="J32" i="19"/>
  <c r="J33" i="19" s="1"/>
  <c r="G50" i="9"/>
  <c r="H50" i="9" s="1"/>
  <c r="G111" i="9" s="1"/>
  <c r="H111" i="9" s="1"/>
  <c r="G60" i="9"/>
  <c r="H60" i="9" s="1"/>
  <c r="G121" i="9" s="1"/>
  <c r="T66" i="10"/>
  <c r="V66" i="10" s="1"/>
  <c r="X66" i="10" s="1"/>
  <c r="C75" i="10"/>
  <c r="F10" i="11"/>
  <c r="C84" i="11" s="1"/>
  <c r="G25" i="17"/>
  <c r="K13" i="17"/>
  <c r="M13" i="17" s="1"/>
  <c r="U45" i="17"/>
  <c r="W45" i="17" s="1"/>
  <c r="U48" i="17"/>
  <c r="W48" i="17" s="1"/>
  <c r="U60" i="17"/>
  <c r="W60" i="17" s="1"/>
  <c r="K80" i="20"/>
  <c r="K84" i="20" s="1"/>
  <c r="K86" i="20" s="1"/>
  <c r="T31" i="20"/>
  <c r="U31" i="20" s="1"/>
  <c r="V31" i="20" s="1"/>
  <c r="W31" i="20" s="1"/>
  <c r="O57" i="20"/>
  <c r="G47" i="9"/>
  <c r="H47" i="9" s="1"/>
  <c r="G108" i="9" s="1"/>
  <c r="AA57" i="10"/>
  <c r="AC57" i="10" s="1"/>
  <c r="AE57" i="10" s="1"/>
  <c r="E78" i="1" s="1"/>
  <c r="D78" i="1" s="1"/>
  <c r="T57" i="10"/>
  <c r="V57" i="10" s="1"/>
  <c r="X57" i="10" s="1"/>
  <c r="AA62" i="10"/>
  <c r="AC62" i="10" s="1"/>
  <c r="AE62" i="10" s="1"/>
  <c r="T62" i="10"/>
  <c r="V62" i="10" s="1"/>
  <c r="X62" i="10" s="1"/>
  <c r="I25" i="17"/>
  <c r="C240" i="17" s="1"/>
  <c r="K6" i="17"/>
  <c r="K17" i="17"/>
  <c r="M17" i="17" s="1"/>
  <c r="O61" i="17"/>
  <c r="U53" i="17"/>
  <c r="W53" i="17" s="1"/>
  <c r="U57" i="17"/>
  <c r="W57" i="17" s="1"/>
  <c r="AA206" i="17"/>
  <c r="AC206" i="17" s="1"/>
  <c r="Q26" i="19"/>
  <c r="Q27" i="19" s="1"/>
  <c r="U27" i="19" s="1"/>
  <c r="Q17" i="19"/>
  <c r="Q19" i="19" s="1"/>
  <c r="Q32" i="19"/>
  <c r="Q33" i="19" s="1"/>
  <c r="U15" i="20"/>
  <c r="V15" i="20" s="1"/>
  <c r="W15" i="20" s="1"/>
  <c r="W49" i="20"/>
  <c r="U53" i="20"/>
  <c r="V53" i="20" s="1"/>
  <c r="W53" i="20" s="1"/>
  <c r="W5" i="21"/>
  <c r="Y5" i="21" s="1"/>
  <c r="C52" i="21" s="1"/>
  <c r="D177" i="1"/>
  <c r="T61" i="10"/>
  <c r="V61" i="10" s="1"/>
  <c r="X61" i="10" s="1"/>
  <c r="T69" i="10"/>
  <c r="V69" i="10" s="1"/>
  <c r="X69" i="10" s="1"/>
  <c r="AG69" i="10" s="1"/>
  <c r="K117" i="17"/>
  <c r="AA222" i="17"/>
  <c r="AC222" i="17" s="1"/>
  <c r="R17" i="19"/>
  <c r="R19" i="19" s="1"/>
  <c r="R32" i="19"/>
  <c r="R33" i="19" s="1"/>
  <c r="U41" i="20"/>
  <c r="V41" i="20" s="1"/>
  <c r="W41" i="20" s="1"/>
  <c r="U55" i="20"/>
  <c r="V55" i="20" s="1"/>
  <c r="W55" i="20" s="1"/>
  <c r="F33" i="19"/>
  <c r="U14" i="20"/>
  <c r="V14" i="20" s="1"/>
  <c r="W14" i="20" s="1"/>
  <c r="T14" i="20"/>
  <c r="R23" i="20"/>
  <c r="M23" i="20"/>
  <c r="U27" i="20"/>
  <c r="V27" i="20" s="1"/>
  <c r="W27" i="20" s="1"/>
  <c r="T51" i="20"/>
  <c r="U51" i="20" s="1"/>
  <c r="V51" i="20" s="1"/>
  <c r="W51" i="20" s="1"/>
  <c r="U58" i="20"/>
  <c r="T58" i="20"/>
  <c r="Q84" i="17"/>
  <c r="S84" i="17" s="1"/>
  <c r="U84" i="17" s="1"/>
  <c r="Q71" i="17"/>
  <c r="S71" i="17" s="1"/>
  <c r="U71" i="17" s="1"/>
  <c r="Q88" i="17"/>
  <c r="S88" i="17" s="1"/>
  <c r="U88" i="17" s="1"/>
  <c r="Q75" i="17"/>
  <c r="S75" i="17" s="1"/>
  <c r="U75" i="17" s="1"/>
  <c r="Q78" i="17"/>
  <c r="S78" i="17" s="1"/>
  <c r="U78" i="17" s="1"/>
  <c r="Q83" i="17"/>
  <c r="S83" i="17" s="1"/>
  <c r="U83" i="17" s="1"/>
  <c r="Q69" i="17"/>
  <c r="S69" i="17" s="1"/>
  <c r="U69" i="17" s="1"/>
  <c r="Q87" i="17"/>
  <c r="S87" i="17" s="1"/>
  <c r="U87" i="17" s="1"/>
  <c r="Q74" i="17"/>
  <c r="S74" i="17" s="1"/>
  <c r="U74" i="17" s="1"/>
  <c r="Q77" i="17"/>
  <c r="S77" i="17" s="1"/>
  <c r="U77" i="17" s="1"/>
  <c r="Q85" i="17"/>
  <c r="S85" i="17" s="1"/>
  <c r="U85" i="17" s="1"/>
  <c r="S158" i="17"/>
  <c r="AA220" i="17"/>
  <c r="AC220" i="17" s="1"/>
  <c r="U11" i="20"/>
  <c r="V11" i="20" s="1"/>
  <c r="W11" i="20" s="1"/>
  <c r="P16" i="20"/>
  <c r="U36" i="20"/>
  <c r="V36" i="20" s="1"/>
  <c r="W36" i="20" s="1"/>
  <c r="M58" i="20"/>
  <c r="Q76" i="17"/>
  <c r="S76" i="17" s="1"/>
  <c r="U76" i="17" s="1"/>
  <c r="AA200" i="17"/>
  <c r="AC200" i="17" s="1"/>
  <c r="T17" i="19"/>
  <c r="T19" i="19" s="1"/>
  <c r="AC29" i="19"/>
  <c r="E154" i="1" s="1"/>
  <c r="V16" i="20"/>
  <c r="W16" i="20" s="1"/>
  <c r="U42" i="20"/>
  <c r="V42" i="20" s="1"/>
  <c r="W42" i="20" s="1"/>
  <c r="T66" i="20"/>
  <c r="U66" i="20" s="1"/>
  <c r="V66" i="20" s="1"/>
  <c r="W66" i="20" s="1"/>
  <c r="U77" i="20"/>
  <c r="V77" i="20" s="1"/>
  <c r="W77" i="20" s="1"/>
  <c r="T77" i="20"/>
  <c r="AA204" i="17"/>
  <c r="AC204" i="17" s="1"/>
  <c r="E26" i="19"/>
  <c r="E27" i="19" s="1"/>
  <c r="E17" i="19"/>
  <c r="E19" i="19" s="1"/>
  <c r="F19" i="19" s="1"/>
  <c r="Y17" i="19"/>
  <c r="Y19" i="19" s="1"/>
  <c r="C26" i="19"/>
  <c r="C27" i="19" s="1"/>
  <c r="U16" i="20"/>
  <c r="T16" i="20"/>
  <c r="V18" i="20"/>
  <c r="W18" i="20" s="1"/>
  <c r="U28" i="20"/>
  <c r="V28" i="20" s="1"/>
  <c r="W28" i="20" s="1"/>
  <c r="U57" i="20"/>
  <c r="V57" i="20" s="1"/>
  <c r="T57" i="20"/>
  <c r="L32" i="19"/>
  <c r="L33" i="19" s="1"/>
  <c r="W96" i="17"/>
  <c r="W117" i="17" s="1"/>
  <c r="AA97" i="17" s="1"/>
  <c r="O62" i="20"/>
  <c r="P62" i="20" s="1"/>
  <c r="W62" i="20" s="1"/>
  <c r="U29" i="21"/>
  <c r="Y29" i="21" s="1"/>
  <c r="AA29" i="21" s="1"/>
  <c r="C57" i="21" s="1"/>
  <c r="C54" i="21" s="1"/>
  <c r="K17" i="19"/>
  <c r="K19" i="19" s="1"/>
  <c r="T21" i="20"/>
  <c r="U21" i="20" s="1"/>
  <c r="V21" i="20" s="1"/>
  <c r="W21" i="20" s="1"/>
  <c r="T27" i="20"/>
  <c r="T41" i="20"/>
  <c r="T53" i="20"/>
  <c r="O63" i="20"/>
  <c r="P63" i="20" s="1"/>
  <c r="W63" i="20" s="1"/>
  <c r="O75" i="20"/>
  <c r="P75" i="20" s="1"/>
  <c r="W75" i="20" s="1"/>
  <c r="L17" i="19"/>
  <c r="L19" i="19" s="1"/>
  <c r="O31" i="20"/>
  <c r="P31" i="20" s="1"/>
  <c r="T64" i="20"/>
  <c r="U64" i="20" s="1"/>
  <c r="V64" i="20" s="1"/>
  <c r="W64" i="20" s="1"/>
  <c r="T69" i="20"/>
  <c r="U69" i="20" s="1"/>
  <c r="V69" i="20" s="1"/>
  <c r="W69" i="20" s="1"/>
  <c r="S108" i="17"/>
  <c r="H107" i="9" l="1"/>
  <c r="H105" i="9"/>
  <c r="H108" i="9"/>
  <c r="H121" i="9"/>
  <c r="H113" i="9"/>
  <c r="H114" i="9"/>
  <c r="E103" i="1"/>
  <c r="D35" i="14"/>
  <c r="D51" i="14" s="1"/>
  <c r="C259" i="27"/>
  <c r="C284" i="27"/>
  <c r="C282" i="27" s="1"/>
  <c r="D156" i="27"/>
  <c r="D157" i="27"/>
  <c r="G157" i="27"/>
  <c r="G156" i="27"/>
  <c r="C156" i="27"/>
  <c r="C158" i="27" s="1"/>
  <c r="H157" i="27"/>
  <c r="F157" i="27"/>
  <c r="F158" i="27" s="1"/>
  <c r="E157" i="27"/>
  <c r="E158" i="27" s="1"/>
  <c r="F194" i="27"/>
  <c r="D194" i="27"/>
  <c r="D204" i="27"/>
  <c r="AE199" i="26"/>
  <c r="AK199" i="26"/>
  <c r="AK200" i="26"/>
  <c r="P200" i="26"/>
  <c r="AI199" i="26"/>
  <c r="M199" i="26"/>
  <c r="H200" i="26"/>
  <c r="U201" i="26"/>
  <c r="AH201" i="26"/>
  <c r="Y199" i="26"/>
  <c r="AF137" i="26"/>
  <c r="V137" i="26"/>
  <c r="L137" i="26"/>
  <c r="AH137" i="26"/>
  <c r="AH173" i="26" s="1"/>
  <c r="AH177" i="26" s="1"/>
  <c r="W137" i="26"/>
  <c r="K137" i="26"/>
  <c r="K173" i="26" s="1"/>
  <c r="AD137" i="26"/>
  <c r="S137" i="26"/>
  <c r="H137" i="26"/>
  <c r="AB137" i="26"/>
  <c r="O137" i="26"/>
  <c r="Z137" i="26"/>
  <c r="M137" i="26"/>
  <c r="AE137" i="26"/>
  <c r="AE173" i="26" s="1"/>
  <c r="N137" i="26"/>
  <c r="AC137" i="26"/>
  <c r="J137" i="26"/>
  <c r="J173" i="26" s="1"/>
  <c r="J177" i="26" s="1"/>
  <c r="AA137" i="26"/>
  <c r="AA173" i="26" s="1"/>
  <c r="AA177" i="26" s="1"/>
  <c r="I137" i="26"/>
  <c r="Y137" i="26"/>
  <c r="G137" i="26"/>
  <c r="AL137" i="26"/>
  <c r="AL173" i="26" s="1"/>
  <c r="AL177" i="26" s="1"/>
  <c r="P137" i="26"/>
  <c r="P173" i="26" s="1"/>
  <c r="P177" i="26" s="1"/>
  <c r="AG137" i="26"/>
  <c r="AG173" i="26" s="1"/>
  <c r="AG177" i="26" s="1"/>
  <c r="X137" i="26"/>
  <c r="X173" i="26" s="1"/>
  <c r="AK137" i="26"/>
  <c r="F137" i="26"/>
  <c r="U137" i="26"/>
  <c r="U173" i="26" s="1"/>
  <c r="U177" i="26" s="1"/>
  <c r="AJ137" i="26"/>
  <c r="AI137" i="26"/>
  <c r="T137" i="26"/>
  <c r="R137" i="26"/>
  <c r="Q137" i="26"/>
  <c r="AH199" i="26"/>
  <c r="G201" i="26"/>
  <c r="AL201" i="26"/>
  <c r="X199" i="26"/>
  <c r="AG197" i="26"/>
  <c r="AI164" i="26"/>
  <c r="AI175" i="26" s="1"/>
  <c r="J166" i="26"/>
  <c r="P166" i="26"/>
  <c r="AC166" i="26"/>
  <c r="AE119" i="26"/>
  <c r="U119" i="26"/>
  <c r="U170" i="26" s="1"/>
  <c r="K119" i="26"/>
  <c r="K170" i="26" s="1"/>
  <c r="AD119" i="26"/>
  <c r="S119" i="26"/>
  <c r="H119" i="26"/>
  <c r="H170" i="26" s="1"/>
  <c r="AC119" i="26"/>
  <c r="R119" i="26"/>
  <c r="G119" i="26"/>
  <c r="G170" i="26" s="1"/>
  <c r="AB119" i="26"/>
  <c r="Q119" i="26"/>
  <c r="F119" i="26"/>
  <c r="AL119" i="26"/>
  <c r="AL170" i="26" s="1"/>
  <c r="AA119" i="26"/>
  <c r="AA170" i="26" s="1"/>
  <c r="P119" i="26"/>
  <c r="P170" i="26" s="1"/>
  <c r="AK119" i="26"/>
  <c r="AK170" i="26" s="1"/>
  <c r="V119" i="26"/>
  <c r="V170" i="26" s="1"/>
  <c r="AH119" i="26"/>
  <c r="AH170" i="26" s="1"/>
  <c r="N119" i="26"/>
  <c r="AJ119" i="26"/>
  <c r="T119" i="26"/>
  <c r="T170" i="26" s="1"/>
  <c r="AF119" i="26"/>
  <c r="AF170" i="26" s="1"/>
  <c r="AI119" i="26"/>
  <c r="AI170" i="26" s="1"/>
  <c r="O119" i="26"/>
  <c r="O170" i="26" s="1"/>
  <c r="AG119" i="26"/>
  <c r="AG170" i="26" s="1"/>
  <c r="M119" i="26"/>
  <c r="L119" i="26"/>
  <c r="J119" i="26"/>
  <c r="Z119" i="26"/>
  <c r="I119" i="26"/>
  <c r="I170" i="26" s="1"/>
  <c r="Y119" i="26"/>
  <c r="Y170" i="26" s="1"/>
  <c r="W119" i="26"/>
  <c r="X119" i="26"/>
  <c r="H165" i="26"/>
  <c r="I165" i="26"/>
  <c r="N171" i="26"/>
  <c r="AI133" i="26"/>
  <c r="Y133" i="26"/>
  <c r="O133" i="26"/>
  <c r="AF133" i="26"/>
  <c r="V133" i="26"/>
  <c r="L133" i="26"/>
  <c r="AH133" i="26"/>
  <c r="U133" i="26"/>
  <c r="I133" i="26"/>
  <c r="AE133" i="26"/>
  <c r="S133" i="26"/>
  <c r="G133" i="26"/>
  <c r="AJ133" i="26"/>
  <c r="R133" i="26"/>
  <c r="AG133" i="26"/>
  <c r="Q133" i="26"/>
  <c r="AD133" i="26"/>
  <c r="P133" i="26"/>
  <c r="AC133" i="26"/>
  <c r="N133" i="26"/>
  <c r="AL133" i="26"/>
  <c r="J133" i="26"/>
  <c r="AA133" i="26"/>
  <c r="X133" i="26"/>
  <c r="W133" i="26"/>
  <c r="AK133" i="26"/>
  <c r="H133" i="26"/>
  <c r="Z133" i="26"/>
  <c r="AB133" i="26"/>
  <c r="F133" i="26"/>
  <c r="T133" i="26"/>
  <c r="M133" i="26"/>
  <c r="K133" i="26"/>
  <c r="T166" i="26"/>
  <c r="X166" i="26"/>
  <c r="G166" i="26"/>
  <c r="AK165" i="26"/>
  <c r="AL164" i="26"/>
  <c r="AL175" i="26" s="1"/>
  <c r="R197" i="26"/>
  <c r="AI117" i="26"/>
  <c r="AI169" i="26" s="1"/>
  <c r="Y117" i="26"/>
  <c r="Y169" i="26" s="1"/>
  <c r="O117" i="26"/>
  <c r="O169" i="26" s="1"/>
  <c r="AL117" i="26"/>
  <c r="AL169" i="26" s="1"/>
  <c r="AA117" i="26"/>
  <c r="AA169" i="26" s="1"/>
  <c r="P117" i="26"/>
  <c r="P169" i="26" s="1"/>
  <c r="AK117" i="26"/>
  <c r="AK169" i="26" s="1"/>
  <c r="Z117" i="26"/>
  <c r="Z169" i="26" s="1"/>
  <c r="AJ117" i="26"/>
  <c r="AJ169" i="26" s="1"/>
  <c r="X117" i="26"/>
  <c r="X169" i="26" s="1"/>
  <c r="M117" i="26"/>
  <c r="M169" i="26" s="1"/>
  <c r="AH117" i="26"/>
  <c r="AH169" i="26" s="1"/>
  <c r="W117" i="26"/>
  <c r="W169" i="26" s="1"/>
  <c r="L117" i="26"/>
  <c r="L169" i="26" s="1"/>
  <c r="T117" i="26"/>
  <c r="T169" i="26" s="1"/>
  <c r="F117" i="26"/>
  <c r="F169" i="26" s="1"/>
  <c r="Q117" i="26"/>
  <c r="Q169" i="26" s="1"/>
  <c r="AD117" i="26"/>
  <c r="AD169" i="26" s="1"/>
  <c r="J117" i="26"/>
  <c r="J169" i="26" s="1"/>
  <c r="S117" i="26"/>
  <c r="S169" i="26" s="1"/>
  <c r="AG117" i="26"/>
  <c r="AG169" i="26" s="1"/>
  <c r="R117" i="26"/>
  <c r="R169" i="26" s="1"/>
  <c r="AF117" i="26"/>
  <c r="AF169" i="26" s="1"/>
  <c r="AE117" i="26"/>
  <c r="AE169" i="26" s="1"/>
  <c r="N117" i="26"/>
  <c r="N169" i="26" s="1"/>
  <c r="K117" i="26"/>
  <c r="K169" i="26" s="1"/>
  <c r="AC117" i="26"/>
  <c r="AC169" i="26" s="1"/>
  <c r="I117" i="26"/>
  <c r="I169" i="26" s="1"/>
  <c r="H117" i="26"/>
  <c r="H169" i="26" s="1"/>
  <c r="G117" i="26"/>
  <c r="G169" i="26" s="1"/>
  <c r="AB117" i="26"/>
  <c r="AB169" i="26" s="1"/>
  <c r="V117" i="26"/>
  <c r="V169" i="26" s="1"/>
  <c r="U117" i="26"/>
  <c r="U169" i="26" s="1"/>
  <c r="AK164" i="26"/>
  <c r="AK175" i="26" s="1"/>
  <c r="AF116" i="26"/>
  <c r="AF168" i="26" s="1"/>
  <c r="V116" i="26"/>
  <c r="L116" i="26"/>
  <c r="AD116" i="26"/>
  <c r="S116" i="26"/>
  <c r="H116" i="26"/>
  <c r="AB116" i="26"/>
  <c r="Q116" i="26"/>
  <c r="F116" i="26"/>
  <c r="F168" i="26" s="1"/>
  <c r="AL116" i="26"/>
  <c r="AL168" i="26" s="1"/>
  <c r="AA116" i="26"/>
  <c r="P116" i="26"/>
  <c r="AC116" i="26"/>
  <c r="M116" i="26"/>
  <c r="M168" i="26" s="1"/>
  <c r="X116" i="26"/>
  <c r="X168" i="26" s="1"/>
  <c r="Z116" i="26"/>
  <c r="Z168" i="26" s="1"/>
  <c r="K116" i="26"/>
  <c r="K168" i="26" s="1"/>
  <c r="AJ116" i="26"/>
  <c r="AJ168" i="26" s="1"/>
  <c r="Y116" i="26"/>
  <c r="Y168" i="26" s="1"/>
  <c r="J116" i="26"/>
  <c r="J168" i="26" s="1"/>
  <c r="I116" i="26"/>
  <c r="AK116" i="26"/>
  <c r="AK168" i="26" s="1"/>
  <c r="W116" i="26"/>
  <c r="G116" i="26"/>
  <c r="U116" i="26"/>
  <c r="T116" i="26"/>
  <c r="T168" i="26" s="1"/>
  <c r="AI116" i="26"/>
  <c r="AI168" i="26" s="1"/>
  <c r="AI176" i="26" s="1"/>
  <c r="O116" i="26"/>
  <c r="O168" i="26" s="1"/>
  <c r="O176" i="26" s="1"/>
  <c r="N116" i="26"/>
  <c r="AH116" i="26"/>
  <c r="AG116" i="26"/>
  <c r="AE116" i="26"/>
  <c r="R116" i="26"/>
  <c r="X177" i="26"/>
  <c r="L166" i="26"/>
  <c r="Y166" i="26"/>
  <c r="AA166" i="26"/>
  <c r="U165" i="26"/>
  <c r="S164" i="26"/>
  <c r="S175" i="26" s="1"/>
  <c r="J164" i="26"/>
  <c r="J175" i="26" s="1"/>
  <c r="AG166" i="26"/>
  <c r="AJ166" i="26"/>
  <c r="AK166" i="26"/>
  <c r="G165" i="26"/>
  <c r="M196" i="26"/>
  <c r="M164" i="26"/>
  <c r="M175" i="26" s="1"/>
  <c r="AG130" i="26"/>
  <c r="AG199" i="26" s="1"/>
  <c r="W130" i="26"/>
  <c r="W199" i="26" s="1"/>
  <c r="M130" i="26"/>
  <c r="AC130" i="26"/>
  <c r="AC199" i="26" s="1"/>
  <c r="R130" i="26"/>
  <c r="R199" i="26" s="1"/>
  <c r="G130" i="26"/>
  <c r="G199" i="26" s="1"/>
  <c r="AL130" i="26"/>
  <c r="AL199" i="26" s="1"/>
  <c r="AA130" i="26"/>
  <c r="AA199" i="26" s="1"/>
  <c r="P130" i="26"/>
  <c r="P199" i="26" s="1"/>
  <c r="AE130" i="26"/>
  <c r="Q130" i="26"/>
  <c r="Q199" i="26" s="1"/>
  <c r="AD130" i="26"/>
  <c r="AD199" i="26" s="1"/>
  <c r="O130" i="26"/>
  <c r="O199" i="26" s="1"/>
  <c r="AB130" i="26"/>
  <c r="AB199" i="26" s="1"/>
  <c r="N130" i="26"/>
  <c r="N199" i="26" s="1"/>
  <c r="Z130" i="26"/>
  <c r="Z199" i="26" s="1"/>
  <c r="L130" i="26"/>
  <c r="L199" i="26" s="1"/>
  <c r="AJ130" i="26"/>
  <c r="AJ199" i="26" s="1"/>
  <c r="K130" i="26"/>
  <c r="K199" i="26" s="1"/>
  <c r="AF130" i="26"/>
  <c r="AF199" i="26" s="1"/>
  <c r="H130" i="26"/>
  <c r="H199" i="26" s="1"/>
  <c r="Y130" i="26"/>
  <c r="AI130" i="26"/>
  <c r="J130" i="26"/>
  <c r="J199" i="26" s="1"/>
  <c r="F130" i="26"/>
  <c r="F199" i="26" s="1"/>
  <c r="X130" i="26"/>
  <c r="AH130" i="26"/>
  <c r="I130" i="26"/>
  <c r="I199" i="26" s="1"/>
  <c r="V130" i="26"/>
  <c r="V199" i="26" s="1"/>
  <c r="AK130" i="26"/>
  <c r="U130" i="26"/>
  <c r="U199" i="26" s="1"/>
  <c r="T130" i="26"/>
  <c r="T199" i="26" s="1"/>
  <c r="S130" i="26"/>
  <c r="S199" i="26" s="1"/>
  <c r="K177" i="26"/>
  <c r="X196" i="26"/>
  <c r="K164" i="26"/>
  <c r="K175" i="26" s="1"/>
  <c r="K196" i="26"/>
  <c r="V164" i="26"/>
  <c r="V175" i="26" s="1"/>
  <c r="AD122" i="26"/>
  <c r="AD171" i="26" s="1"/>
  <c r="T122" i="26"/>
  <c r="T197" i="26" s="1"/>
  <c r="J122" i="26"/>
  <c r="J197" i="26" s="1"/>
  <c r="AC122" i="26"/>
  <c r="AC197" i="26" s="1"/>
  <c r="R122" i="26"/>
  <c r="G122" i="26"/>
  <c r="G171" i="26" s="1"/>
  <c r="AB122" i="26"/>
  <c r="AB197" i="26" s="1"/>
  <c r="Q122" i="26"/>
  <c r="Q171" i="26" s="1"/>
  <c r="F122" i="26"/>
  <c r="F171" i="26" s="1"/>
  <c r="AL122" i="26"/>
  <c r="AL171" i="26" s="1"/>
  <c r="AL176" i="26" s="1"/>
  <c r="AA122" i="26"/>
  <c r="P122" i="26"/>
  <c r="AK122" i="26"/>
  <c r="AK197" i="26" s="1"/>
  <c r="Z122" i="26"/>
  <c r="Z197" i="26" s="1"/>
  <c r="O122" i="26"/>
  <c r="AF122" i="26"/>
  <c r="AF197" i="26" s="1"/>
  <c r="L122" i="26"/>
  <c r="X122" i="26"/>
  <c r="X197" i="26" s="1"/>
  <c r="AE122" i="26"/>
  <c r="AE197" i="26" s="1"/>
  <c r="K122" i="26"/>
  <c r="K171" i="26" s="1"/>
  <c r="K176" i="26" s="1"/>
  <c r="U122" i="26"/>
  <c r="Y122" i="26"/>
  <c r="Y171" i="26" s="1"/>
  <c r="I122" i="26"/>
  <c r="H122" i="26"/>
  <c r="H197" i="26" s="1"/>
  <c r="W122" i="26"/>
  <c r="W197" i="26" s="1"/>
  <c r="V122" i="26"/>
  <c r="V197" i="26" s="1"/>
  <c r="AJ122" i="26"/>
  <c r="AJ197" i="26" s="1"/>
  <c r="M122" i="26"/>
  <c r="AI122" i="26"/>
  <c r="AI171" i="26" s="1"/>
  <c r="AH122" i="26"/>
  <c r="AH197" i="26" s="1"/>
  <c r="AG122" i="26"/>
  <c r="AG171" i="26" s="1"/>
  <c r="S122" i="26"/>
  <c r="S197" i="26" s="1"/>
  <c r="N122" i="26"/>
  <c r="N197" i="26" s="1"/>
  <c r="AJ124" i="26"/>
  <c r="Z124" i="26"/>
  <c r="P124" i="26"/>
  <c r="F124" i="26"/>
  <c r="AH124" i="26"/>
  <c r="X124" i="26"/>
  <c r="N124" i="26"/>
  <c r="AL124" i="26"/>
  <c r="Y124" i="26"/>
  <c r="Y197" i="26" s="1"/>
  <c r="L124" i="26"/>
  <c r="AK124" i="26"/>
  <c r="W124" i="26"/>
  <c r="K124" i="26"/>
  <c r="AI124" i="26"/>
  <c r="V124" i="26"/>
  <c r="V171" i="26" s="1"/>
  <c r="J124" i="26"/>
  <c r="AG124" i="26"/>
  <c r="U124" i="26"/>
  <c r="U171" i="26" s="1"/>
  <c r="I124" i="26"/>
  <c r="I171" i="26" s="1"/>
  <c r="AD124" i="26"/>
  <c r="H124" i="26"/>
  <c r="AA124" i="26"/>
  <c r="AA171" i="26" s="1"/>
  <c r="AC124" i="26"/>
  <c r="G124" i="26"/>
  <c r="AB124" i="26"/>
  <c r="AB171" i="26" s="1"/>
  <c r="T124" i="26"/>
  <c r="S124" i="26"/>
  <c r="R124" i="26"/>
  <c r="Q124" i="26"/>
  <c r="O124" i="26"/>
  <c r="O171" i="26" s="1"/>
  <c r="M124" i="26"/>
  <c r="AE124" i="26"/>
  <c r="AF124" i="26"/>
  <c r="AJ131" i="26"/>
  <c r="Z131" i="26"/>
  <c r="Z171" i="26" s="1"/>
  <c r="P131" i="26"/>
  <c r="F131" i="26"/>
  <c r="AK131" i="26"/>
  <c r="Y131" i="26"/>
  <c r="Y200" i="26" s="1"/>
  <c r="N131" i="26"/>
  <c r="AH131" i="26"/>
  <c r="AH200" i="26" s="1"/>
  <c r="W131" i="26"/>
  <c r="L131" i="26"/>
  <c r="AG131" i="26"/>
  <c r="T131" i="26"/>
  <c r="T200" i="26" s="1"/>
  <c r="G131" i="26"/>
  <c r="AF131" i="26"/>
  <c r="S131" i="26"/>
  <c r="AE131" i="26"/>
  <c r="R131" i="26"/>
  <c r="AD131" i="26"/>
  <c r="Q131" i="26"/>
  <c r="O131" i="26"/>
  <c r="AI131" i="26"/>
  <c r="J131" i="26"/>
  <c r="J171" i="26" s="1"/>
  <c r="AC131" i="26"/>
  <c r="H131" i="26"/>
  <c r="M131" i="26"/>
  <c r="I131" i="26"/>
  <c r="I200" i="26" s="1"/>
  <c r="AA131" i="26"/>
  <c r="AL131" i="26"/>
  <c r="AL200" i="26" s="1"/>
  <c r="K131" i="26"/>
  <c r="AB131" i="26"/>
  <c r="V131" i="26"/>
  <c r="V200" i="26" s="1"/>
  <c r="U131" i="26"/>
  <c r="U200" i="26" s="1"/>
  <c r="X131" i="26"/>
  <c r="U166" i="26"/>
  <c r="V165" i="26"/>
  <c r="AH165" i="26"/>
  <c r="Q197" i="26"/>
  <c r="Y196" i="26"/>
  <c r="W164" i="26"/>
  <c r="W175" i="26" s="1"/>
  <c r="AA164" i="26"/>
  <c r="AA175" i="26" s="1"/>
  <c r="AJ135" i="26"/>
  <c r="AE135" i="26"/>
  <c r="U135" i="26"/>
  <c r="K135" i="26"/>
  <c r="AB135" i="26"/>
  <c r="R135" i="26"/>
  <c r="H135" i="26"/>
  <c r="AI135" i="26"/>
  <c r="W135" i="26"/>
  <c r="J135" i="26"/>
  <c r="AG135" i="26"/>
  <c r="T135" i="26"/>
  <c r="G135" i="26"/>
  <c r="X135" i="26"/>
  <c r="F135" i="26"/>
  <c r="AL135" i="26"/>
  <c r="V135" i="26"/>
  <c r="AK135" i="26"/>
  <c r="S135" i="26"/>
  <c r="AH135" i="26"/>
  <c r="Q135" i="26"/>
  <c r="AF135" i="26"/>
  <c r="AF200" i="26" s="1"/>
  <c r="L135" i="26"/>
  <c r="AA135" i="26"/>
  <c r="Y135" i="26"/>
  <c r="AD135" i="26"/>
  <c r="I135" i="26"/>
  <c r="Z135" i="26"/>
  <c r="P135" i="26"/>
  <c r="AC135" i="26"/>
  <c r="M135" i="26"/>
  <c r="O135" i="26"/>
  <c r="N135" i="26"/>
  <c r="AH166" i="26"/>
  <c r="I166" i="26"/>
  <c r="Z166" i="26"/>
  <c r="N165" i="26"/>
  <c r="F197" i="26"/>
  <c r="AE177" i="26"/>
  <c r="AI138" i="26"/>
  <c r="AI201" i="26" s="1"/>
  <c r="Y138" i="26"/>
  <c r="Y201" i="26" s="1"/>
  <c r="O138" i="26"/>
  <c r="O201" i="26" s="1"/>
  <c r="AH138" i="26"/>
  <c r="X138" i="26"/>
  <c r="X201" i="26" s="1"/>
  <c r="N138" i="26"/>
  <c r="N201" i="26" s="1"/>
  <c r="AF138" i="26"/>
  <c r="AF201" i="26" s="1"/>
  <c r="T138" i="26"/>
  <c r="T201" i="26" s="1"/>
  <c r="H138" i="26"/>
  <c r="H201" i="26" s="1"/>
  <c r="AC138" i="26"/>
  <c r="AC201" i="26" s="1"/>
  <c r="Q138" i="26"/>
  <c r="Q201" i="26" s="1"/>
  <c r="AJ138" i="26"/>
  <c r="AJ201" i="26" s="1"/>
  <c r="S138" i="26"/>
  <c r="S201" i="26" s="1"/>
  <c r="AE138" i="26"/>
  <c r="AE201" i="26" s="1"/>
  <c r="P138" i="26"/>
  <c r="P201" i="26" s="1"/>
  <c r="Z138" i="26"/>
  <c r="Z201" i="26" s="1"/>
  <c r="G138" i="26"/>
  <c r="W138" i="26"/>
  <c r="W201" i="26" s="1"/>
  <c r="F138" i="26"/>
  <c r="F201" i="26" s="1"/>
  <c r="V138" i="26"/>
  <c r="V201" i="26" s="1"/>
  <c r="U138" i="26"/>
  <c r="AA138" i="26"/>
  <c r="AA201" i="26" s="1"/>
  <c r="L138" i="26"/>
  <c r="L201" i="26" s="1"/>
  <c r="K138" i="26"/>
  <c r="K201" i="26" s="1"/>
  <c r="AL138" i="26"/>
  <c r="J138" i="26"/>
  <c r="J201" i="26" s="1"/>
  <c r="AK138" i="26"/>
  <c r="AK201" i="26" s="1"/>
  <c r="R138" i="26"/>
  <c r="R201" i="26" s="1"/>
  <c r="M138" i="26"/>
  <c r="M201" i="26" s="1"/>
  <c r="I138" i="26"/>
  <c r="I201" i="26" s="1"/>
  <c r="AG138" i="26"/>
  <c r="AG201" i="26" s="1"/>
  <c r="AD138" i="26"/>
  <c r="AD201" i="26" s="1"/>
  <c r="AB138" i="26"/>
  <c r="AB201" i="26" s="1"/>
  <c r="AI196" i="26"/>
  <c r="U197" i="26"/>
  <c r="AK171" i="26"/>
  <c r="M166" i="26"/>
  <c r="AL166" i="26"/>
  <c r="AC165" i="26"/>
  <c r="X165" i="26"/>
  <c r="AL134" i="25"/>
  <c r="AB134" i="25"/>
  <c r="R134" i="25"/>
  <c r="H134" i="25"/>
  <c r="AD134" i="25"/>
  <c r="S134" i="25"/>
  <c r="G134" i="25"/>
  <c r="Z134" i="25"/>
  <c r="N134" i="25"/>
  <c r="AI134" i="25"/>
  <c r="W134" i="25"/>
  <c r="K134" i="25"/>
  <c r="AK134" i="25"/>
  <c r="V134" i="25"/>
  <c r="F134" i="25"/>
  <c r="AJ134" i="25"/>
  <c r="U134" i="25"/>
  <c r="AG134" i="25"/>
  <c r="Q134" i="25"/>
  <c r="AF134" i="25"/>
  <c r="P134" i="25"/>
  <c r="AE134" i="25"/>
  <c r="O134" i="25"/>
  <c r="AC134" i="25"/>
  <c r="AA134" i="25"/>
  <c r="X134" i="25"/>
  <c r="T134" i="25"/>
  <c r="M134" i="25"/>
  <c r="AH134" i="25"/>
  <c r="L134" i="25"/>
  <c r="I134" i="25"/>
  <c r="Y134" i="25"/>
  <c r="J134" i="25"/>
  <c r="AD128" i="25"/>
  <c r="T128" i="25"/>
  <c r="J128" i="25"/>
  <c r="AB128" i="25"/>
  <c r="Q128" i="25"/>
  <c r="F128" i="25"/>
  <c r="AJ128" i="25"/>
  <c r="Y128" i="25"/>
  <c r="N128" i="25"/>
  <c r="AH128" i="25"/>
  <c r="U128" i="25"/>
  <c r="G128" i="25"/>
  <c r="AG128" i="25"/>
  <c r="S128" i="25"/>
  <c r="AE128" i="25"/>
  <c r="P128" i="25"/>
  <c r="AC128" i="25"/>
  <c r="O128" i="25"/>
  <c r="AA128" i="25"/>
  <c r="M128" i="25"/>
  <c r="X128" i="25"/>
  <c r="W128" i="25"/>
  <c r="R128" i="25"/>
  <c r="L128" i="25"/>
  <c r="AL128" i="25"/>
  <c r="K128" i="25"/>
  <c r="I128" i="25"/>
  <c r="H128" i="25"/>
  <c r="AF128" i="25"/>
  <c r="Z128" i="25"/>
  <c r="V128" i="25"/>
  <c r="AK128" i="25"/>
  <c r="AI128" i="25"/>
  <c r="P164" i="25"/>
  <c r="P175" i="25" s="1"/>
  <c r="AJ130" i="25"/>
  <c r="Z130" i="25"/>
  <c r="P130" i="25"/>
  <c r="F130" i="25"/>
  <c r="AE130" i="25"/>
  <c r="T130" i="25"/>
  <c r="I130" i="25"/>
  <c r="AB130" i="25"/>
  <c r="Q130" i="25"/>
  <c r="AA130" i="25"/>
  <c r="M130" i="25"/>
  <c r="Y130" i="25"/>
  <c r="L130" i="25"/>
  <c r="AK130" i="25"/>
  <c r="W130" i="25"/>
  <c r="J130" i="25"/>
  <c r="AI130" i="25"/>
  <c r="V130" i="25"/>
  <c r="H130" i="25"/>
  <c r="AH130" i="25"/>
  <c r="U130" i="25"/>
  <c r="G130" i="25"/>
  <c r="AC130" i="25"/>
  <c r="X130" i="25"/>
  <c r="R130" i="25"/>
  <c r="O130" i="25"/>
  <c r="N130" i="25"/>
  <c r="AF130" i="25"/>
  <c r="AD130" i="25"/>
  <c r="S130" i="25"/>
  <c r="AL130" i="25"/>
  <c r="AG130" i="25"/>
  <c r="K130" i="25"/>
  <c r="AC121" i="25"/>
  <c r="S121" i="25"/>
  <c r="I121" i="25"/>
  <c r="AH121" i="25"/>
  <c r="W121" i="25"/>
  <c r="L121" i="25"/>
  <c r="AE121" i="25"/>
  <c r="T121" i="25"/>
  <c r="H121" i="25"/>
  <c r="AL121" i="25"/>
  <c r="Y121" i="25"/>
  <c r="K121" i="25"/>
  <c r="AK121" i="25"/>
  <c r="X121" i="25"/>
  <c r="J121" i="25"/>
  <c r="AI121" i="25"/>
  <c r="U121" i="25"/>
  <c r="F121" i="25"/>
  <c r="AG121" i="25"/>
  <c r="R121" i="25"/>
  <c r="AF121" i="25"/>
  <c r="Q121" i="25"/>
  <c r="N121" i="25"/>
  <c r="M121" i="25"/>
  <c r="AD121" i="25"/>
  <c r="AA121" i="25"/>
  <c r="AB121" i="25"/>
  <c r="AJ121" i="25"/>
  <c r="Z121" i="25"/>
  <c r="P121" i="25"/>
  <c r="V121" i="25"/>
  <c r="O121" i="25"/>
  <c r="G121" i="25"/>
  <c r="Q164" i="25"/>
  <c r="Q175" i="25" s="1"/>
  <c r="AK127" i="25"/>
  <c r="AA127" i="25"/>
  <c r="Q127" i="25"/>
  <c r="G127" i="25"/>
  <c r="AF127" i="25"/>
  <c r="U127" i="25"/>
  <c r="J127" i="25"/>
  <c r="AC127" i="25"/>
  <c r="R127" i="25"/>
  <c r="F127" i="25"/>
  <c r="AE127" i="25"/>
  <c r="P127" i="25"/>
  <c r="AD127" i="25"/>
  <c r="O127" i="25"/>
  <c r="Z127" i="25"/>
  <c r="M127" i="25"/>
  <c r="Y127" i="25"/>
  <c r="L127" i="25"/>
  <c r="AL127" i="25"/>
  <c r="X127" i="25"/>
  <c r="K127" i="25"/>
  <c r="N127" i="25"/>
  <c r="AJ127" i="25"/>
  <c r="I127" i="25"/>
  <c r="AH127" i="25"/>
  <c r="AB127" i="25"/>
  <c r="AG127" i="25"/>
  <c r="H127" i="25"/>
  <c r="T127" i="25"/>
  <c r="S127" i="25"/>
  <c r="AI127" i="25"/>
  <c r="V127" i="25"/>
  <c r="W127" i="25"/>
  <c r="AC111" i="25"/>
  <c r="AC166" i="25" s="1"/>
  <c r="S111" i="25"/>
  <c r="I111" i="25"/>
  <c r="AD111" i="25"/>
  <c r="AD166" i="25" s="1"/>
  <c r="R111" i="25"/>
  <c r="R166" i="25" s="1"/>
  <c r="G111" i="25"/>
  <c r="AK111" i="25"/>
  <c r="Z111" i="25"/>
  <c r="O111" i="25"/>
  <c r="AF111" i="25"/>
  <c r="Q111" i="25"/>
  <c r="AE111" i="25"/>
  <c r="AE166" i="25" s="1"/>
  <c r="P111" i="25"/>
  <c r="P166" i="25" s="1"/>
  <c r="AA111" i="25"/>
  <c r="AA166" i="25" s="1"/>
  <c r="M111" i="25"/>
  <c r="Y111" i="25"/>
  <c r="L111" i="25"/>
  <c r="AL111" i="25"/>
  <c r="X111" i="25"/>
  <c r="K111" i="25"/>
  <c r="AB111" i="25"/>
  <c r="AB166" i="25" s="1"/>
  <c r="W111" i="25"/>
  <c r="U111" i="25"/>
  <c r="N111" i="25"/>
  <c r="T111" i="25"/>
  <c r="T166" i="25" s="1"/>
  <c r="V111" i="25"/>
  <c r="J111" i="25"/>
  <c r="H111" i="25"/>
  <c r="AG111" i="25"/>
  <c r="F111" i="25"/>
  <c r="AI111" i="25"/>
  <c r="AH111" i="25"/>
  <c r="AJ111" i="25"/>
  <c r="AJ166" i="25" s="1"/>
  <c r="AC165" i="25"/>
  <c r="W164" i="25"/>
  <c r="W175" i="25" s="1"/>
  <c r="E138" i="25"/>
  <c r="E137" i="25"/>
  <c r="Q165" i="25"/>
  <c r="Z165" i="25"/>
  <c r="E136" i="25"/>
  <c r="E120" i="25"/>
  <c r="E125" i="25"/>
  <c r="E135" i="25"/>
  <c r="E126" i="25"/>
  <c r="E132" i="25"/>
  <c r="E122" i="25"/>
  <c r="AK117" i="25"/>
  <c r="AK169" i="25" s="1"/>
  <c r="AA117" i="25"/>
  <c r="Q117" i="25"/>
  <c r="Q169" i="25" s="1"/>
  <c r="G117" i="25"/>
  <c r="AB117" i="25"/>
  <c r="AB169" i="25" s="1"/>
  <c r="P117" i="25"/>
  <c r="P169" i="25" s="1"/>
  <c r="AI117" i="25"/>
  <c r="AI169" i="25" s="1"/>
  <c r="X117" i="25"/>
  <c r="X169" i="25" s="1"/>
  <c r="M117" i="25"/>
  <c r="AL117" i="25"/>
  <c r="AL169" i="25" s="1"/>
  <c r="W117" i="25"/>
  <c r="J117" i="25"/>
  <c r="AJ117" i="25"/>
  <c r="AJ169" i="25" s="1"/>
  <c r="V117" i="25"/>
  <c r="I117" i="25"/>
  <c r="I169" i="25" s="1"/>
  <c r="AG117" i="25"/>
  <c r="AG169" i="25" s="1"/>
  <c r="T117" i="25"/>
  <c r="T169" i="25" s="1"/>
  <c r="F117" i="25"/>
  <c r="AF117" i="25"/>
  <c r="AF169" i="25" s="1"/>
  <c r="S117" i="25"/>
  <c r="AE117" i="25"/>
  <c r="AE169" i="25" s="1"/>
  <c r="R117" i="25"/>
  <c r="L117" i="25"/>
  <c r="L169" i="25" s="1"/>
  <c r="K117" i="25"/>
  <c r="K169" i="25" s="1"/>
  <c r="AD117" i="25"/>
  <c r="AD169" i="25" s="1"/>
  <c r="Z117" i="25"/>
  <c r="Z169" i="25" s="1"/>
  <c r="AC117" i="25"/>
  <c r="AC169" i="25" s="1"/>
  <c r="AH117" i="25"/>
  <c r="AH169" i="25" s="1"/>
  <c r="Y117" i="25"/>
  <c r="U117" i="25"/>
  <c r="U169" i="25" s="1"/>
  <c r="O117" i="25"/>
  <c r="H117" i="25"/>
  <c r="H169" i="25" s="1"/>
  <c r="N117" i="25"/>
  <c r="N169" i="25" s="1"/>
  <c r="X165" i="25"/>
  <c r="Y164" i="25"/>
  <c r="Y175" i="25" s="1"/>
  <c r="AF112" i="25"/>
  <c r="AF198" i="25" s="1"/>
  <c r="V112" i="25"/>
  <c r="V198" i="25" s="1"/>
  <c r="L112" i="25"/>
  <c r="AJ112" i="25"/>
  <c r="AJ198" i="25" s="1"/>
  <c r="Y112" i="25"/>
  <c r="Y198" i="25" s="1"/>
  <c r="N112" i="25"/>
  <c r="N198" i="25" s="1"/>
  <c r="AG112" i="25"/>
  <c r="U112" i="25"/>
  <c r="U198" i="25" s="1"/>
  <c r="J112" i="25"/>
  <c r="AH112" i="25"/>
  <c r="AH198" i="25" s="1"/>
  <c r="S112" i="25"/>
  <c r="S198" i="25" s="1"/>
  <c r="F112" i="25"/>
  <c r="F198" i="25" s="1"/>
  <c r="AE112" i="25"/>
  <c r="R112" i="25"/>
  <c r="AC112" i="25"/>
  <c r="AC198" i="25" s="1"/>
  <c r="P112" i="25"/>
  <c r="P198" i="25" s="1"/>
  <c r="AB112" i="25"/>
  <c r="O112" i="25"/>
  <c r="O198" i="25" s="1"/>
  <c r="AA112" i="25"/>
  <c r="AA198" i="25" s="1"/>
  <c r="M112" i="25"/>
  <c r="M198" i="25" s="1"/>
  <c r="AL112" i="25"/>
  <c r="I112" i="25"/>
  <c r="I198" i="25" s="1"/>
  <c r="AK112" i="25"/>
  <c r="H112" i="25"/>
  <c r="AD112" i="25"/>
  <c r="X112" i="25"/>
  <c r="Z112" i="25"/>
  <c r="Z198" i="25" s="1"/>
  <c r="Q112" i="25"/>
  <c r="K112" i="25"/>
  <c r="K198" i="25" s="1"/>
  <c r="G112" i="25"/>
  <c r="G198" i="25" s="1"/>
  <c r="AI112" i="25"/>
  <c r="AI198" i="25" s="1"/>
  <c r="W112" i="25"/>
  <c r="W198" i="25" s="1"/>
  <c r="T112" i="25"/>
  <c r="E124" i="25"/>
  <c r="AC131" i="25"/>
  <c r="S131" i="25"/>
  <c r="I131" i="25"/>
  <c r="AE131" i="25"/>
  <c r="T131" i="25"/>
  <c r="AB131" i="25"/>
  <c r="P131" i="25"/>
  <c r="AK131" i="25"/>
  <c r="Y131" i="25"/>
  <c r="M131" i="25"/>
  <c r="AG131" i="25"/>
  <c r="Q131" i="25"/>
  <c r="AF131" i="25"/>
  <c r="O131" i="25"/>
  <c r="AA131" i="25"/>
  <c r="L131" i="25"/>
  <c r="Z131" i="25"/>
  <c r="K131" i="25"/>
  <c r="X131" i="25"/>
  <c r="J131" i="25"/>
  <c r="AL131" i="25"/>
  <c r="H131" i="25"/>
  <c r="AJ131" i="25"/>
  <c r="G131" i="25"/>
  <c r="AH131" i="25"/>
  <c r="AD131" i="25"/>
  <c r="W131" i="25"/>
  <c r="V131" i="25"/>
  <c r="U131" i="25"/>
  <c r="R131" i="25"/>
  <c r="AI131" i="25"/>
  <c r="N131" i="25"/>
  <c r="F131" i="25"/>
  <c r="AL108" i="25"/>
  <c r="AL164" i="25" s="1"/>
  <c r="AL175" i="25" s="1"/>
  <c r="AB108" i="25"/>
  <c r="R108" i="25"/>
  <c r="H108" i="25"/>
  <c r="AI108" i="25"/>
  <c r="Y108" i="25"/>
  <c r="O108" i="25"/>
  <c r="AD108" i="25"/>
  <c r="Q108" i="25"/>
  <c r="AC108" i="25"/>
  <c r="P108" i="25"/>
  <c r="Z108" i="25"/>
  <c r="M108" i="25"/>
  <c r="AK108" i="25"/>
  <c r="AK164" i="25" s="1"/>
  <c r="AK175" i="25" s="1"/>
  <c r="X108" i="25"/>
  <c r="L108" i="25"/>
  <c r="AE108" i="25"/>
  <c r="I108" i="25"/>
  <c r="AA108" i="25"/>
  <c r="G108" i="25"/>
  <c r="V108" i="25"/>
  <c r="U108" i="25"/>
  <c r="T108" i="25"/>
  <c r="AJ108" i="25"/>
  <c r="AH108" i="25"/>
  <c r="AG108" i="25"/>
  <c r="K108" i="25"/>
  <c r="AF108" i="25"/>
  <c r="N108" i="25"/>
  <c r="J108" i="25"/>
  <c r="F108" i="25"/>
  <c r="W108" i="25"/>
  <c r="S108" i="25"/>
  <c r="M165" i="25"/>
  <c r="E123" i="25"/>
  <c r="AI133" i="25"/>
  <c r="Y133" i="25"/>
  <c r="O133" i="25"/>
  <c r="AG133" i="25"/>
  <c r="V133" i="25"/>
  <c r="K133" i="25"/>
  <c r="AA133" i="25"/>
  <c r="N133" i="25"/>
  <c r="AJ133" i="25"/>
  <c r="W133" i="25"/>
  <c r="J133" i="25"/>
  <c r="AD133" i="25"/>
  <c r="P133" i="25"/>
  <c r="AC133" i="25"/>
  <c r="M133" i="25"/>
  <c r="Z133" i="25"/>
  <c r="I133" i="25"/>
  <c r="X133" i="25"/>
  <c r="H133" i="25"/>
  <c r="AL133" i="25"/>
  <c r="U133" i="25"/>
  <c r="G133" i="25"/>
  <c r="Q133" i="25"/>
  <c r="L133" i="25"/>
  <c r="AH133" i="25"/>
  <c r="AF133" i="25"/>
  <c r="AE133" i="25"/>
  <c r="AK133" i="25"/>
  <c r="AB133" i="25"/>
  <c r="T133" i="25"/>
  <c r="R133" i="25"/>
  <c r="S133" i="25"/>
  <c r="F133" i="25"/>
  <c r="AI107" i="25"/>
  <c r="Y107" i="25"/>
  <c r="O107" i="25"/>
  <c r="AF107" i="25"/>
  <c r="V107" i="25"/>
  <c r="L107" i="25"/>
  <c r="AC107" i="25"/>
  <c r="Q107" i="25"/>
  <c r="AB107" i="25"/>
  <c r="P107" i="25"/>
  <c r="AL107" i="25"/>
  <c r="Z107" i="25"/>
  <c r="M107" i="25"/>
  <c r="AK107" i="25"/>
  <c r="X107" i="25"/>
  <c r="K107" i="25"/>
  <c r="AD107" i="25"/>
  <c r="H107" i="25"/>
  <c r="AA107" i="25"/>
  <c r="G107" i="25"/>
  <c r="U107" i="25"/>
  <c r="T107" i="25"/>
  <c r="S107" i="25"/>
  <c r="J107" i="25"/>
  <c r="I107" i="25"/>
  <c r="I164" i="25" s="1"/>
  <c r="I175" i="25" s="1"/>
  <c r="F107" i="25"/>
  <c r="N107" i="25"/>
  <c r="AJ107" i="25"/>
  <c r="AG107" i="25"/>
  <c r="AE107" i="25"/>
  <c r="W107" i="25"/>
  <c r="AH107" i="25"/>
  <c r="R107" i="25"/>
  <c r="AI113" i="25"/>
  <c r="Y113" i="25"/>
  <c r="O113" i="25"/>
  <c r="AF113" i="25"/>
  <c r="U113" i="25"/>
  <c r="J113" i="25"/>
  <c r="AC113" i="25"/>
  <c r="R113" i="25"/>
  <c r="G113" i="25"/>
  <c r="AL113" i="25"/>
  <c r="X113" i="25"/>
  <c r="K113" i="25"/>
  <c r="AK113" i="25"/>
  <c r="W113" i="25"/>
  <c r="I113" i="25"/>
  <c r="AH113" i="25"/>
  <c r="T113" i="25"/>
  <c r="F113" i="25"/>
  <c r="AG113" i="25"/>
  <c r="S113" i="25"/>
  <c r="AE113" i="25"/>
  <c r="Q113" i="25"/>
  <c r="Z113" i="25"/>
  <c r="V113" i="25"/>
  <c r="N113" i="25"/>
  <c r="M113" i="25"/>
  <c r="L113" i="25"/>
  <c r="AB113" i="25"/>
  <c r="AA113" i="25"/>
  <c r="P113" i="25"/>
  <c r="AD113" i="25"/>
  <c r="H113" i="25"/>
  <c r="AJ113" i="25"/>
  <c r="Z164" i="25"/>
  <c r="Z175" i="25" s="1"/>
  <c r="AG119" i="25"/>
  <c r="AG170" i="25" s="1"/>
  <c r="W119" i="25"/>
  <c r="W170" i="25" s="1"/>
  <c r="M119" i="25"/>
  <c r="M170" i="25" s="1"/>
  <c r="AD119" i="25"/>
  <c r="AD170" i="25" s="1"/>
  <c r="S119" i="25"/>
  <c r="S170" i="25" s="1"/>
  <c r="H119" i="25"/>
  <c r="H170" i="25" s="1"/>
  <c r="AL119" i="25"/>
  <c r="AL170" i="25" s="1"/>
  <c r="AA119" i="25"/>
  <c r="AA170" i="25" s="1"/>
  <c r="P119" i="25"/>
  <c r="P170" i="25" s="1"/>
  <c r="AE119" i="25"/>
  <c r="AE170" i="25" s="1"/>
  <c r="Q119" i="25"/>
  <c r="Q170" i="25" s="1"/>
  <c r="AC119" i="25"/>
  <c r="AC170" i="25" s="1"/>
  <c r="O119" i="25"/>
  <c r="O170" i="25" s="1"/>
  <c r="Z119" i="25"/>
  <c r="Z170" i="25" s="1"/>
  <c r="L119" i="25"/>
  <c r="L170" i="25" s="1"/>
  <c r="Y119" i="25"/>
  <c r="Y170" i="25" s="1"/>
  <c r="K119" i="25"/>
  <c r="K170" i="25" s="1"/>
  <c r="AK119" i="25"/>
  <c r="AK170" i="25" s="1"/>
  <c r="X119" i="25"/>
  <c r="X170" i="25" s="1"/>
  <c r="J119" i="25"/>
  <c r="J170" i="25" s="1"/>
  <c r="N119" i="25"/>
  <c r="N170" i="25" s="1"/>
  <c r="AJ119" i="25"/>
  <c r="AJ170" i="25" s="1"/>
  <c r="I119" i="25"/>
  <c r="I170" i="25" s="1"/>
  <c r="AH119" i="25"/>
  <c r="AH170" i="25" s="1"/>
  <c r="F119" i="25"/>
  <c r="F170" i="25" s="1"/>
  <c r="AB119" i="25"/>
  <c r="AB170" i="25" s="1"/>
  <c r="AF119" i="25"/>
  <c r="AF170" i="25" s="1"/>
  <c r="AI119" i="25"/>
  <c r="AI170" i="25" s="1"/>
  <c r="V119" i="25"/>
  <c r="V170" i="25" s="1"/>
  <c r="U119" i="25"/>
  <c r="U170" i="25" s="1"/>
  <c r="R119" i="25"/>
  <c r="R170" i="25" s="1"/>
  <c r="T119" i="25"/>
  <c r="T170" i="25" s="1"/>
  <c r="G119" i="25"/>
  <c r="G170" i="25" s="1"/>
  <c r="E129" i="25"/>
  <c r="D69" i="1"/>
  <c r="G26" i="7"/>
  <c r="D48" i="7"/>
  <c r="E34" i="1" s="1"/>
  <c r="D34" i="1" s="1"/>
  <c r="H110" i="9"/>
  <c r="E42" i="1"/>
  <c r="D42" i="1" s="1"/>
  <c r="H124" i="9"/>
  <c r="E45" i="1"/>
  <c r="F103" i="9"/>
  <c r="H94" i="9"/>
  <c r="Q89" i="17"/>
  <c r="S89" i="17" s="1"/>
  <c r="U89" i="17" s="1"/>
  <c r="E138" i="1" s="1"/>
  <c r="D138" i="1" s="1"/>
  <c r="Q58" i="20"/>
  <c r="V58" i="20" s="1"/>
  <c r="W58" i="20" s="1"/>
  <c r="O58" i="20"/>
  <c r="P58" i="20" s="1"/>
  <c r="E240" i="17"/>
  <c r="K87" i="20"/>
  <c r="K90" i="20"/>
  <c r="K131" i="3"/>
  <c r="D53" i="1"/>
  <c r="D52" i="1" s="1"/>
  <c r="M256" i="3"/>
  <c r="M257" i="3"/>
  <c r="D59" i="1"/>
  <c r="D56" i="1" s="1"/>
  <c r="D189" i="1" s="1"/>
  <c r="E56" i="1"/>
  <c r="E189" i="1" s="1"/>
  <c r="S185" i="17"/>
  <c r="M195" i="3"/>
  <c r="AG66" i="10"/>
  <c r="E55" i="1"/>
  <c r="D55" i="1" s="1"/>
  <c r="C86" i="11"/>
  <c r="C83" i="11" s="1"/>
  <c r="E83" i="1"/>
  <c r="AG62" i="10"/>
  <c r="E71" i="1"/>
  <c r="D71" i="1" s="1"/>
  <c r="E37" i="1"/>
  <c r="S61" i="17"/>
  <c r="C241" i="17" s="1"/>
  <c r="E241" i="17" s="1"/>
  <c r="U32" i="17"/>
  <c r="Q191" i="17"/>
  <c r="S191" i="17" s="1"/>
  <c r="C261" i="17"/>
  <c r="C48" i="12"/>
  <c r="C38" i="12"/>
  <c r="K132" i="3"/>
  <c r="L253" i="3"/>
  <c r="M252" i="3"/>
  <c r="L252" i="3"/>
  <c r="U84" i="20"/>
  <c r="U86" i="20" s="1"/>
  <c r="U88" i="20" s="1"/>
  <c r="P57" i="20"/>
  <c r="W57" i="20" s="1"/>
  <c r="AG71" i="10"/>
  <c r="E41" i="1"/>
  <c r="D41" i="1" s="1"/>
  <c r="G190" i="17"/>
  <c r="G191" i="17"/>
  <c r="I191" i="17" s="1"/>
  <c r="K191" i="17" s="1"/>
  <c r="D154" i="1"/>
  <c r="D152" i="1" s="1"/>
  <c r="E152" i="1"/>
  <c r="U19" i="19"/>
  <c r="E70" i="1"/>
  <c r="D70" i="1" s="1"/>
  <c r="C135" i="17"/>
  <c r="C133" i="17"/>
  <c r="C134" i="17" s="1"/>
  <c r="E94" i="1"/>
  <c r="D95" i="1"/>
  <c r="D94" i="1" s="1"/>
  <c r="E27" i="5"/>
  <c r="E20" i="5"/>
  <c r="D27" i="5"/>
  <c r="D20" i="5"/>
  <c r="E24" i="5"/>
  <c r="E18" i="5"/>
  <c r="E28" i="5"/>
  <c r="E22" i="5"/>
  <c r="D26" i="5"/>
  <c r="F28" i="5"/>
  <c r="D24" i="5"/>
  <c r="D28" i="5"/>
  <c r="F19" i="5"/>
  <c r="G23" i="5"/>
  <c r="E19" i="5"/>
  <c r="F26" i="5"/>
  <c r="F22" i="5"/>
  <c r="D18" i="5"/>
  <c r="E26" i="5"/>
  <c r="D22" i="5"/>
  <c r="F23" i="5"/>
  <c r="D19" i="5"/>
  <c r="H19" i="5"/>
  <c r="C427" i="2"/>
  <c r="C439" i="2" s="1"/>
  <c r="C453" i="2" s="1"/>
  <c r="C409" i="2"/>
  <c r="K195" i="3"/>
  <c r="K252" i="3"/>
  <c r="H24" i="5"/>
  <c r="F50" i="7"/>
  <c r="AG58" i="10"/>
  <c r="E63" i="1"/>
  <c r="D63" i="1" s="1"/>
  <c r="W158" i="17"/>
  <c r="C253" i="17"/>
  <c r="AC97" i="17"/>
  <c r="AE97" i="17" s="1"/>
  <c r="Q23" i="20"/>
  <c r="O23" i="20"/>
  <c r="AG57" i="10"/>
  <c r="E79" i="1"/>
  <c r="D79" i="1" s="1"/>
  <c r="D76" i="1" s="1"/>
  <c r="M173" i="3"/>
  <c r="L173" i="3"/>
  <c r="K173" i="3"/>
  <c r="E38" i="1"/>
  <c r="D38" i="1" s="1"/>
  <c r="E67" i="5"/>
  <c r="F67" i="5" s="1"/>
  <c r="G67" i="5" s="1"/>
  <c r="M384" i="2"/>
  <c r="M393" i="2" s="1"/>
  <c r="C47" i="12"/>
  <c r="C46" i="12" s="1"/>
  <c r="C37" i="12"/>
  <c r="M163" i="3"/>
  <c r="M162" i="3"/>
  <c r="G30" i="8"/>
  <c r="D181" i="1"/>
  <c r="T23" i="20"/>
  <c r="T80" i="20" s="1"/>
  <c r="U90" i="20" s="1"/>
  <c r="U92" i="20" s="1"/>
  <c r="U23" i="20"/>
  <c r="AG61" i="10"/>
  <c r="E67" i="1"/>
  <c r="W61" i="20"/>
  <c r="E134" i="17"/>
  <c r="J17" i="12"/>
  <c r="L13" i="12"/>
  <c r="L17" i="12" s="1"/>
  <c r="D22" i="12" s="1"/>
  <c r="D19" i="12" s="1"/>
  <c r="Q78" i="20"/>
  <c r="O78" i="20"/>
  <c r="P78" i="20" s="1"/>
  <c r="L62" i="2"/>
  <c r="L64" i="2" s="1"/>
  <c r="E27" i="1" s="1"/>
  <c r="D27" i="1" s="1"/>
  <c r="C49" i="12"/>
  <c r="C39" i="12"/>
  <c r="K196" i="3"/>
  <c r="H64" i="9"/>
  <c r="G39" i="7"/>
  <c r="L150" i="3"/>
  <c r="L246" i="3"/>
  <c r="K149" i="3"/>
  <c r="K150" i="3"/>
  <c r="H26" i="5"/>
  <c r="E40" i="5" s="1"/>
  <c r="F40" i="5" s="1"/>
  <c r="G40" i="5" s="1"/>
  <c r="G59" i="8"/>
  <c r="G45" i="8"/>
  <c r="E54" i="8"/>
  <c r="G54" i="8" s="1"/>
  <c r="G62" i="8" s="1"/>
  <c r="T78" i="20"/>
  <c r="U78" i="20"/>
  <c r="G26" i="5"/>
  <c r="F18" i="5"/>
  <c r="K154" i="3"/>
  <c r="M132" i="3"/>
  <c r="L196" i="3"/>
  <c r="F48" i="7"/>
  <c r="E32" i="1"/>
  <c r="Q24" i="20"/>
  <c r="V24" i="20" s="1"/>
  <c r="O24" i="20"/>
  <c r="P24" i="20" s="1"/>
  <c r="F49" i="7"/>
  <c r="M246" i="3"/>
  <c r="D40" i="1"/>
  <c r="K25" i="17"/>
  <c r="M6" i="17"/>
  <c r="M25" i="17" s="1"/>
  <c r="M191" i="3"/>
  <c r="K191" i="3"/>
  <c r="M196" i="3"/>
  <c r="T24" i="20"/>
  <c r="U24" i="20"/>
  <c r="C78" i="6"/>
  <c r="N78" i="6" s="1"/>
  <c r="N76" i="6"/>
  <c r="M172" i="3"/>
  <c r="L149" i="3"/>
  <c r="M149" i="3"/>
  <c r="F51" i="7"/>
  <c r="E76" i="1"/>
  <c r="I189" i="17"/>
  <c r="K189" i="17" s="1"/>
  <c r="C258" i="17"/>
  <c r="K62" i="2"/>
  <c r="K64" i="2" s="1"/>
  <c r="E26" i="1" s="1"/>
  <c r="Y224" i="17"/>
  <c r="C247" i="17" s="1"/>
  <c r="E247" i="17" s="1"/>
  <c r="E146" i="1" s="1"/>
  <c r="D146" i="1" s="1"/>
  <c r="AA214" i="17"/>
  <c r="Y209" i="17"/>
  <c r="C243" i="17" s="1"/>
  <c r="E243" i="17" s="1"/>
  <c r="E145" i="1" s="1"/>
  <c r="AA199" i="17"/>
  <c r="M28" i="3"/>
  <c r="L28" i="3"/>
  <c r="K28" i="3"/>
  <c r="F27" i="19"/>
  <c r="S60" i="21"/>
  <c r="C59" i="21"/>
  <c r="E162" i="1"/>
  <c r="M33" i="19"/>
  <c r="E61" i="1"/>
  <c r="D69" i="5"/>
  <c r="L172" i="3"/>
  <c r="S117" i="17"/>
  <c r="AA96" i="17" s="1"/>
  <c r="AG59" i="10"/>
  <c r="G28" i="5"/>
  <c r="M62" i="2" s="1"/>
  <c r="M64" i="2" s="1"/>
  <c r="E28" i="1" s="1"/>
  <c r="D28" i="1" s="1"/>
  <c r="F20" i="5"/>
  <c r="M280" i="2" s="1"/>
  <c r="M287" i="2" s="1"/>
  <c r="L153" i="3"/>
  <c r="H27" i="5"/>
  <c r="L162" i="3"/>
  <c r="L131" i="3"/>
  <c r="H103" i="9" l="1"/>
  <c r="F125" i="9"/>
  <c r="H125" i="9"/>
  <c r="D103" i="1"/>
  <c r="D102" i="1" s="1"/>
  <c r="D93" i="1" s="1"/>
  <c r="D192" i="1" s="1"/>
  <c r="E102" i="1"/>
  <c r="E93" i="1" s="1"/>
  <c r="E192" i="1" s="1"/>
  <c r="D158" i="27"/>
  <c r="C278" i="27"/>
  <c r="C265" i="27" s="1"/>
  <c r="H158" i="27"/>
  <c r="G158" i="27"/>
  <c r="Y176" i="26"/>
  <c r="AA176" i="26"/>
  <c r="AA179" i="26" s="1"/>
  <c r="AF176" i="26"/>
  <c r="N170" i="26"/>
  <c r="N176" i="26" s="1"/>
  <c r="N179" i="26" s="1"/>
  <c r="N200" i="26"/>
  <c r="I168" i="26"/>
  <c r="I196" i="26"/>
  <c r="J170" i="26"/>
  <c r="J176" i="26" s="1"/>
  <c r="J179" i="26" s="1"/>
  <c r="J200" i="26"/>
  <c r="R170" i="26"/>
  <c r="R200" i="26"/>
  <c r="AG200" i="26"/>
  <c r="AD173" i="26"/>
  <c r="AD177" i="26" s="1"/>
  <c r="J196" i="26"/>
  <c r="K197" i="26"/>
  <c r="K203" i="26" s="1"/>
  <c r="M197" i="26"/>
  <c r="M203" i="26" s="1"/>
  <c r="K179" i="26"/>
  <c r="AH168" i="26"/>
  <c r="AH176" i="26" s="1"/>
  <c r="AH179" i="26" s="1"/>
  <c r="AH196" i="26"/>
  <c r="AH203" i="26" s="1"/>
  <c r="AL196" i="26"/>
  <c r="L170" i="26"/>
  <c r="L200" i="26"/>
  <c r="AC170" i="26"/>
  <c r="AC200" i="26"/>
  <c r="T171" i="26"/>
  <c r="T176" i="26" s="1"/>
  <c r="T179" i="26" s="1"/>
  <c r="G197" i="26"/>
  <c r="AK173" i="26"/>
  <c r="AK177" i="26" s="1"/>
  <c r="AC173" i="26"/>
  <c r="AC177" i="26" s="1"/>
  <c r="AI200" i="26"/>
  <c r="Z170" i="26"/>
  <c r="Z176" i="26" s="1"/>
  <c r="Z179" i="26" s="1"/>
  <c r="Z200" i="26"/>
  <c r="AG168" i="26"/>
  <c r="AG196" i="26"/>
  <c r="AA168" i="26"/>
  <c r="AA196" i="26"/>
  <c r="F173" i="26"/>
  <c r="F177" i="26" s="1"/>
  <c r="X176" i="26"/>
  <c r="X179" i="26" s="1"/>
  <c r="L197" i="26"/>
  <c r="O196" i="26"/>
  <c r="O203" i="26" s="1"/>
  <c r="AJ171" i="26"/>
  <c r="N168" i="26"/>
  <c r="N196" i="26"/>
  <c r="N203" i="26" s="1"/>
  <c r="AK196" i="26"/>
  <c r="AK203" i="26" s="1"/>
  <c r="M170" i="26"/>
  <c r="M176" i="26" s="1"/>
  <c r="M179" i="26" s="1"/>
  <c r="M200" i="26"/>
  <c r="K200" i="26"/>
  <c r="N173" i="26"/>
  <c r="N177" i="26" s="1"/>
  <c r="W173" i="26"/>
  <c r="W177" i="26" s="1"/>
  <c r="AI197" i="26"/>
  <c r="AI203" i="26" s="1"/>
  <c r="G200" i="26"/>
  <c r="Y203" i="26"/>
  <c r="P168" i="26"/>
  <c r="P196" i="26"/>
  <c r="P203" i="26" s="1"/>
  <c r="S173" i="26"/>
  <c r="S177" i="26" s="1"/>
  <c r="O197" i="26"/>
  <c r="R171" i="26"/>
  <c r="S179" i="26"/>
  <c r="AB168" i="26"/>
  <c r="AB196" i="26"/>
  <c r="AE171" i="26"/>
  <c r="AL179" i="26"/>
  <c r="H176" i="26"/>
  <c r="H179" i="26" s="1"/>
  <c r="AD170" i="26"/>
  <c r="AD200" i="26"/>
  <c r="S171" i="26"/>
  <c r="Q173" i="26"/>
  <c r="Q177" i="26" s="1"/>
  <c r="M173" i="26"/>
  <c r="M177" i="26" s="1"/>
  <c r="L173" i="26"/>
  <c r="L177" i="26" s="1"/>
  <c r="AF171" i="26"/>
  <c r="AE168" i="26"/>
  <c r="AE196" i="26"/>
  <c r="AE203" i="26" s="1"/>
  <c r="V168" i="26"/>
  <c r="V176" i="26" s="1"/>
  <c r="V179" i="26" s="1"/>
  <c r="V196" i="26"/>
  <c r="V203" i="26" s="1"/>
  <c r="T196" i="26"/>
  <c r="T203" i="26" s="1"/>
  <c r="P171" i="26"/>
  <c r="P176" i="26" s="1"/>
  <c r="P179" i="26" s="1"/>
  <c r="X170" i="26"/>
  <c r="X200" i="26"/>
  <c r="AH171" i="26"/>
  <c r="L171" i="26"/>
  <c r="R173" i="26"/>
  <c r="R177" i="26" s="1"/>
  <c r="Z173" i="26"/>
  <c r="Z177" i="26" s="1"/>
  <c r="V173" i="26"/>
  <c r="V177" i="26" s="1"/>
  <c r="I197" i="26"/>
  <c r="AG176" i="26"/>
  <c r="AG179" i="26" s="1"/>
  <c r="F196" i="26"/>
  <c r="U168" i="26"/>
  <c r="U176" i="26" s="1"/>
  <c r="U179" i="26" s="1"/>
  <c r="U196" i="26"/>
  <c r="U203" i="26" s="1"/>
  <c r="S168" i="26"/>
  <c r="S176" i="26" s="1"/>
  <c r="S196" i="26"/>
  <c r="S203" i="26" s="1"/>
  <c r="H171" i="26"/>
  <c r="AK176" i="26"/>
  <c r="AK179" i="26" s="1"/>
  <c r="X171" i="26"/>
  <c r="W170" i="26"/>
  <c r="W200" i="26"/>
  <c r="F170" i="26"/>
  <c r="F176" i="26" s="1"/>
  <c r="F200" i="26"/>
  <c r="W171" i="26"/>
  <c r="O200" i="26"/>
  <c r="T173" i="26"/>
  <c r="T177" i="26" s="1"/>
  <c r="G173" i="26"/>
  <c r="G177" i="26" s="1"/>
  <c r="O173" i="26"/>
  <c r="O177" i="26" s="1"/>
  <c r="O179" i="26" s="1"/>
  <c r="AF173" i="26"/>
  <c r="AF177" i="26" s="1"/>
  <c r="AC171" i="26"/>
  <c r="G176" i="26"/>
  <c r="G179" i="26" s="1"/>
  <c r="S170" i="26"/>
  <c r="S200" i="26"/>
  <c r="AJ196" i="26"/>
  <c r="AJ203" i="26" s="1"/>
  <c r="H168" i="26"/>
  <c r="H196" i="26"/>
  <c r="H203" i="26" s="1"/>
  <c r="P197" i="26"/>
  <c r="G168" i="26"/>
  <c r="G196" i="26"/>
  <c r="AD168" i="26"/>
  <c r="AD176" i="26" s="1"/>
  <c r="AD179" i="26" s="1"/>
  <c r="AD196" i="26"/>
  <c r="M171" i="26"/>
  <c r="Q170" i="26"/>
  <c r="Q200" i="26"/>
  <c r="AE170" i="26"/>
  <c r="AE200" i="26"/>
  <c r="AI173" i="26"/>
  <c r="AI177" i="26" s="1"/>
  <c r="Y173" i="26"/>
  <c r="Y177" i="26" s="1"/>
  <c r="AB173" i="26"/>
  <c r="AB177" i="26" s="1"/>
  <c r="X203" i="26"/>
  <c r="Q168" i="26"/>
  <c r="Q176" i="26" s="1"/>
  <c r="Q196" i="26"/>
  <c r="Q203" i="26" s="1"/>
  <c r="I176" i="26"/>
  <c r="I179" i="26" s="1"/>
  <c r="AF196" i="26"/>
  <c r="AF203" i="26" s="1"/>
  <c r="Z196" i="26"/>
  <c r="AA197" i="26"/>
  <c r="AD197" i="26"/>
  <c r="R168" i="26"/>
  <c r="R196" i="26"/>
  <c r="W168" i="26"/>
  <c r="W196" i="26"/>
  <c r="AC168" i="26"/>
  <c r="AC176" i="26" s="1"/>
  <c r="AC179" i="26" s="1"/>
  <c r="AC196" i="26"/>
  <c r="L168" i="26"/>
  <c r="L196" i="26"/>
  <c r="L203" i="26" s="1"/>
  <c r="AJ170" i="26"/>
  <c r="AJ176" i="26" s="1"/>
  <c r="AJ179" i="26" s="1"/>
  <c r="AJ200" i="26"/>
  <c r="AB170" i="26"/>
  <c r="AB200" i="26"/>
  <c r="AI179" i="26"/>
  <c r="AL197" i="26"/>
  <c r="AJ173" i="26"/>
  <c r="AJ177" i="26" s="1"/>
  <c r="I173" i="26"/>
  <c r="I177" i="26" s="1"/>
  <c r="H173" i="26"/>
  <c r="H177" i="26" s="1"/>
  <c r="AA200" i="26"/>
  <c r="M199" i="25"/>
  <c r="J199" i="25"/>
  <c r="AG164" i="25"/>
  <c r="AG175" i="25" s="1"/>
  <c r="AA164" i="25"/>
  <c r="AA175" i="25" s="1"/>
  <c r="AA197" i="25"/>
  <c r="AH126" i="25"/>
  <c r="X126" i="25"/>
  <c r="N126" i="25"/>
  <c r="AJ126" i="25"/>
  <c r="Y126" i="25"/>
  <c r="M126" i="25"/>
  <c r="AF126" i="25"/>
  <c r="U126" i="25"/>
  <c r="J126" i="25"/>
  <c r="AA126" i="25"/>
  <c r="L126" i="25"/>
  <c r="Z126" i="25"/>
  <c r="K126" i="25"/>
  <c r="AK126" i="25"/>
  <c r="V126" i="25"/>
  <c r="H126" i="25"/>
  <c r="AI126" i="25"/>
  <c r="T126" i="25"/>
  <c r="G126" i="25"/>
  <c r="AG126" i="25"/>
  <c r="S126" i="25"/>
  <c r="F126" i="25"/>
  <c r="AC126" i="25"/>
  <c r="AB126" i="25"/>
  <c r="R126" i="25"/>
  <c r="Q126" i="25"/>
  <c r="P126" i="25"/>
  <c r="O126" i="25"/>
  <c r="I126" i="25"/>
  <c r="AL126" i="25"/>
  <c r="AE126" i="25"/>
  <c r="AD126" i="25"/>
  <c r="W126" i="25"/>
  <c r="M166" i="25"/>
  <c r="AJ164" i="25"/>
  <c r="AJ175" i="25" s="1"/>
  <c r="H164" i="25"/>
  <c r="H175" i="25" s="1"/>
  <c r="AL124" i="25"/>
  <c r="AB124" i="25"/>
  <c r="R124" i="25"/>
  <c r="H124" i="25"/>
  <c r="AG124" i="25"/>
  <c r="V124" i="25"/>
  <c r="K124" i="25"/>
  <c r="AD124" i="25"/>
  <c r="S124" i="25"/>
  <c r="G124" i="25"/>
  <c r="AI124" i="25"/>
  <c r="U124" i="25"/>
  <c r="F124" i="25"/>
  <c r="AH124" i="25"/>
  <c r="T124" i="25"/>
  <c r="AE124" i="25"/>
  <c r="P124" i="25"/>
  <c r="AC124" i="25"/>
  <c r="O124" i="25"/>
  <c r="AA124" i="25"/>
  <c r="N124" i="25"/>
  <c r="Y124" i="25"/>
  <c r="X124" i="25"/>
  <c r="Q124" i="25"/>
  <c r="L124" i="25"/>
  <c r="M124" i="25"/>
  <c r="J124" i="25"/>
  <c r="I124" i="25"/>
  <c r="AK124" i="25"/>
  <c r="AF124" i="25"/>
  <c r="AJ124" i="25"/>
  <c r="AJ197" i="25" s="1"/>
  <c r="Z124" i="25"/>
  <c r="W124" i="25"/>
  <c r="AL198" i="25"/>
  <c r="AE135" i="25"/>
  <c r="U135" i="25"/>
  <c r="K135" i="25"/>
  <c r="K200" i="25" s="1"/>
  <c r="AK135" i="25"/>
  <c r="Z135" i="25"/>
  <c r="O135" i="25"/>
  <c r="AL135" i="25"/>
  <c r="AL200" i="25" s="1"/>
  <c r="Y135" i="25"/>
  <c r="M135" i="25"/>
  <c r="AH135" i="25"/>
  <c r="V135" i="25"/>
  <c r="I135" i="25"/>
  <c r="I200" i="25" s="1"/>
  <c r="AC135" i="25"/>
  <c r="AC200" i="25" s="1"/>
  <c r="N135" i="25"/>
  <c r="AB135" i="25"/>
  <c r="L135" i="25"/>
  <c r="X135" i="25"/>
  <c r="H135" i="25"/>
  <c r="W135" i="25"/>
  <c r="G135" i="25"/>
  <c r="AJ135" i="25"/>
  <c r="T135" i="25"/>
  <c r="F135" i="25"/>
  <c r="S135" i="25"/>
  <c r="R135" i="25"/>
  <c r="P135" i="25"/>
  <c r="AI135" i="25"/>
  <c r="J135" i="25"/>
  <c r="AA135" i="25"/>
  <c r="Q135" i="25"/>
  <c r="AG135" i="25"/>
  <c r="AF135" i="25"/>
  <c r="AF200" i="25" s="1"/>
  <c r="AD135" i="25"/>
  <c r="AD200" i="25" s="1"/>
  <c r="AF199" i="25"/>
  <c r="V169" i="25"/>
  <c r="AE125" i="25"/>
  <c r="U125" i="25"/>
  <c r="K125" i="25"/>
  <c r="AC125" i="25"/>
  <c r="R125" i="25"/>
  <c r="G125" i="25"/>
  <c r="AK125" i="25"/>
  <c r="Z125" i="25"/>
  <c r="O125" i="25"/>
  <c r="AL125" i="25"/>
  <c r="X125" i="25"/>
  <c r="J125" i="25"/>
  <c r="AJ125" i="25"/>
  <c r="W125" i="25"/>
  <c r="I125" i="25"/>
  <c r="AH125" i="25"/>
  <c r="T125" i="25"/>
  <c r="F125" i="25"/>
  <c r="AG125" i="25"/>
  <c r="S125" i="25"/>
  <c r="AF125" i="25"/>
  <c r="Q125" i="25"/>
  <c r="M125" i="25"/>
  <c r="L125" i="25"/>
  <c r="AD125" i="25"/>
  <c r="AB125" i="25"/>
  <c r="AA125" i="25"/>
  <c r="N125" i="25"/>
  <c r="H125" i="25"/>
  <c r="Y125" i="25"/>
  <c r="AI125" i="25"/>
  <c r="V125" i="25"/>
  <c r="P125" i="25"/>
  <c r="U166" i="25"/>
  <c r="I166" i="25"/>
  <c r="AJ199" i="25"/>
  <c r="Z199" i="25"/>
  <c r="AK199" i="25"/>
  <c r="F164" i="25"/>
  <c r="F175" i="25" s="1"/>
  <c r="W200" i="25"/>
  <c r="AJ120" i="25"/>
  <c r="Z120" i="25"/>
  <c r="P120" i="25"/>
  <c r="F120" i="25"/>
  <c r="F196" i="25" s="1"/>
  <c r="AL120" i="25"/>
  <c r="AA120" i="25"/>
  <c r="AA171" i="25" s="1"/>
  <c r="O120" i="25"/>
  <c r="AH120" i="25"/>
  <c r="W120" i="25"/>
  <c r="L120" i="25"/>
  <c r="AG120" i="25"/>
  <c r="T120" i="25"/>
  <c r="G120" i="25"/>
  <c r="AF120" i="25"/>
  <c r="AF196" i="25" s="1"/>
  <c r="S120" i="25"/>
  <c r="AD120" i="25"/>
  <c r="Q120" i="25"/>
  <c r="AC120" i="25"/>
  <c r="N120" i="25"/>
  <c r="AB120" i="25"/>
  <c r="AB171" i="25" s="1"/>
  <c r="AB176" i="25" s="1"/>
  <c r="M120" i="25"/>
  <c r="X120" i="25"/>
  <c r="V120" i="25"/>
  <c r="R120" i="25"/>
  <c r="R196" i="25" s="1"/>
  <c r="J120" i="25"/>
  <c r="J196" i="25" s="1"/>
  <c r="K120" i="25"/>
  <c r="K196" i="25" s="1"/>
  <c r="AK120" i="25"/>
  <c r="AI120" i="25"/>
  <c r="AE120" i="25"/>
  <c r="U120" i="25"/>
  <c r="Y120" i="25"/>
  <c r="I120" i="25"/>
  <c r="H120" i="25"/>
  <c r="W166" i="25"/>
  <c r="S166" i="25"/>
  <c r="AI123" i="25"/>
  <c r="Y123" i="25"/>
  <c r="O123" i="25"/>
  <c r="AK123" i="25"/>
  <c r="Z123" i="25"/>
  <c r="N123" i="25"/>
  <c r="AG123" i="25"/>
  <c r="V123" i="25"/>
  <c r="K123" i="25"/>
  <c r="AD123" i="25"/>
  <c r="Q123" i="25"/>
  <c r="AC123" i="25"/>
  <c r="P123" i="25"/>
  <c r="AA123" i="25"/>
  <c r="L123" i="25"/>
  <c r="X123" i="25"/>
  <c r="J123" i="25"/>
  <c r="AL123" i="25"/>
  <c r="W123" i="25"/>
  <c r="I123" i="25"/>
  <c r="I197" i="25" s="1"/>
  <c r="M123" i="25"/>
  <c r="AJ123" i="25"/>
  <c r="H123" i="25"/>
  <c r="AF123" i="25"/>
  <c r="F123" i="25"/>
  <c r="AB123" i="25"/>
  <c r="AE123" i="25"/>
  <c r="AE197" i="25" s="1"/>
  <c r="G123" i="25"/>
  <c r="AH123" i="25"/>
  <c r="T123" i="25"/>
  <c r="U123" i="25"/>
  <c r="S123" i="25"/>
  <c r="R123" i="25"/>
  <c r="Q198" i="25"/>
  <c r="R169" i="25"/>
  <c r="J169" i="25"/>
  <c r="AA169" i="25"/>
  <c r="AA176" i="25" s="1"/>
  <c r="AH136" i="25"/>
  <c r="X136" i="25"/>
  <c r="X201" i="25" s="1"/>
  <c r="N136" i="25"/>
  <c r="AF136" i="25"/>
  <c r="AF201" i="25" s="1"/>
  <c r="U136" i="25"/>
  <c r="J136" i="25"/>
  <c r="J201" i="25" s="1"/>
  <c r="AK136" i="25"/>
  <c r="Y136" i="25"/>
  <c r="Y201" i="25" s="1"/>
  <c r="L136" i="25"/>
  <c r="L201" i="25" s="1"/>
  <c r="AG136" i="25"/>
  <c r="T136" i="25"/>
  <c r="H136" i="25"/>
  <c r="AL136" i="25"/>
  <c r="AL201" i="25" s="1"/>
  <c r="V136" i="25"/>
  <c r="V201" i="25" s="1"/>
  <c r="F136" i="25"/>
  <c r="F201" i="25" s="1"/>
  <c r="AJ136" i="25"/>
  <c r="AJ201" i="25" s="1"/>
  <c r="S136" i="25"/>
  <c r="AE136" i="25"/>
  <c r="Q136" i="25"/>
  <c r="Q201" i="25" s="1"/>
  <c r="AD136" i="25"/>
  <c r="P136" i="25"/>
  <c r="P201" i="25" s="1"/>
  <c r="AC136" i="25"/>
  <c r="O136" i="25"/>
  <c r="O201" i="25" s="1"/>
  <c r="I136" i="25"/>
  <c r="I201" i="25" s="1"/>
  <c r="G136" i="25"/>
  <c r="AB136" i="25"/>
  <c r="Z136" i="25"/>
  <c r="AA136" i="25"/>
  <c r="AA201" i="25" s="1"/>
  <c r="M136" i="25"/>
  <c r="M201" i="25" s="1"/>
  <c r="K136" i="25"/>
  <c r="W136" i="25"/>
  <c r="R136" i="25"/>
  <c r="AI136" i="25"/>
  <c r="Q166" i="25"/>
  <c r="AG129" i="25"/>
  <c r="AG199" i="25" s="1"/>
  <c r="W129" i="25"/>
  <c r="M129" i="25"/>
  <c r="AI129" i="25"/>
  <c r="X129" i="25"/>
  <c r="X199" i="25" s="1"/>
  <c r="L129" i="25"/>
  <c r="AE129" i="25"/>
  <c r="T129" i="25"/>
  <c r="I129" i="25"/>
  <c r="I199" i="25" s="1"/>
  <c r="AK129" i="25"/>
  <c r="V129" i="25"/>
  <c r="V199" i="25" s="1"/>
  <c r="H129" i="25"/>
  <c r="H199" i="25" s="1"/>
  <c r="AJ129" i="25"/>
  <c r="U129" i="25"/>
  <c r="U199" i="25" s="1"/>
  <c r="G129" i="25"/>
  <c r="G199" i="25" s="1"/>
  <c r="AF129" i="25"/>
  <c r="R129" i="25"/>
  <c r="R199" i="25" s="1"/>
  <c r="AD129" i="25"/>
  <c r="Q129" i="25"/>
  <c r="Q199" i="25" s="1"/>
  <c r="AC129" i="25"/>
  <c r="AC199" i="25" s="1"/>
  <c r="P129" i="25"/>
  <c r="P199" i="25" s="1"/>
  <c r="AL129" i="25"/>
  <c r="J129" i="25"/>
  <c r="AH129" i="25"/>
  <c r="AH199" i="25" s="1"/>
  <c r="F129" i="25"/>
  <c r="AA129" i="25"/>
  <c r="Z129" i="25"/>
  <c r="Y129" i="25"/>
  <c r="N129" i="25"/>
  <c r="N199" i="25" s="1"/>
  <c r="K129" i="25"/>
  <c r="K199" i="25" s="1"/>
  <c r="S129" i="25"/>
  <c r="S199" i="25" s="1"/>
  <c r="O129" i="25"/>
  <c r="AB129" i="25"/>
  <c r="AD199" i="25"/>
  <c r="AI199" i="25"/>
  <c r="AB198" i="25"/>
  <c r="AG198" i="25"/>
  <c r="O169" i="25"/>
  <c r="O196" i="25"/>
  <c r="I196" i="25"/>
  <c r="F166" i="25"/>
  <c r="K166" i="25"/>
  <c r="AF166" i="25"/>
  <c r="AL199" i="25"/>
  <c r="R197" i="25"/>
  <c r="R164" i="25"/>
  <c r="R175" i="25" s="1"/>
  <c r="S197" i="25"/>
  <c r="M197" i="25"/>
  <c r="O164" i="25"/>
  <c r="O175" i="25" s="1"/>
  <c r="L164" i="25"/>
  <c r="L175" i="25" s="1"/>
  <c r="AA200" i="25"/>
  <c r="Q200" i="25"/>
  <c r="X198" i="25"/>
  <c r="S169" i="25"/>
  <c r="S196" i="25"/>
  <c r="AG166" i="25"/>
  <c r="X166" i="25"/>
  <c r="O166" i="25"/>
  <c r="AB197" i="25"/>
  <c r="X200" i="25"/>
  <c r="N166" i="25"/>
  <c r="AK137" i="25"/>
  <c r="AA137" i="25"/>
  <c r="AA173" i="25" s="1"/>
  <c r="AA177" i="25" s="1"/>
  <c r="Q137" i="25"/>
  <c r="G137" i="25"/>
  <c r="G196" i="25" s="1"/>
  <c r="AC137" i="25"/>
  <c r="R137" i="25"/>
  <c r="F137" i="25"/>
  <c r="AJ137" i="25"/>
  <c r="AJ173" i="25" s="1"/>
  <c r="AJ177" i="25" s="1"/>
  <c r="X137" i="25"/>
  <c r="L137" i="25"/>
  <c r="L173" i="25" s="1"/>
  <c r="L177" i="25" s="1"/>
  <c r="AG137" i="25"/>
  <c r="U137" i="25"/>
  <c r="I137" i="25"/>
  <c r="I173" i="25" s="1"/>
  <c r="I177" i="25" s="1"/>
  <c r="AE137" i="25"/>
  <c r="O137" i="25"/>
  <c r="O173" i="25" s="1"/>
  <c r="O177" i="25" s="1"/>
  <c r="AD137" i="25"/>
  <c r="N137" i="25"/>
  <c r="N173" i="25" s="1"/>
  <c r="N177" i="25" s="1"/>
  <c r="Z137" i="25"/>
  <c r="Z173" i="25" s="1"/>
  <c r="Z177" i="25" s="1"/>
  <c r="K137" i="25"/>
  <c r="Y137" i="25"/>
  <c r="J137" i="25"/>
  <c r="J173" i="25" s="1"/>
  <c r="J177" i="25" s="1"/>
  <c r="W137" i="25"/>
  <c r="H137" i="25"/>
  <c r="H173" i="25" s="1"/>
  <c r="H177" i="25" s="1"/>
  <c r="AH137" i="25"/>
  <c r="AF137" i="25"/>
  <c r="AF173" i="25" s="1"/>
  <c r="AF177" i="25" s="1"/>
  <c r="V137" i="25"/>
  <c r="S137" i="25"/>
  <c r="T137" i="25"/>
  <c r="AB137" i="25"/>
  <c r="P137" i="25"/>
  <c r="P173" i="25" s="1"/>
  <c r="P177" i="25" s="1"/>
  <c r="M137" i="25"/>
  <c r="AL137" i="25"/>
  <c r="AL173" i="25" s="1"/>
  <c r="AL177" i="25" s="1"/>
  <c r="AI137" i="25"/>
  <c r="Q197" i="25"/>
  <c r="W199" i="25"/>
  <c r="M200" i="25"/>
  <c r="G169" i="25"/>
  <c r="O199" i="25"/>
  <c r="K164" i="25"/>
  <c r="K175" i="25" s="1"/>
  <c r="AC164" i="25"/>
  <c r="AC175" i="25" s="1"/>
  <c r="J198" i="25"/>
  <c r="AH166" i="25"/>
  <c r="Y199" i="25"/>
  <c r="X164" i="25"/>
  <c r="X175" i="25" s="1"/>
  <c r="V200" i="25"/>
  <c r="AE199" i="25"/>
  <c r="AH164" i="25"/>
  <c r="AH175" i="25" s="1"/>
  <c r="T164" i="25"/>
  <c r="T175" i="25" s="1"/>
  <c r="M169" i="25"/>
  <c r="M196" i="25"/>
  <c r="M164" i="25"/>
  <c r="M175" i="25" s="1"/>
  <c r="AL166" i="25"/>
  <c r="AB199" i="25"/>
  <c r="F199" i="25"/>
  <c r="U164" i="25"/>
  <c r="U175" i="25" s="1"/>
  <c r="AI197" i="25"/>
  <c r="AI164" i="25"/>
  <c r="AI175" i="25" s="1"/>
  <c r="N164" i="25"/>
  <c r="N175" i="25" s="1"/>
  <c r="AE200" i="25"/>
  <c r="P196" i="25"/>
  <c r="H198" i="25"/>
  <c r="R198" i="25"/>
  <c r="F169" i="25"/>
  <c r="AF122" i="25"/>
  <c r="AF197" i="25" s="1"/>
  <c r="V122" i="25"/>
  <c r="V197" i="25" s="1"/>
  <c r="L122" i="25"/>
  <c r="L197" i="25" s="1"/>
  <c r="AC122" i="25"/>
  <c r="AC197" i="25" s="1"/>
  <c r="R122" i="25"/>
  <c r="G122" i="25"/>
  <c r="AK122" i="25"/>
  <c r="AK197" i="25" s="1"/>
  <c r="Z122" i="25"/>
  <c r="O122" i="25"/>
  <c r="O197" i="25" s="1"/>
  <c r="AA122" i="25"/>
  <c r="M122" i="25"/>
  <c r="Y122" i="25"/>
  <c r="Y197" i="25" s="1"/>
  <c r="K122" i="25"/>
  <c r="K197" i="25" s="1"/>
  <c r="AJ122" i="25"/>
  <c r="W122" i="25"/>
  <c r="W197" i="25" s="1"/>
  <c r="I122" i="25"/>
  <c r="AI122" i="25"/>
  <c r="U122" i="25"/>
  <c r="U197" i="25" s="1"/>
  <c r="H122" i="25"/>
  <c r="H197" i="25" s="1"/>
  <c r="AH122" i="25"/>
  <c r="AH197" i="25" s="1"/>
  <c r="T122" i="25"/>
  <c r="T197" i="25" s="1"/>
  <c r="F122" i="25"/>
  <c r="F197" i="25" s="1"/>
  <c r="AD122" i="25"/>
  <c r="AD197" i="25" s="1"/>
  <c r="AB122" i="25"/>
  <c r="S122" i="25"/>
  <c r="P122" i="25"/>
  <c r="P197" i="25" s="1"/>
  <c r="Q122" i="25"/>
  <c r="AL122" i="25"/>
  <c r="AL197" i="25" s="1"/>
  <c r="AG122" i="25"/>
  <c r="AG197" i="25" s="1"/>
  <c r="J122" i="25"/>
  <c r="J197" i="25" s="1"/>
  <c r="AE122" i="25"/>
  <c r="X122" i="25"/>
  <c r="X197" i="25" s="1"/>
  <c r="N122" i="25"/>
  <c r="N197" i="25" s="1"/>
  <c r="J166" i="25"/>
  <c r="L166" i="25"/>
  <c r="AK166" i="25"/>
  <c r="AD138" i="25"/>
  <c r="T138" i="25"/>
  <c r="J138" i="25"/>
  <c r="AJ138" i="25"/>
  <c r="Y138" i="25"/>
  <c r="N138" i="25"/>
  <c r="AI138" i="25"/>
  <c r="W138" i="25"/>
  <c r="K138" i="25"/>
  <c r="AF138" i="25"/>
  <c r="S138" i="25"/>
  <c r="G138" i="25"/>
  <c r="X138" i="25"/>
  <c r="H138" i="25"/>
  <c r="AL138" i="25"/>
  <c r="V138" i="25"/>
  <c r="F138" i="25"/>
  <c r="AH138" i="25"/>
  <c r="R138" i="25"/>
  <c r="AG138" i="25"/>
  <c r="Q138" i="25"/>
  <c r="AE138" i="25"/>
  <c r="P138" i="25"/>
  <c r="O138" i="25"/>
  <c r="M138" i="25"/>
  <c r="I138" i="25"/>
  <c r="AB138" i="25"/>
  <c r="AK138" i="25"/>
  <c r="AC138" i="25"/>
  <c r="AA138" i="25"/>
  <c r="Z138" i="25"/>
  <c r="U138" i="25"/>
  <c r="L138" i="25"/>
  <c r="AI166" i="25"/>
  <c r="J164" i="25"/>
  <c r="J175" i="25" s="1"/>
  <c r="L196" i="25"/>
  <c r="W169" i="25"/>
  <c r="AA199" i="25"/>
  <c r="Z197" i="25"/>
  <c r="AF164" i="25"/>
  <c r="AF175" i="25" s="1"/>
  <c r="AD198" i="25"/>
  <c r="Y169" i="25"/>
  <c r="H166" i="25"/>
  <c r="Z166" i="25"/>
  <c r="V164" i="25"/>
  <c r="V175" i="25" s="1"/>
  <c r="L199" i="25"/>
  <c r="T199" i="25"/>
  <c r="AE164" i="25"/>
  <c r="AE175" i="25" s="1"/>
  <c r="G197" i="25"/>
  <c r="G164" i="25"/>
  <c r="G175" i="25" s="1"/>
  <c r="Y200" i="25"/>
  <c r="AB164" i="25"/>
  <c r="AB175" i="25" s="1"/>
  <c r="T198" i="25"/>
  <c r="AK198" i="25"/>
  <c r="AE198" i="25"/>
  <c r="L198" i="25"/>
  <c r="S164" i="25"/>
  <c r="S175" i="25" s="1"/>
  <c r="AF132" i="25"/>
  <c r="V132" i="25"/>
  <c r="L132" i="25"/>
  <c r="L200" i="25" s="1"/>
  <c r="AK132" i="25"/>
  <c r="AK200" i="25" s="1"/>
  <c r="Z132" i="25"/>
  <c r="Z200" i="25" s="1"/>
  <c r="O132" i="25"/>
  <c r="O200" i="25" s="1"/>
  <c r="AA132" i="25"/>
  <c r="N132" i="25"/>
  <c r="N200" i="25" s="1"/>
  <c r="AI132" i="25"/>
  <c r="AI200" i="25" s="1"/>
  <c r="W132" i="25"/>
  <c r="J132" i="25"/>
  <c r="J200" i="25" s="1"/>
  <c r="AL132" i="25"/>
  <c r="U132" i="25"/>
  <c r="U200" i="25" s="1"/>
  <c r="G132" i="25"/>
  <c r="G200" i="25" s="1"/>
  <c r="AJ132" i="25"/>
  <c r="AJ200" i="25" s="1"/>
  <c r="T132" i="25"/>
  <c r="T200" i="25" s="1"/>
  <c r="F132" i="25"/>
  <c r="F200" i="25" s="1"/>
  <c r="AG132" i="25"/>
  <c r="AG200" i="25" s="1"/>
  <c r="R132" i="25"/>
  <c r="R200" i="25" s="1"/>
  <c r="AE132" i="25"/>
  <c r="Q132" i="25"/>
  <c r="AD132" i="25"/>
  <c r="P132" i="25"/>
  <c r="P200" i="25" s="1"/>
  <c r="X132" i="25"/>
  <c r="S132" i="25"/>
  <c r="S200" i="25" s="1"/>
  <c r="K132" i="25"/>
  <c r="I132" i="25"/>
  <c r="H132" i="25"/>
  <c r="H200" i="25" s="1"/>
  <c r="AH132" i="25"/>
  <c r="AH200" i="25" s="1"/>
  <c r="AC132" i="25"/>
  <c r="AB132" i="25"/>
  <c r="AB200" i="25" s="1"/>
  <c r="Y132" i="25"/>
  <c r="M132" i="25"/>
  <c r="AD164" i="25"/>
  <c r="AD175" i="25" s="1"/>
  <c r="V166" i="25"/>
  <c r="Y166" i="25"/>
  <c r="G166" i="25"/>
  <c r="C45" i="12"/>
  <c r="C35" i="12"/>
  <c r="U96" i="20"/>
  <c r="U98" i="20" s="1"/>
  <c r="U94" i="20"/>
  <c r="D37" i="1"/>
  <c r="D35" i="1" s="1"/>
  <c r="E35" i="1"/>
  <c r="E160" i="1"/>
  <c r="D162" i="1"/>
  <c r="D160" i="1" s="1"/>
  <c r="W24" i="20"/>
  <c r="V78" i="20"/>
  <c r="W78" i="20" s="1"/>
  <c r="E54" i="5"/>
  <c r="F54" i="5" s="1"/>
  <c r="G54" i="5" s="1"/>
  <c r="L384" i="2"/>
  <c r="L393" i="2" s="1"/>
  <c r="M53" i="2"/>
  <c r="M55" i="2" s="1"/>
  <c r="E63" i="5"/>
  <c r="C239" i="17"/>
  <c r="E239" i="17" s="1"/>
  <c r="L241" i="2"/>
  <c r="L243" i="2" s="1"/>
  <c r="E52" i="5"/>
  <c r="F52" i="5" s="1"/>
  <c r="G52" i="5" s="1"/>
  <c r="E175" i="1"/>
  <c r="D176" i="1"/>
  <c r="D175" i="1" s="1"/>
  <c r="AA209" i="17"/>
  <c r="AC199" i="17"/>
  <c r="AC209" i="17" s="1"/>
  <c r="D32" i="1"/>
  <c r="L280" i="2"/>
  <c r="L287" i="2" s="1"/>
  <c r="D83" i="1"/>
  <c r="D81" i="1" s="1"/>
  <c r="E81" i="1"/>
  <c r="E143" i="1"/>
  <c r="D145" i="1"/>
  <c r="D143" i="1" s="1"/>
  <c r="F54" i="7"/>
  <c r="E50" i="5"/>
  <c r="L53" i="2"/>
  <c r="L55" i="2" s="1"/>
  <c r="AA224" i="17"/>
  <c r="AC214" i="17"/>
  <c r="AC224" i="17" s="1"/>
  <c r="C231" i="17"/>
  <c r="E133" i="1"/>
  <c r="M125" i="17"/>
  <c r="Q124" i="17" s="1"/>
  <c r="K125" i="17"/>
  <c r="E33" i="1"/>
  <c r="D33" i="1" s="1"/>
  <c r="E52" i="1"/>
  <c r="K92" i="20"/>
  <c r="D438" i="2"/>
  <c r="E438" i="2" s="1"/>
  <c r="G438" i="2" s="1"/>
  <c r="E452" i="2" s="1"/>
  <c r="M289" i="2"/>
  <c r="AC96" i="17"/>
  <c r="AE96" i="17" s="1"/>
  <c r="C252" i="17"/>
  <c r="E29" i="1"/>
  <c r="D29" i="1" s="1"/>
  <c r="R87" i="6"/>
  <c r="E39" i="1"/>
  <c r="D174" i="1" a="1"/>
  <c r="D174" i="1" s="1"/>
  <c r="D173" i="1" s="1"/>
  <c r="E173" i="1"/>
  <c r="C36" i="12"/>
  <c r="E68" i="1"/>
  <c r="D61" i="1"/>
  <c r="D60" i="1" s="1"/>
  <c r="E60" i="1"/>
  <c r="E65" i="5"/>
  <c r="F65" i="5" s="1"/>
  <c r="G65" i="5" s="1"/>
  <c r="M241" i="2"/>
  <c r="M243" i="2" s="1"/>
  <c r="D26" i="1"/>
  <c r="D25" i="1" s="1"/>
  <c r="E25" i="1"/>
  <c r="D39" i="1"/>
  <c r="K280" i="2"/>
  <c r="K287" i="2" s="1"/>
  <c r="D67" i="1"/>
  <c r="D64" i="1" s="1"/>
  <c r="E64" i="1"/>
  <c r="P23" i="20"/>
  <c r="P80" i="20" s="1"/>
  <c r="U102" i="20" s="1"/>
  <c r="U104" i="20" s="1"/>
  <c r="E157" i="1" s="1"/>
  <c r="O84" i="20"/>
  <c r="O86" i="20" s="1"/>
  <c r="O90" i="20" s="1"/>
  <c r="O92" i="20" s="1"/>
  <c r="O80" i="20"/>
  <c r="K53" i="2"/>
  <c r="K55" i="2" s="1"/>
  <c r="E36" i="5"/>
  <c r="K384" i="2"/>
  <c r="K393" i="2" s="1"/>
  <c r="D68" i="1"/>
  <c r="D439" i="2"/>
  <c r="E439" i="2" s="1"/>
  <c r="G439" i="2" s="1"/>
  <c r="E453" i="2" s="1"/>
  <c r="M395" i="2"/>
  <c r="E20" i="1" s="1"/>
  <c r="D20" i="1" s="1"/>
  <c r="K241" i="2"/>
  <c r="K243" i="2" s="1"/>
  <c r="E38" i="5"/>
  <c r="F38" i="5" s="1"/>
  <c r="G38" i="5" s="1"/>
  <c r="V23" i="20"/>
  <c r="W23" i="20" s="1"/>
  <c r="Q80" i="20"/>
  <c r="G192" i="17"/>
  <c r="I190" i="17"/>
  <c r="K190" i="17" s="1"/>
  <c r="U61" i="17"/>
  <c r="W32" i="17"/>
  <c r="W61" i="17" s="1"/>
  <c r="D45" i="1"/>
  <c r="D43" i="1" s="1"/>
  <c r="E43" i="1"/>
  <c r="D47" i="1" l="1"/>
  <c r="G203" i="26"/>
  <c r="L176" i="26"/>
  <c r="L179" i="26" s="1"/>
  <c r="Z203" i="26"/>
  <c r="AC203" i="26"/>
  <c r="AF179" i="26"/>
  <c r="AL203" i="26"/>
  <c r="W176" i="26"/>
  <c r="W179" i="26" s="1"/>
  <c r="AE176" i="26"/>
  <c r="AE179" i="26" s="1"/>
  <c r="AA203" i="26"/>
  <c r="R203" i="26"/>
  <c r="Q179" i="26"/>
  <c r="Y179" i="26"/>
  <c r="I203" i="26"/>
  <c r="R176" i="26"/>
  <c r="R179" i="26" s="1"/>
  <c r="AB203" i="26"/>
  <c r="AG203" i="26"/>
  <c r="J203" i="26"/>
  <c r="W203" i="26"/>
  <c r="AD203" i="26"/>
  <c r="F179" i="26"/>
  <c r="F203" i="26"/>
  <c r="AB176" i="26"/>
  <c r="AB179" i="26" s="1"/>
  <c r="R176" i="25"/>
  <c r="Q176" i="25"/>
  <c r="J203" i="25"/>
  <c r="AF203" i="25"/>
  <c r="F203" i="25"/>
  <c r="X176" i="25"/>
  <c r="K203" i="25"/>
  <c r="G203" i="25"/>
  <c r="L203" i="25"/>
  <c r="T173" i="25"/>
  <c r="T177" i="25" s="1"/>
  <c r="S203" i="25"/>
  <c r="I203" i="25"/>
  <c r="U171" i="25"/>
  <c r="U176" i="25" s="1"/>
  <c r="U179" i="25" s="1"/>
  <c r="L171" i="25"/>
  <c r="AC179" i="25"/>
  <c r="S173" i="25"/>
  <c r="S177" i="25" s="1"/>
  <c r="F173" i="25"/>
  <c r="F177" i="25" s="1"/>
  <c r="F179" i="25" s="1"/>
  <c r="AE201" i="25"/>
  <c r="N171" i="25"/>
  <c r="G176" i="25"/>
  <c r="N179" i="25"/>
  <c r="V173" i="25"/>
  <c r="V177" i="25" s="1"/>
  <c r="AD173" i="25"/>
  <c r="AD177" i="25" s="1"/>
  <c r="R173" i="25"/>
  <c r="R177" i="25" s="1"/>
  <c r="R179" i="25"/>
  <c r="Z201" i="25"/>
  <c r="S201" i="25"/>
  <c r="AK201" i="25"/>
  <c r="AI171" i="25"/>
  <c r="AI176" i="25" s="1"/>
  <c r="AI179" i="25" s="1"/>
  <c r="AI196" i="25"/>
  <c r="AI203" i="25" s="1"/>
  <c r="AC171" i="25"/>
  <c r="AC176" i="25" s="1"/>
  <c r="AC196" i="25"/>
  <c r="AC203" i="25" s="1"/>
  <c r="AH171" i="25"/>
  <c r="AH176" i="25" s="1"/>
  <c r="AH179" i="25" s="1"/>
  <c r="AH196" i="25"/>
  <c r="AH203" i="25" s="1"/>
  <c r="N176" i="25"/>
  <c r="Z196" i="25"/>
  <c r="Z203" i="25" s="1"/>
  <c r="O203" i="25"/>
  <c r="AE171" i="25"/>
  <c r="AE176" i="25" s="1"/>
  <c r="AE196" i="25"/>
  <c r="AE203" i="25" s="1"/>
  <c r="W171" i="25"/>
  <c r="W176" i="25" s="1"/>
  <c r="W179" i="25" s="1"/>
  <c r="Y176" i="25"/>
  <c r="AC173" i="25"/>
  <c r="AC177" i="25" s="1"/>
  <c r="AB201" i="25"/>
  <c r="AK171" i="25"/>
  <c r="AK196" i="25"/>
  <c r="AK203" i="25" s="1"/>
  <c r="Q171" i="25"/>
  <c r="Q196" i="25"/>
  <c r="Q203" i="25" s="1"/>
  <c r="O171" i="25"/>
  <c r="O176" i="25" s="1"/>
  <c r="O179" i="25" s="1"/>
  <c r="V196" i="25"/>
  <c r="V203" i="25" s="1"/>
  <c r="AI173" i="25"/>
  <c r="AI177" i="25" s="1"/>
  <c r="N201" i="25"/>
  <c r="F171" i="25"/>
  <c r="U196" i="25"/>
  <c r="U203" i="25" s="1"/>
  <c r="P203" i="25"/>
  <c r="N196" i="25"/>
  <c r="N203" i="25" s="1"/>
  <c r="M173" i="25"/>
  <c r="M177" i="25" s="1"/>
  <c r="AG173" i="25"/>
  <c r="AG177" i="25" s="1"/>
  <c r="AK173" i="25"/>
  <c r="AK177" i="25" s="1"/>
  <c r="AF176" i="25"/>
  <c r="AF179" i="25" s="1"/>
  <c r="R201" i="25"/>
  <c r="R203" i="25" s="1"/>
  <c r="AC201" i="25"/>
  <c r="H201" i="25"/>
  <c r="H171" i="25"/>
  <c r="H176" i="25" s="1"/>
  <c r="H179" i="25" s="1"/>
  <c r="H196" i="25"/>
  <c r="H203" i="25" s="1"/>
  <c r="V171" i="25"/>
  <c r="V176" i="25" s="1"/>
  <c r="V179" i="25" s="1"/>
  <c r="G171" i="25"/>
  <c r="P171" i="25"/>
  <c r="P176" i="25" s="1"/>
  <c r="P179" i="25" s="1"/>
  <c r="I176" i="25"/>
  <c r="I179" i="25" s="1"/>
  <c r="AA179" i="25"/>
  <c r="AK176" i="25"/>
  <c r="AK179" i="25" s="1"/>
  <c r="M203" i="25"/>
  <c r="AH173" i="25"/>
  <c r="AH177" i="25" s="1"/>
  <c r="AE173" i="25"/>
  <c r="AE177" i="25" s="1"/>
  <c r="AE179" i="25" s="1"/>
  <c r="G173" i="25"/>
  <c r="G177" i="25" s="1"/>
  <c r="G201" i="25"/>
  <c r="U201" i="25"/>
  <c r="K171" i="25"/>
  <c r="K176" i="25" s="1"/>
  <c r="K179" i="25" s="1"/>
  <c r="AD171" i="25"/>
  <c r="AD176" i="25" s="1"/>
  <c r="AD196" i="25"/>
  <c r="AJ179" i="25"/>
  <c r="AD179" i="25"/>
  <c r="L176" i="25"/>
  <c r="L179" i="25" s="1"/>
  <c r="Q173" i="25"/>
  <c r="Q177" i="25" s="1"/>
  <c r="J171" i="25"/>
  <c r="J176" i="25" s="1"/>
  <c r="J179" i="25" s="1"/>
  <c r="S171" i="25"/>
  <c r="S176" i="25" s="1"/>
  <c r="S179" i="25" s="1"/>
  <c r="AL171" i="25"/>
  <c r="AL176" i="25" s="1"/>
  <c r="AL179" i="25" s="1"/>
  <c r="AL196" i="25"/>
  <c r="AL203" i="25" s="1"/>
  <c r="W173" i="25"/>
  <c r="W177" i="25" s="1"/>
  <c r="U173" i="25"/>
  <c r="U177" i="25" s="1"/>
  <c r="AI201" i="25"/>
  <c r="R171" i="25"/>
  <c r="AF171" i="25"/>
  <c r="W196" i="25"/>
  <c r="W203" i="25" s="1"/>
  <c r="AB196" i="25"/>
  <c r="AB203" i="25" s="1"/>
  <c r="Y173" i="25"/>
  <c r="Y177" i="25" s="1"/>
  <c r="W201" i="25"/>
  <c r="T201" i="25"/>
  <c r="AH201" i="25"/>
  <c r="I171" i="25"/>
  <c r="X171" i="25"/>
  <c r="X196" i="25"/>
  <c r="X203" i="25" s="1"/>
  <c r="T171" i="25"/>
  <c r="T176" i="25" s="1"/>
  <c r="T179" i="25" s="1"/>
  <c r="T196" i="25"/>
  <c r="T203" i="25" s="1"/>
  <c r="Z171" i="25"/>
  <c r="Z176" i="25" s="1"/>
  <c r="Z179" i="25" s="1"/>
  <c r="G179" i="25"/>
  <c r="Y196" i="25"/>
  <c r="Y203" i="25" s="1"/>
  <c r="AB173" i="25"/>
  <c r="AB177" i="25" s="1"/>
  <c r="AB179" i="25" s="1"/>
  <c r="K173" i="25"/>
  <c r="K177" i="25" s="1"/>
  <c r="X173" i="25"/>
  <c r="X177" i="25" s="1"/>
  <c r="X179" i="25" s="1"/>
  <c r="AJ196" i="25"/>
  <c r="AJ203" i="25" s="1"/>
  <c r="F176" i="25"/>
  <c r="K201" i="25"/>
  <c r="AD201" i="25"/>
  <c r="AG201" i="25"/>
  <c r="AA196" i="25"/>
  <c r="AA203" i="25" s="1"/>
  <c r="Y171" i="25"/>
  <c r="M171" i="25"/>
  <c r="M176" i="25" s="1"/>
  <c r="M179" i="25" s="1"/>
  <c r="AG171" i="25"/>
  <c r="AG176" i="25" s="1"/>
  <c r="AG179" i="25" s="1"/>
  <c r="AJ171" i="25"/>
  <c r="AJ176" i="25" s="1"/>
  <c r="AG196" i="25"/>
  <c r="D452" i="2"/>
  <c r="D407" i="2"/>
  <c r="E407" i="2" s="1"/>
  <c r="F407" i="2" s="1"/>
  <c r="G407" i="2" s="1"/>
  <c r="K289" i="2"/>
  <c r="D453" i="2"/>
  <c r="K395" i="2"/>
  <c r="E18" i="1" s="1"/>
  <c r="D409" i="2"/>
  <c r="E409" i="2" s="1"/>
  <c r="F409" i="2" s="1"/>
  <c r="G409" i="2" s="1"/>
  <c r="W157" i="17"/>
  <c r="W159" i="17" s="1"/>
  <c r="O124" i="17"/>
  <c r="F50" i="5"/>
  <c r="E56" i="5"/>
  <c r="C255" i="17"/>
  <c r="I192" i="17"/>
  <c r="K192" i="17" s="1"/>
  <c r="D405" i="2"/>
  <c r="K57" i="2"/>
  <c r="E14" i="1" s="1"/>
  <c r="M245" i="2"/>
  <c r="M293" i="2" s="1"/>
  <c r="E24" i="1" s="1"/>
  <c r="D24" i="1" s="1"/>
  <c r="D437" i="2"/>
  <c r="E437" i="2" s="1"/>
  <c r="G437" i="2" s="1"/>
  <c r="E451" i="2" s="1"/>
  <c r="U100" i="20"/>
  <c r="U111" i="20" s="1"/>
  <c r="E158" i="1" s="1"/>
  <c r="D158" i="1" s="1"/>
  <c r="D133" i="1"/>
  <c r="D131" i="1" s="1"/>
  <c r="E131" i="1"/>
  <c r="E231" i="17"/>
  <c r="D426" i="2"/>
  <c r="E426" i="2" s="1"/>
  <c r="G426" i="2" s="1"/>
  <c r="F452" i="2" s="1"/>
  <c r="L289" i="2"/>
  <c r="E69" i="5"/>
  <c r="F63" i="5"/>
  <c r="D171" i="1"/>
  <c r="E190" i="1"/>
  <c r="E47" i="1"/>
  <c r="E31" i="1"/>
  <c r="E30" i="1" s="1"/>
  <c r="E188" i="1" s="1"/>
  <c r="D436" i="2"/>
  <c r="E436" i="2" s="1"/>
  <c r="G436" i="2" s="1"/>
  <c r="M57" i="2"/>
  <c r="E16" i="1" s="1"/>
  <c r="D16" i="1" s="1"/>
  <c r="D190" i="1"/>
  <c r="C232" i="17"/>
  <c r="E232" i="17" s="1"/>
  <c r="E137" i="1"/>
  <c r="C257" i="17"/>
  <c r="U124" i="17"/>
  <c r="Y124" i="17" s="1"/>
  <c r="E156" i="1"/>
  <c r="E151" i="1" s="1"/>
  <c r="D157" i="1"/>
  <c r="D31" i="1"/>
  <c r="D30" i="1" s="1"/>
  <c r="D188" i="1" s="1"/>
  <c r="D427" i="2"/>
  <c r="E427" i="2" s="1"/>
  <c r="G427" i="2" s="1"/>
  <c r="F453" i="2" s="1"/>
  <c r="L395" i="2"/>
  <c r="E19" i="1" s="1"/>
  <c r="D19" i="1" s="1"/>
  <c r="E91" i="1"/>
  <c r="E42" i="5"/>
  <c r="F36" i="5"/>
  <c r="D425" i="2"/>
  <c r="E425" i="2" s="1"/>
  <c r="G425" i="2" s="1"/>
  <c r="F451" i="2" s="1"/>
  <c r="L245" i="2"/>
  <c r="L293" i="2" s="1"/>
  <c r="E23" i="1" s="1"/>
  <c r="D23" i="1" s="1"/>
  <c r="D451" i="2"/>
  <c r="K245" i="2"/>
  <c r="K293" i="2" s="1"/>
  <c r="E22" i="1" s="1"/>
  <c r="D424" i="2"/>
  <c r="L57" i="2"/>
  <c r="E15" i="1" s="1"/>
  <c r="D15" i="1" s="1"/>
  <c r="C235" i="17"/>
  <c r="E235" i="17" s="1"/>
  <c r="C59" i="12"/>
  <c r="C52" i="12"/>
  <c r="AD203" i="25" l="1"/>
  <c r="Q179" i="25"/>
  <c r="Y179" i="25"/>
  <c r="AG203" i="25"/>
  <c r="F56" i="5"/>
  <c r="G50" i="5"/>
  <c r="G56" i="5" s="1"/>
  <c r="O190" i="17"/>
  <c r="W164" i="17"/>
  <c r="O189" i="17" s="1"/>
  <c r="S124" i="17"/>
  <c r="W124" i="17" s="1"/>
  <c r="C251" i="17"/>
  <c r="C250" i="17" s="1"/>
  <c r="C246" i="17"/>
  <c r="F69" i="5"/>
  <c r="G63" i="5"/>
  <c r="G69" i="5" s="1"/>
  <c r="E17" i="1"/>
  <c r="D18" i="1"/>
  <c r="D17" i="1" s="1"/>
  <c r="F42" i="5"/>
  <c r="G36" i="5"/>
  <c r="G42" i="5" s="1"/>
  <c r="E89" i="1"/>
  <c r="E80" i="1" s="1"/>
  <c r="E191" i="1" s="1"/>
  <c r="D91" i="1"/>
  <c r="D89" i="1" s="1"/>
  <c r="D80" i="1" s="1"/>
  <c r="D191" i="1" s="1"/>
  <c r="E135" i="1"/>
  <c r="D137" i="1"/>
  <c r="D135" i="1" s="1"/>
  <c r="E424" i="2"/>
  <c r="G424" i="2" s="1"/>
  <c r="D428" i="2"/>
  <c r="D14" i="1"/>
  <c r="D13" i="1" s="1"/>
  <c r="E13" i="1"/>
  <c r="G453" i="2"/>
  <c r="D22" i="1"/>
  <c r="D21" i="1" s="1"/>
  <c r="E21" i="1"/>
  <c r="E450" i="2"/>
  <c r="E454" i="2" s="1"/>
  <c r="G440" i="2"/>
  <c r="D450" i="2"/>
  <c r="D411" i="2"/>
  <c r="E405" i="2"/>
  <c r="E194" i="1"/>
  <c r="G451" i="2"/>
  <c r="E179" i="1"/>
  <c r="E170" i="1" s="1"/>
  <c r="D180" i="1"/>
  <c r="D179" i="1" s="1"/>
  <c r="D170" i="1" s="1"/>
  <c r="D156" i="1"/>
  <c r="D151" i="1" s="1"/>
  <c r="G452" i="2"/>
  <c r="C244" i="17" l="1"/>
  <c r="E244" i="17" s="1"/>
  <c r="E246" i="17"/>
  <c r="D194" i="1"/>
  <c r="E12" i="1"/>
  <c r="E11" i="1" s="1"/>
  <c r="Q189" i="17"/>
  <c r="S189" i="17" s="1"/>
  <c r="C259" i="17"/>
  <c r="C256" i="17" s="1"/>
  <c r="C262" i="17" s="1"/>
  <c r="C233" i="17" s="1"/>
  <c r="Q190" i="17"/>
  <c r="S190" i="17" s="1"/>
  <c r="C260" i="17"/>
  <c r="D454" i="2"/>
  <c r="G454" i="2" s="1"/>
  <c r="G450" i="2"/>
  <c r="D12" i="1"/>
  <c r="D11" i="1" s="1"/>
  <c r="E411" i="2"/>
  <c r="F411" i="2" s="1"/>
  <c r="F405" i="2"/>
  <c r="G405" i="2" s="1"/>
  <c r="G411" i="2" s="1"/>
  <c r="F450" i="2"/>
  <c r="F454" i="2" s="1"/>
  <c r="G428" i="2"/>
  <c r="D10" i="1" l="1"/>
  <c r="D187" i="1"/>
  <c r="E233" i="17"/>
  <c r="E142" i="1" s="1"/>
  <c r="C236" i="17"/>
  <c r="E236" i="17" s="1"/>
  <c r="E10" i="1"/>
  <c r="E187" i="1"/>
  <c r="D142" i="1" l="1"/>
  <c r="D139" i="1" s="1"/>
  <c r="D130" i="1" s="1"/>
  <c r="E139" i="1"/>
  <c r="E130" i="1" s="1"/>
  <c r="D193" i="1" l="1"/>
  <c r="D195" i="1" s="1"/>
  <c r="D168" i="1"/>
  <c r="D182" i="1" s="1"/>
  <c r="E193" i="1"/>
  <c r="E195" i="1" s="1"/>
  <c r="E168" i="1"/>
  <c r="E182"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8" authorId="0" shapeId="0" xr:uid="{00000000-0006-0000-0000-000001000000}">
      <text>
        <r>
          <rPr>
            <sz val="8"/>
            <color rgb="FF000000"/>
            <rFont val="Calibri"/>
            <scheme val="minor"/>
          </rPr>
          <t>HFC and PFC emissions are reported in aggregate as a combination of many gases each having unique lifetimes and global warming potentials. Therefore a single GWP is not reported here. HFC and PFC emissions are reported under the subsector of ODS Substitutes using GWPs from IPCC AR6.</t>
        </r>
      </text>
    </comment>
  </commentList>
  <extLst>
    <ext xmlns:r="http://schemas.openxmlformats.org/officeDocument/2006/relationships" uri="GoogleSheetsCustomDataVersion2">
      <go:sheetsCustomData xmlns:go="http://customooxmlschemas.google.com/" r:id="rId1" roundtripDataSignature="AMtx7mhryL1N8H7OwbfKhgRYj/EYfRy2VQ=="/>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H30" authorId="0" shapeId="0" xr:uid="{00000000-0006-0000-0100-000005000000}">
      <text>
        <r>
          <rPr>
            <sz val="8"/>
            <color rgb="FF000000"/>
            <rFont val="Calibri"/>
            <scheme val="minor"/>
          </rPr>
          <t>======
ID#AAABwKiOVwg
    (2021-05-10 11:38:16)
Equivalent to 12,000 Btu/lb</t>
        </r>
      </text>
    </comment>
    <comment ref="J101" authorId="0" shapeId="0" xr:uid="{00000000-0006-0000-0100-000004000000}">
      <text>
        <r>
          <rPr>
            <sz val="8"/>
            <color rgb="FF000000"/>
            <rFont val="Calibri"/>
            <scheme val="minor"/>
          </rPr>
          <t>======
ID#AAABwKiOVsM
    (2021-05-10 11:38:16)
CEM MMBTU</t>
        </r>
      </text>
    </comment>
    <comment ref="J106" authorId="0" shapeId="0" xr:uid="{00000000-0006-0000-0100-000001000000}">
      <text>
        <r>
          <rPr>
            <sz val="8"/>
            <color rgb="FF000000"/>
            <rFont val="Calibri"/>
            <scheme val="minor"/>
          </rPr>
          <t>======
ID#AAABwKiOVuU
    (2021-05-10 11:38:16)
CEM MMBTU</t>
        </r>
      </text>
    </comment>
    <comment ref="J108" authorId="0" shapeId="0" xr:uid="{00000000-0006-0000-0100-00000D000000}">
      <text>
        <r>
          <rPr>
            <sz val="8"/>
            <color rgb="FF000000"/>
            <rFont val="Calibri"/>
            <scheme val="minor"/>
          </rPr>
          <t>======
ID#AAABwKiOV0I
    (2021-05-10 11:38:16)
CEM MMBTU</t>
        </r>
      </text>
    </comment>
    <comment ref="J110" authorId="0" shapeId="0" xr:uid="{00000000-0006-0000-0100-00000C000000}">
      <text>
        <r>
          <rPr>
            <sz val="8"/>
            <color rgb="FF000000"/>
            <rFont val="Calibri"/>
            <scheme val="minor"/>
          </rPr>
          <t>======
ID#AAABwKiOVzA
    (2021-05-10 11:38:16)
CEM MMBTU</t>
        </r>
      </text>
    </comment>
    <comment ref="F186" authorId="0" shapeId="0" xr:uid="{00000000-0006-0000-0100-000007000000}">
      <text>
        <r>
          <rPr>
            <sz val="8"/>
            <color rgb="FF000000"/>
            <rFont val="Calibri"/>
            <scheme val="minor"/>
          </rPr>
          <t>======
ID#AAABwKiOV04
    (2021-05-10 11:38:16)
Back Calculation from MMBTU</t>
        </r>
      </text>
    </comment>
    <comment ref="J186" authorId="0" shapeId="0" xr:uid="{00000000-0006-0000-0100-000009000000}">
      <text>
        <r>
          <rPr>
            <sz val="8"/>
            <color rgb="FF000000"/>
            <rFont val="Calibri"/>
            <scheme val="minor"/>
          </rPr>
          <t>======
ID#AAABwKiOVvI
    (2021-05-10 11:38:16)
Qty not reported, but MMBTU reported in ECR</t>
        </r>
      </text>
    </comment>
    <comment ref="F188" authorId="0" shapeId="0" xr:uid="{00000000-0006-0000-0100-000006000000}">
      <text>
        <r>
          <rPr>
            <sz val="8"/>
            <color rgb="FF000000"/>
            <rFont val="Calibri"/>
            <scheme val="minor"/>
          </rPr>
          <t>======
ID#AAABwKiOVyk
    (2021-05-10 11:38:16)
Back Calculation from MMBTU</t>
        </r>
      </text>
    </comment>
    <comment ref="J188" authorId="0" shapeId="0" xr:uid="{00000000-0006-0000-0100-000008000000}">
      <text>
        <r>
          <rPr>
            <sz val="8"/>
            <color rgb="FF000000"/>
            <rFont val="Calibri"/>
            <scheme val="minor"/>
          </rPr>
          <t>======
ID#AAABwKiOVxc
    (2021-05-10 11:38:16)
Qty not reported, but MMBTU reported in ECR</t>
        </r>
      </text>
    </comment>
    <comment ref="C226" authorId="0" shapeId="0" xr:uid="{00000000-0006-0000-0100-000003000000}">
      <text>
        <r>
          <rPr>
            <sz val="8"/>
            <color rgb="FF000000"/>
            <rFont val="Calibri"/>
            <scheme val="minor"/>
          </rPr>
          <t>======
ID#AAABwKiOVtE
    (2021-05-10 11:38:16)
New Name: Calpine Corporation.</t>
        </r>
      </text>
    </comment>
    <comment ref="F371" authorId="0" shapeId="0" xr:uid="{00000000-0006-0000-0100-00000A000000}">
      <text>
        <r>
          <rPr>
            <sz val="8"/>
            <color rgb="FF000000"/>
            <rFont val="Calibri"/>
            <scheme val="minor"/>
          </rPr>
          <t>======
ID#AAABwKiOVtw
    (2021-05-10 11:38:16)
Back Cal from CO2 Emission.NO Qt,in CER</t>
        </r>
      </text>
    </comment>
    <comment ref="G422" authorId="0" shapeId="0" xr:uid="{00000000-0006-0000-0100-000002000000}">
      <text>
        <r>
          <rPr>
            <sz val="8"/>
            <color rgb="FF000000"/>
            <rFont val="Calibri"/>
            <scheme val="minor"/>
          </rPr>
          <t>======
ID#AAABwKiOVvo
    (2021-05-10 11:38:16)
MMTCE is converted to MMTCO2E by multiplying by 44/12.</t>
        </r>
      </text>
    </comment>
    <comment ref="G434" authorId="0" shapeId="0" xr:uid="{00000000-0006-0000-0100-00000B000000}">
      <text>
        <r>
          <rPr>
            <sz val="8"/>
            <color rgb="FF000000"/>
            <rFont val="Calibri"/>
            <scheme val="minor"/>
          </rPr>
          <t>======
ID#AAABwKiOVx0
    (2021-05-10 11:38:16)
MMTCE is converted to MMTCO2E by multiplying by 44/12.</t>
        </r>
      </text>
    </comment>
  </commentList>
  <extLst>
    <ext xmlns:r="http://schemas.openxmlformats.org/officeDocument/2006/relationships" uri="GoogleSheetsCustomDataVersion2">
      <go:sheetsCustomData xmlns:go="http://customooxmlschemas.google.com/" r:id="rId1" roundtripDataSignature="AMtx7mhJQzr2uc+VEpNiizZ8EaBb/TAEqg=="/>
    </ext>
  </extL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F219" authorId="0" shapeId="0" xr:uid="{00000000-0006-0000-0200-000002000000}">
      <text>
        <r>
          <rPr>
            <sz val="8"/>
            <color rgb="FF000000"/>
            <rFont val="Calibri"/>
            <scheme val="minor"/>
          </rPr>
          <t>======
ID#AAABwKiOVro
    (2021-05-10 11:38:16)
Back Caclulation from MMBTU</t>
        </r>
      </text>
    </comment>
    <comment ref="F220" authorId="0" shapeId="0" xr:uid="{00000000-0006-0000-0200-000001000000}">
      <text>
        <r>
          <rPr>
            <sz val="8"/>
            <color rgb="FF000000"/>
            <rFont val="Calibri"/>
            <scheme val="minor"/>
          </rPr>
          <t>======
ID#AAABwKiOVqo
    (2021-05-10 11:38:16)
Back calculated from Heat Input</t>
        </r>
      </text>
    </comment>
  </commentList>
  <extLst>
    <ext xmlns:r="http://schemas.openxmlformats.org/officeDocument/2006/relationships" uri="GoogleSheetsCustomDataVersion2">
      <go:sheetsCustomData xmlns:go="http://customooxmlschemas.google.com/" r:id="rId1" roundtripDataSignature="AMtx7mhmf+pa/3DCHcMFeawknjhj9vIdXQ=="/>
    </ext>
  </extL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D15" authorId="0" shapeId="0" xr:uid="{00000000-0006-0000-0400-000002000000}">
      <text>
        <r>
          <rPr>
            <sz val="8"/>
            <color rgb="FF000000"/>
            <rFont val="Calibri"/>
            <scheme val="minor"/>
          </rPr>
          <t>======
ID#AAABwKiOVyg
    (2021-05-10 11:38:16)
10,862 Btu/lb HHV</t>
        </r>
      </text>
    </comment>
    <comment ref="E15" authorId="0" shapeId="0" xr:uid="{00000000-0006-0000-0400-000003000000}">
      <text>
        <r>
          <rPr>
            <sz val="8"/>
            <color rgb="FF000000"/>
            <rFont val="Calibri"/>
            <scheme val="minor"/>
          </rPr>
          <t>======
ID#AAABwKiOVwU
    (2021-05-10 11:38:16)
141,324 Btu/gal</t>
        </r>
      </text>
    </comment>
    <comment ref="F15" authorId="0" shapeId="0" xr:uid="{00000000-0006-0000-0400-000004000000}">
      <text>
        <r>
          <rPr>
            <sz val="8"/>
            <color rgb="FF000000"/>
            <rFont val="Calibri"/>
            <scheme val="minor"/>
          </rPr>
          <t>======
ID#AAABwKiOVtI
    (2021-05-10 11:38:16)
140,001 Btu/gal</t>
        </r>
      </text>
    </comment>
    <comment ref="G15" authorId="0" shapeId="0" xr:uid="{00000000-0006-0000-0400-000006000000}">
      <text>
        <r>
          <rPr>
            <sz val="8"/>
            <color rgb="FF000000"/>
            <rFont val="Calibri"/>
            <scheme val="minor"/>
          </rPr>
          <t>======
ID#AAABwKiOVys
    (2021-05-10 11:38:16)
4,643 Btu/lbs HHV.</t>
        </r>
      </text>
    </comment>
    <comment ref="H15" authorId="0" shapeId="0" xr:uid="{00000000-0006-0000-0400-000007000000}">
      <text>
        <r>
          <rPr>
            <sz val="8"/>
            <color rgb="FF000000"/>
            <rFont val="Calibri"/>
            <scheme val="minor"/>
          </rPr>
          <t>======
ID#AAABwKiOV0k
    (2021-05-10 11:38:16)
1,053 Btu/scf</t>
        </r>
      </text>
    </comment>
    <comment ref="I18" authorId="0" shapeId="0" xr:uid="{00000000-0006-0000-0400-000005000000}">
      <text>
        <r>
          <rPr>
            <sz val="8"/>
            <color rgb="FF000000"/>
            <rFont val="Calibri"/>
            <scheme val="minor"/>
          </rPr>
          <t>======
ID#AAABwKiOVsg
    (2021-05-10 11:38:16)
CEM Measurement.</t>
        </r>
      </text>
    </comment>
    <comment ref="I22" authorId="0" shapeId="0" xr:uid="{00000000-0006-0000-0400-000001000000}">
      <text>
        <r>
          <rPr>
            <sz val="8"/>
            <color rgb="FF000000"/>
            <rFont val="Calibri"/>
            <scheme val="minor"/>
          </rPr>
          <t>======
ID#AAABwKiOVuI
    (2021-05-10 11:38:16)
CEM Measurement.</t>
        </r>
      </text>
    </comment>
    <comment ref="I26" authorId="0" shapeId="0" xr:uid="{00000000-0006-0000-0400-000008000000}">
      <text>
        <r>
          <rPr>
            <sz val="8"/>
            <color rgb="FF000000"/>
            <rFont val="Calibri"/>
            <scheme val="minor"/>
          </rPr>
          <t>======
ID#AAABwKiOVus
    (2021-05-10 11:38:16)
CEM Measurement.</t>
        </r>
      </text>
    </comment>
  </commentList>
  <extLst>
    <ext xmlns:r="http://schemas.openxmlformats.org/officeDocument/2006/relationships" uri="GoogleSheetsCustomDataVersion2">
      <go:sheetsCustomData xmlns:go="http://customooxmlschemas.google.com/" r:id="rId1" roundtripDataSignature="AMtx7mgO13OqbycFYrPwew0Am8oXl90R2A=="/>
    </ext>
  </extL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B86" authorId="0" shapeId="0" xr:uid="{00000000-0006-0000-0500-000001000000}">
      <text>
        <r>
          <rPr>
            <sz val="8"/>
            <color rgb="FF000000"/>
            <rFont val="Calibri"/>
            <scheme val="minor"/>
          </rPr>
          <t>======
ID#AAABwKiOV1Y
rthunell    (2021-05-10 11:38:16)
Estimated value based on Emission Rates of Marginal Units
Presented only for Trends purposes</t>
        </r>
      </text>
    </comment>
  </commentList>
  <extLst>
    <ext xmlns:r="http://schemas.openxmlformats.org/officeDocument/2006/relationships" uri="GoogleSheetsCustomDataVersion2">
      <go:sheetsCustomData xmlns:go="http://customooxmlschemas.google.com/" r:id="rId1" roundtripDataSignature="AMtx7mg0W4tcSMY/RC6+CdUS9wc1m0NRyw=="/>
    </ext>
  </extL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
  </authors>
  <commentList>
    <comment ref="F7" authorId="0" shapeId="0" xr:uid="{00000000-0006-0000-0600-000001000000}">
      <text>
        <r>
          <rPr>
            <sz val="8"/>
            <color rgb="FF000000"/>
            <rFont val="Calibri"/>
            <scheme val="minor"/>
          </rPr>
          <t>======
ID#AAABwKiOVq4
    (2021-05-10 11:38:16)
Billion Btus are converted to short tons of carbon by multiplying by the emission factor, combustion efficiency, 1,000 million/billion, and 0.0005 lbs/short ton.</t>
        </r>
      </text>
    </comment>
    <comment ref="C8" authorId="0" shapeId="0" xr:uid="{00000000-0006-0000-0600-000006000000}">
      <text>
        <r>
          <rPr>
            <sz val="8"/>
            <color rgb="FF000000"/>
            <rFont val="Calibri"/>
            <scheme val="minor"/>
          </rPr>
          <t>======
ID#AAABwKiOV3g
amohammed    (2021-05-10 11:38:16)
2010 EIA Data</t>
        </r>
      </text>
    </comment>
    <comment ref="C19" authorId="0" shapeId="0" xr:uid="{00000000-0006-0000-0600-000002000000}">
      <text>
        <r>
          <rPr>
            <sz val="8"/>
            <color rgb="FF000000"/>
            <rFont val="Calibri"/>
            <scheme val="minor"/>
          </rPr>
          <t>======
ID#AAABwKiOVy0
amohammed    (2021-05-10 11:38:16)
2010 EIA data</t>
        </r>
      </text>
    </comment>
    <comment ref="B25" authorId="0" shapeId="0" xr:uid="{00000000-0006-0000-0600-000005000000}">
      <text>
        <r>
          <rPr>
            <sz val="8"/>
            <color rgb="FF000000"/>
            <rFont val="Calibri"/>
            <scheme val="minor"/>
          </rPr>
          <t>======
ID#AAABwKiOVwc
    (2021-05-10 11:38:16)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 ref="G31" authorId="0" shapeId="0" xr:uid="{00000000-0006-0000-0600-000004000000}">
      <text>
        <r>
          <rPr>
            <sz val="8"/>
            <color rgb="FF000000"/>
            <rFont val="Calibri"/>
            <scheme val="minor"/>
          </rPr>
          <t>======
ID#AAABwKiOV2c
    (2021-05-10 11:38:16)
MMTCE is converted to MMTCO2E by multiplying by 44/12.</t>
        </r>
      </text>
    </comment>
    <comment ref="C32" authorId="0" shapeId="0" xr:uid="{00000000-0006-0000-0600-000003000000}">
      <text>
        <r>
          <rPr>
            <sz val="8"/>
            <color rgb="FF000000"/>
            <rFont val="Calibri"/>
            <scheme val="minor"/>
          </rPr>
          <t>======
ID#AAABwKiOV3c
amohammed    (2021-05-10 11:38:16)
2010 EIA data</t>
        </r>
      </text>
    </comment>
    <comment ref="B38" authorId="0" shapeId="0" xr:uid="{00000000-0006-0000-0600-000007000000}">
      <text>
        <r>
          <rPr>
            <sz val="8"/>
            <color rgb="FF000000"/>
            <rFont val="Calibri"/>
            <scheme val="minor"/>
          </rPr>
          <t>======
ID#AAABwKiOVrw
    (2021-05-10 11:38:16)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 ref="B53" authorId="0" shapeId="0" xr:uid="{00000000-0006-0000-0600-000008000000}">
      <text>
        <r>
          <rPr>
            <sz val="8"/>
            <color rgb="FF000000"/>
            <rFont val="Calibri"/>
            <scheme val="minor"/>
          </rPr>
          <t>======
ID#AAABwKiOV3I
    (2021-05-10 11:38:16)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List>
  <extLst>
    <ext xmlns:r="http://schemas.openxmlformats.org/officeDocument/2006/relationships" uri="GoogleSheetsCustomDataVersion2">
      <go:sheetsCustomData xmlns:go="http://customooxmlschemas.google.com/" r:id="rId1" roundtripDataSignature="AMtx7mhWw99BCOKFgpVkrbBEBaArPZU7+w=="/>
    </ext>
  </extL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
  </authors>
  <commentList>
    <comment ref="F6" authorId="0" shapeId="0" xr:uid="{00000000-0006-0000-0700-000001000000}">
      <text>
        <r>
          <rPr>
            <sz val="8"/>
            <color rgb="FF000000"/>
            <rFont val="Calibri"/>
            <scheme val="minor"/>
          </rPr>
          <t>======
ID#AAABwKiOVzI
    (2021-05-10 11:38:16)
Billion Btus are converted to short tons of carbon by multiplying by the emission factor, combustion efficiency, 1,000 million/billion, and 0.0005 lbs/short ton.</t>
        </r>
      </text>
    </comment>
    <comment ref="G6" authorId="0" shapeId="0" xr:uid="{00000000-0006-0000-0700-000002000000}">
      <text>
        <r>
          <rPr>
            <sz val="8"/>
            <color rgb="FF000000"/>
            <rFont val="Calibri"/>
            <scheme val="minor"/>
          </rPr>
          <t>======
ID#AAABwKiOVrU
    (2021-05-10 11:38:16)
MMTCE is converted to MMTCO2E by multiplying by 44/12.</t>
        </r>
      </text>
    </comment>
    <comment ref="G20" authorId="0" shapeId="0" xr:uid="{00000000-0006-0000-0700-000004000000}">
      <text>
        <r>
          <rPr>
            <sz val="8"/>
            <color rgb="FF000000"/>
            <rFont val="Calibri"/>
            <scheme val="minor"/>
          </rPr>
          <t>======
ID#AAABwKiOVtA
    (2021-05-10 11:38:16)
MMTCE is converted to MMTCO2E by multiplying by 44/12.</t>
        </r>
      </text>
    </comment>
    <comment ref="C21" authorId="0" shapeId="0" xr:uid="{00000000-0006-0000-0700-000009000000}">
      <text>
        <r>
          <rPr>
            <sz val="8"/>
            <color rgb="FF000000"/>
            <rFont val="Calibri"/>
            <scheme val="minor"/>
          </rPr>
          <t>======
ID#AAABwKiOVy4
amohammed    (2021-05-10 11:38:16)
2010 EIA Data</t>
        </r>
      </text>
    </comment>
    <comment ref="B29" authorId="0" shapeId="0" xr:uid="{00000000-0006-0000-0700-000006000000}">
      <text>
        <r>
          <rPr>
            <sz val="8"/>
            <color rgb="FF000000"/>
            <rFont val="Calibri"/>
            <scheme val="minor"/>
          </rPr>
          <t>======
ID#AAABwKiOV1k
    (2021-05-10 11:38:16)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 ref="G35" authorId="0" shapeId="0" xr:uid="{00000000-0006-0000-0700-000005000000}">
      <text>
        <r>
          <rPr>
            <sz val="8"/>
            <color rgb="FF000000"/>
            <rFont val="Calibri"/>
            <scheme val="minor"/>
          </rPr>
          <t>======
ID#AAABwKiOV0Y
    (2021-05-10 11:38:16)
MMTCE is converted to MMTCO2E by multiplying by 44/12.</t>
        </r>
      </text>
    </comment>
    <comment ref="B44" authorId="0" shapeId="0" xr:uid="{00000000-0006-0000-0700-000008000000}">
      <text>
        <r>
          <rPr>
            <sz val="8"/>
            <color rgb="FF000000"/>
            <rFont val="Calibri"/>
            <scheme val="minor"/>
          </rPr>
          <t>======
ID#AAABwKiOVq8
    (2021-05-10 11:38:16)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 ref="G52" authorId="0" shapeId="0" xr:uid="{00000000-0006-0000-0700-000003000000}">
      <text>
        <r>
          <rPr>
            <sz val="8"/>
            <color rgb="FF000000"/>
            <rFont val="Calibri"/>
            <scheme val="minor"/>
          </rPr>
          <t>======
ID#AAABwKiOVu0
    (2021-05-10 11:38:16)
MMTCE is converted to MMTCO2E by multiplying by 44/12.</t>
        </r>
      </text>
    </comment>
    <comment ref="B61" authorId="0" shapeId="0" xr:uid="{00000000-0006-0000-0700-000007000000}">
      <text>
        <r>
          <rPr>
            <sz val="8"/>
            <color rgb="FF000000"/>
            <rFont val="Calibri"/>
            <scheme val="minor"/>
          </rPr>
          <t>======
ID#AAABwKiOV3U
    (2021-05-10 11:38:16)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List>
  <extLst>
    <ext xmlns:r="http://schemas.openxmlformats.org/officeDocument/2006/relationships" uri="GoogleSheetsCustomDataVersion2">
      <go:sheetsCustomData xmlns:go="http://customooxmlschemas.google.com/" r:id="rId1" roundtripDataSignature="AMtx7miCkCsZpkh4IOd/GgYEM6UllWuG0w=="/>
    </ext>
  </extL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
  </authors>
  <commentList>
    <comment ref="C9" authorId="0" shapeId="0" xr:uid="{00000000-0006-0000-0800-00000E000000}">
      <text>
        <r>
          <rPr>
            <sz val="8"/>
            <color rgb="FF000000"/>
            <rFont val="Calibri"/>
            <scheme val="minor"/>
          </rPr>
          <t>======
ID#AAABwKiOVrQ
    (2021-05-10 11:38:16)
SED 2010 Default Data</t>
        </r>
      </text>
    </comment>
    <comment ref="I10" authorId="0" shapeId="0" xr:uid="{00000000-0006-0000-0800-000011000000}">
      <text>
        <r>
          <rPr>
            <sz val="8"/>
            <color rgb="FF000000"/>
            <rFont val="Calibri"/>
            <scheme val="minor"/>
          </rPr>
          <t>======
ID#AAABwKiOVxg
    (2021-05-10 11:38:16)
Billion Btus are converted to short tons of carbon by multiplying by the emission factor, combustion efficiency, 1,000 million/billion, and 0.0005 lbs/short ton.</t>
        </r>
      </text>
    </comment>
    <comment ref="J10" authorId="0" shapeId="0" xr:uid="{00000000-0006-0000-0800-000001000000}">
      <text>
        <r>
          <rPr>
            <sz val="8"/>
            <color rgb="FF000000"/>
            <rFont val="Calibri"/>
            <scheme val="minor"/>
          </rPr>
          <t>======
ID#AAABwKiOV0Q
    (2021-05-10 11:38:16)
MMTCE is converted to MMTCO2E by multiplying by 44/12.</t>
        </r>
      </text>
    </comment>
    <comment ref="B31" authorId="0" shapeId="0" xr:uid="{00000000-0006-0000-0800-000008000000}">
      <text>
        <r>
          <rPr>
            <sz val="8"/>
            <color rgb="FF000000"/>
            <rFont val="Calibri"/>
            <scheme val="minor"/>
          </rPr>
          <t>======
ID#AAABwKiOVtk
    (2021-05-10 11:38:16)
SEDR data show negative values for consumption.  Represents storage of energy, since oils are manufactured from other fuels.  "Negative" emissions serve to correct the overestimation of emissions attributed to the parent fuel.</t>
        </r>
      </text>
    </comment>
    <comment ref="H39" authorId="0" shapeId="0" xr:uid="{00000000-0006-0000-0800-000002000000}">
      <text>
        <r>
          <rPr>
            <sz val="8"/>
            <color rgb="FF000000"/>
            <rFont val="Calibri"/>
            <scheme val="minor"/>
          </rPr>
          <t>======
ID#AAABwKiOV2I
    (2021-05-10 11:38:16)
metric tons N2O  converted to MMTCO2E by multiplying by GWP and diving by 106.</t>
        </r>
      </text>
    </comment>
    <comment ref="B60" authorId="0" shapeId="0" xr:uid="{00000000-0006-0000-0800-00000B000000}">
      <text>
        <r>
          <rPr>
            <sz val="8"/>
            <color rgb="FF000000"/>
            <rFont val="Calibri"/>
            <scheme val="minor"/>
          </rPr>
          <t>======
ID#AAABwKiOVuA
    (2021-05-10 11:38:16)
SEDR data show negative values for consumption.  Represents storage of energy, since oils are manufactured from other fuels.  "Negative" emissions serve to correct the overestimation of emissions attributed to the parent fuel.</t>
        </r>
      </text>
    </comment>
    <comment ref="B63" authorId="0" shapeId="0" xr:uid="{00000000-0006-0000-0800-000006000000}">
      <text>
        <r>
          <rPr>
            <sz val="8"/>
            <color rgb="FF000000"/>
            <rFont val="Calibri"/>
            <scheme val="minor"/>
          </rPr>
          <t>======
ID#AAABwKiOVuw
    (2021-05-10 11:38:16)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 ref="C68" authorId="0" shapeId="0" xr:uid="{00000000-0006-0000-0800-00000F000000}">
      <text>
        <r>
          <rPr>
            <sz val="8"/>
            <color rgb="FF000000"/>
            <rFont val="Calibri"/>
            <scheme val="minor"/>
          </rPr>
          <t>======
ID#AAABwKiOVvs
    (2021-05-10 11:38:16)
2010 SED Default Data</t>
        </r>
      </text>
    </comment>
    <comment ref="H69" authorId="0" shapeId="0" xr:uid="{00000000-0006-0000-0800-000005000000}">
      <text>
        <r>
          <rPr>
            <sz val="8"/>
            <color rgb="FF000000"/>
            <rFont val="Calibri"/>
            <scheme val="minor"/>
          </rPr>
          <t>======
ID#AAABwKiOVsQ
    (2021-05-10 11:38:16)
metric tons CH4 converted to MMTCO2E by multiplying by GWP. and Dividing by 106</t>
        </r>
      </text>
    </comment>
    <comment ref="B90" authorId="0" shapeId="0" xr:uid="{00000000-0006-0000-0800-00000C000000}">
      <text>
        <r>
          <rPr>
            <sz val="8"/>
            <color rgb="FF000000"/>
            <rFont val="Calibri"/>
            <scheme val="minor"/>
          </rPr>
          <t>======
ID#AAABwKiOVsk
    (2021-05-10 11:38:16)
SEDR data show negative values for consumption.  Represents storage of energy, since oils are manufactured from other fuels.  "Negative" emissions serve to correct the overestimation of emissions attributed to the parent fuel.</t>
        </r>
      </text>
    </comment>
    <comment ref="B93" authorId="0" shapeId="0" xr:uid="{00000000-0006-0000-0800-000009000000}">
      <text>
        <r>
          <rPr>
            <sz val="8"/>
            <color rgb="FF000000"/>
            <rFont val="Calibri"/>
            <scheme val="minor"/>
          </rPr>
          <t>======
ID#AAABwKiOVv8
    (2021-05-10 11:38:16)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 ref="E100" authorId="0" shapeId="0" xr:uid="{00000000-0006-0000-0800-000010000000}">
      <text>
        <r>
          <rPr>
            <sz val="8"/>
            <color rgb="FF000000"/>
            <rFont val="Calibri"/>
            <scheme val="minor"/>
          </rPr>
          <t>======
ID#AAABwKiOVvc
    (2021-05-10 11:38:16)
metric tons CH4 converted to MMTCO2E by multiplying by GWP. and Dividing by 106</t>
        </r>
      </text>
    </comment>
    <comment ref="F100" authorId="0" shapeId="0" xr:uid="{00000000-0006-0000-0800-000003000000}">
      <text>
        <r>
          <rPr>
            <sz val="8"/>
            <color rgb="FF000000"/>
            <rFont val="Calibri"/>
            <scheme val="minor"/>
          </rPr>
          <t>======
ID#AAABwKiOVuQ
    (2021-05-10 11:38:16)
metric tons CH4 converted to MMTCO2E by multiplying by GWP. and Dividing by 106</t>
        </r>
      </text>
    </comment>
    <comment ref="G100" authorId="0" shapeId="0" xr:uid="{00000000-0006-0000-0800-000004000000}">
      <text>
        <r>
          <rPr>
            <sz val="8"/>
            <color rgb="FF000000"/>
            <rFont val="Calibri"/>
            <scheme val="minor"/>
          </rPr>
          <t>======
ID#AAABwKiOV0o
    (2021-05-10 11:38:16)
metric tons CH4 converted to MMTCO2E by multiplying by GWP. and Dividing by 106</t>
        </r>
      </text>
    </comment>
    <comment ref="H100" authorId="0" shapeId="0" xr:uid="{00000000-0006-0000-0800-000007000000}">
      <text>
        <r>
          <rPr>
            <sz val="8"/>
            <color rgb="FF000000"/>
            <rFont val="Calibri"/>
            <scheme val="minor"/>
          </rPr>
          <t>======
ID#AAABwKiOVuE
    (2021-05-10 11:38:16)
metric tons CH4 converted to MMTCO2E by multiplying by GWP. and Dividing by 106</t>
        </r>
      </text>
    </comment>
    <comment ref="B121" authorId="0" shapeId="0" xr:uid="{00000000-0006-0000-0800-00000D000000}">
      <text>
        <r>
          <rPr>
            <sz val="8"/>
            <color rgb="FF000000"/>
            <rFont val="Calibri"/>
            <scheme val="minor"/>
          </rPr>
          <t>======
ID#AAABwKiOVxE
    (2021-05-10 11:38:16)
SEDR data show negative values for consumption.  Represents storage of energy, since oils are manufactured from other fuels.  "Negative" emissions serve to correct the overestimation of emissions attributed to the parent fuel.</t>
        </r>
      </text>
    </comment>
    <comment ref="B124" authorId="0" shapeId="0" xr:uid="{00000000-0006-0000-0800-00000A000000}">
      <text>
        <r>
          <rPr>
            <sz val="8"/>
            <color rgb="FF000000"/>
            <rFont val="Calibri"/>
            <scheme val="minor"/>
          </rPr>
          <t>======
ID#AAABwKiOV3o
    (2021-05-10 11:38:16)
The biomass portion of mixed municipal solid waste (MSW) (which may include wood waste arriving at waste to energy (WTE) facilities) should be considered separate from the stationary combustion of wood fuel in the Residential, Commercial, Industrial, and Electric Power sectors in the Stationary combustion module. The assumption is that there are dedicated combustion facilities that burn wood fuels to generate energy that are separate from mixed MSW WTE facilities, which is calculated in the Solid Waste module.</t>
        </r>
      </text>
    </comment>
  </commentList>
  <extLst>
    <ext xmlns:r="http://schemas.openxmlformats.org/officeDocument/2006/relationships" uri="GoogleSheetsCustomDataVersion2">
      <go:sheetsCustomData xmlns:go="http://customooxmlschemas.google.com/" r:id="rId1" roundtripDataSignature="AMtx7mj4dGfr4VUXZfJwb1bXctZXyBS1FA=="/>
    </ext>
  </extL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
  </authors>
  <commentList>
    <comment ref="B11" authorId="0" shapeId="0" xr:uid="{00000000-0006-0000-0900-000006000000}">
      <text>
        <r>
          <rPr>
            <sz val="8"/>
            <color rgb="FF000000"/>
            <rFont val="Calibri"/>
            <scheme val="minor"/>
          </rPr>
          <t>======
ID#AAABwKiOV2E
    (2021-05-10 11:38:16)
2011 Data</t>
        </r>
      </text>
    </comment>
    <comment ref="E11" authorId="0" shapeId="0" xr:uid="{00000000-0006-0000-0900-000007000000}">
      <text>
        <r>
          <rPr>
            <sz val="8"/>
            <color rgb="FF000000"/>
            <rFont val="Calibri"/>
            <scheme val="minor"/>
          </rPr>
          <t>======
ID#AAABwKiOVxY
    (2021-05-10 11:38:16)
Total Gasoline Consumption from Controller of Maryland Motor Fuel Tax Bureau (2011 )= 2,668,912,714.</t>
        </r>
      </text>
    </comment>
    <comment ref="G11" authorId="0" shapeId="0" xr:uid="{00000000-0006-0000-0900-000009000000}">
      <text>
        <r>
          <rPr>
            <sz val="8"/>
            <color rgb="FF000000"/>
            <rFont val="Calibri"/>
            <scheme val="minor"/>
          </rPr>
          <t>======
ID#AAABwKiOV3E
    (2021-05-10 11:38:16)
(MD Controller 2011 Consumption) /(Btu/gal)  *1E-09</t>
        </r>
      </text>
    </comment>
    <comment ref="B22" authorId="0" shapeId="0" xr:uid="{00000000-0006-0000-0900-000008000000}">
      <text>
        <r>
          <rPr>
            <sz val="8"/>
            <color rgb="FF000000"/>
            <rFont val="Calibri"/>
            <scheme val="minor"/>
          </rPr>
          <t>======
ID#AAABwKiOV10
rthunell    (2021-05-10 11:38:16)
Source:  EPA NonRoad Model Output  &amp; FHWA Data MF-24 Table 
National Nonroad Model Ouput -"Other Gasoline Small Utility" data Allocated to State from FHWA MF-24  Data(Industrial and Commercial-Gasoline) percent.</t>
        </r>
      </text>
    </comment>
    <comment ref="I24" authorId="0" shapeId="0" xr:uid="{00000000-0006-0000-0900-000002000000}">
      <text>
        <r>
          <rPr>
            <sz val="8"/>
            <color rgb="FF000000"/>
            <rFont val="Calibri"/>
            <scheme val="minor"/>
          </rPr>
          <t>======
ID#AAABwKiOV1M
    (2021-05-10 11:38:16)
Total Gasoline from Controller of Maryland Motor Fuel Tax Bureau (2011) = 2,668,912,714</t>
        </r>
      </text>
    </comment>
    <comment ref="I25" authorId="0" shapeId="0" xr:uid="{00000000-0006-0000-0900-000001000000}">
      <text>
        <r>
          <rPr>
            <sz val="8"/>
            <color rgb="FF000000"/>
            <rFont val="Calibri"/>
            <scheme val="minor"/>
          </rPr>
          <t>======
ID#AAABwKiOVxs
sal    (2021-05-10 11:38:16)
MOVES Runs On-Road Gasoline =2,405,394 gallons.</t>
        </r>
      </text>
    </comment>
    <comment ref="I35" authorId="0" shapeId="0" xr:uid="{00000000-0006-0000-0900-000005000000}">
      <text>
        <r>
          <rPr>
            <sz val="8"/>
            <color rgb="FF000000"/>
            <rFont val="Calibri"/>
            <scheme val="minor"/>
          </rPr>
          <t>======
ID#AAABwKiOVxI
    (2021-05-10 11:38:16)
MDE Survey 2011</t>
        </r>
      </text>
    </comment>
    <comment ref="I38" authorId="0" shapeId="0" xr:uid="{00000000-0006-0000-0900-000004000000}">
      <text>
        <r>
          <rPr>
            <sz val="8"/>
            <color rgb="FF000000"/>
            <rFont val="Calibri"/>
            <scheme val="minor"/>
          </rPr>
          <t>======
ID#AAABwKiOVw4
sal    (2021-05-10 11:38:16)
MOVES Runs =528,232,000 gallons.</t>
        </r>
      </text>
    </comment>
    <comment ref="I39" authorId="0" shapeId="0" xr:uid="{00000000-0006-0000-0900-000003000000}">
      <text>
        <r>
          <rPr>
            <sz val="8"/>
            <color rgb="FF000000"/>
            <rFont val="Calibri"/>
            <scheme val="minor"/>
          </rPr>
          <t>======
ID#AAABwKiOVx8
    (2021-05-10 11:38:16)
Total Gasoline from Controller of Maryland Motor Fuel Tax Bureau = 2,721,404,088
EIA SED = 2,713,397,442</t>
        </r>
      </text>
    </comment>
  </commentList>
  <extLst>
    <ext xmlns:r="http://schemas.openxmlformats.org/officeDocument/2006/relationships" uri="GoogleSheetsCustomDataVersion2">
      <go:sheetsCustomData xmlns:go="http://customooxmlschemas.google.com/" r:id="rId1" roundtripDataSignature="AMtx7mg69USvagJI5X0RHMdCcGQoZS628A=="/>
    </ext>
  </extL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
  </authors>
  <commentList>
    <comment ref="F6" authorId="0" shapeId="0" xr:uid="{00000000-0006-0000-0A00-000002000000}">
      <text>
        <r>
          <rPr>
            <sz val="8"/>
            <color rgb="FF000000"/>
            <rFont val="Calibri"/>
            <scheme val="minor"/>
          </rPr>
          <t>======
ID#AAABwKiOV2Q
    (2021-05-10 11:38:16)
MTCH4 are converted to MMTCO2E by multiplying by the GWP of CH4, or 21, and then dividing by 1,000,000</t>
        </r>
      </text>
    </comment>
    <comment ref="F22" authorId="0" shapeId="0" xr:uid="{00000000-0006-0000-0A00-000001000000}">
      <text>
        <r>
          <rPr>
            <sz val="8"/>
            <color rgb="FF000000"/>
            <rFont val="Calibri"/>
            <scheme val="minor"/>
          </rPr>
          <t>======
ID#AAABwKiOVwk
    (2021-05-10 11:38:16)
MTCH4 are converted to MMTCO2E by multiplying by the GWP of CH4, or 21, and then dividing by 1,000,000</t>
        </r>
      </text>
    </comment>
  </commentList>
  <extLst>
    <ext xmlns:r="http://schemas.openxmlformats.org/officeDocument/2006/relationships" uri="GoogleSheetsCustomDataVersion2">
      <go:sheetsCustomData xmlns:go="http://customooxmlschemas.google.com/" r:id="rId1" roundtripDataSignature="AMtx7mj67QF5GQ58KSDvoTPfDGJhlzecXw=="/>
    </ext>
  </extL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
  </authors>
  <commentList>
    <comment ref="L4" authorId="0" shapeId="0" xr:uid="{00000000-0006-0000-0B00-000004000000}">
      <text>
        <r>
          <rPr>
            <sz val="8"/>
            <color rgb="FF000000"/>
            <rFont val="Calibri"/>
            <scheme val="minor"/>
          </rPr>
          <t>======
ID#AAABwKiOVrY
    (2021-05-10 11:38:16)
Million cubic feet are converted to MTCH4 by multiplying by 19.2 grams/cubic feet of CH4.</t>
        </r>
      </text>
    </comment>
    <comment ref="N4" authorId="0" shapeId="0" xr:uid="{00000000-0006-0000-0B00-000005000000}">
      <text>
        <r>
          <rPr>
            <sz val="8"/>
            <color rgb="FF000000"/>
            <rFont val="Calibri"/>
            <scheme val="minor"/>
          </rPr>
          <t>======
ID#AAABwKiOVyY
    (2021-05-10 11:38:16)
MTCH4 are converted to MTCO2E by multiplying first by the GWP of CH4, or 21.</t>
        </r>
      </text>
    </comment>
    <comment ref="J8" authorId="0" shapeId="0" xr:uid="{00000000-0006-0000-0B00-000002000000}">
      <text>
        <r>
          <rPr>
            <sz val="8"/>
            <color rgb="FF000000"/>
            <rFont val="Calibri"/>
            <scheme val="minor"/>
          </rPr>
          <t>======
ID#AAABwKiOV2o
    (2021-05-10 11:38:16)
Thousand cubic feet are converted to MTCH4 by dividing by 1,000, then by 19.2 grams/cubic feet of CH4.</t>
        </r>
      </text>
    </comment>
    <comment ref="L8" authorId="0" shapeId="0" xr:uid="{00000000-0006-0000-0B00-000003000000}">
      <text>
        <r>
          <rPr>
            <sz val="8"/>
            <color rgb="FF000000"/>
            <rFont val="Calibri"/>
            <scheme val="minor"/>
          </rPr>
          <t>======
ID#AAABwKiOVww
    (2021-05-10 11:38:16)
MTCH4 are converted to MTCO2E by multiplying first by the GWP of CH4, or 21.</t>
        </r>
      </text>
    </comment>
    <comment ref="J12" authorId="0" shapeId="0" xr:uid="{00000000-0006-0000-0B00-000006000000}">
      <text>
        <r>
          <rPr>
            <sz val="8"/>
            <color rgb="FF000000"/>
            <rFont val="Calibri"/>
            <scheme val="minor"/>
          </rPr>
          <t>======
ID#AAABwKiOV2A
    (2021-05-10 11:38:16)
Thousand cubic feet are converted to MTCH4 by dividing by 1,000, then by 19.2 grams/cubic feet of CH4.</t>
        </r>
      </text>
    </comment>
    <comment ref="L12" authorId="0" shapeId="0" xr:uid="{00000000-0006-0000-0B00-000001000000}">
      <text>
        <r>
          <rPr>
            <sz val="8"/>
            <color rgb="FF000000"/>
            <rFont val="Calibri"/>
            <scheme val="minor"/>
          </rPr>
          <t>======
ID#AAABwKiOVwA
    (2021-05-10 11:38:16)
MTCH4 are converted to MTCO2E by multiplying first by the GWP of CH4, or 21.</t>
        </r>
      </text>
    </comment>
  </commentList>
  <extLst>
    <ext xmlns:r="http://schemas.openxmlformats.org/officeDocument/2006/relationships" uri="GoogleSheetsCustomDataVersion2">
      <go:sheetsCustomData xmlns:go="http://customooxmlschemas.google.com/" r:id="rId1" roundtripDataSignature="AMtx7mh1S2aU/l9yTsFs4PeBVD9pNme7ag=="/>
    </ext>
  </extL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
  </authors>
  <commentList>
    <comment ref="F11" authorId="0" shapeId="0" xr:uid="{00000000-0006-0000-0C00-000002000000}">
      <text>
        <r>
          <rPr>
            <sz val="8"/>
            <color rgb="FF000000"/>
            <rFont val="Calibri"/>
            <scheme val="minor"/>
          </rPr>
          <t>======
ID#AAABwKiOV0M
amohammed    (2021-05-10 11:38:16)
Biogenic</t>
        </r>
      </text>
    </comment>
    <comment ref="G11" authorId="0" shapeId="0" xr:uid="{00000000-0006-0000-0C00-000003000000}">
      <text>
        <r>
          <rPr>
            <sz val="8"/>
            <color rgb="FF000000"/>
            <rFont val="Calibri"/>
            <scheme val="minor"/>
          </rPr>
          <t>======
ID#AAABwKiOVyM
Measured Biomass    (2021-05-10 11:38:16)
6.5 % of Total CO2 (CEM). 2011 Emission Certification Report.</t>
        </r>
      </text>
    </comment>
    <comment ref="E28" authorId="0" shapeId="0" xr:uid="{00000000-0006-0000-0C00-000001000000}">
      <text>
        <r>
          <rPr>
            <sz val="8"/>
            <color rgb="FF000000"/>
            <rFont val="Calibri"/>
            <scheme val="minor"/>
          </rPr>
          <t>======
ID#AAABwKiOVqc
    (2021-05-10 11:38:16)
1.10249937 Conversion factor used in ECR (metric to short ton)</t>
        </r>
      </text>
    </comment>
  </commentList>
  <extLst>
    <ext xmlns:r="http://schemas.openxmlformats.org/officeDocument/2006/relationships" uri="GoogleSheetsCustomDataVersion2">
      <go:sheetsCustomData xmlns:go="http://customooxmlschemas.google.com/" r:id="rId1" roundtripDataSignature="AMtx7mjlHVtm9rDKilDA2dKCkye5Lu3tCw=="/>
    </ext>
  </extL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
  </authors>
  <commentList>
    <comment ref="H4" authorId="0" shapeId="0" xr:uid="{00000000-0006-0000-0D00-000005000000}">
      <text>
        <r>
          <rPr>
            <sz val="8"/>
            <color rgb="FF000000"/>
            <rFont val="Calibri"/>
            <scheme val="minor"/>
          </rPr>
          <t>======
ID#AAABwKiOV1Q
    (2021-05-10 11:38:16)
Metric Tons CO2 are converted into Metric Tons Carbon Equivalent by multiplying by the molecular weight ratio of carbon to carbon dioxide, or (12/44).</t>
        </r>
      </text>
    </comment>
    <comment ref="D5" authorId="0" shapeId="0" xr:uid="{00000000-0006-0000-0D00-00000B000000}">
      <text>
        <r>
          <rPr>
            <sz val="8"/>
            <color rgb="FF000000"/>
            <rFont val="Calibri"/>
            <scheme val="minor"/>
          </rPr>
          <t>======
ID#AAABwKiOV0s
    (2021-05-10 11:38:16)
2010 Limestone Used</t>
        </r>
      </text>
    </comment>
    <comment ref="C6" authorId="0" shapeId="0" xr:uid="{00000000-0006-0000-0D00-000008000000}">
      <text>
        <r>
          <rPr>
            <sz val="8"/>
            <color rgb="FF000000"/>
            <rFont val="Calibri"/>
            <scheme val="minor"/>
          </rPr>
          <t>======
ID#AAABwKiOVso
    (2021-05-10 11:38:16)
Do not include dolomite used in magnesium production.</t>
        </r>
      </text>
    </comment>
    <comment ref="H10" authorId="0" shapeId="0" xr:uid="{00000000-0006-0000-0D00-00000A000000}">
      <text>
        <r>
          <rPr>
            <sz val="8"/>
            <color rgb="FF000000"/>
            <rFont val="Calibri"/>
            <scheme val="minor"/>
          </rPr>
          <t>======
ID#AAABwKiOV2s
    (2021-05-10 11:38:16)
Metric Tons CO2 are converted into Metric Tons Carbon Equivalent by multiplying by the molecular weight ratio of carbon to carbon dioxide, or (12/44).</t>
        </r>
      </text>
    </comment>
    <comment ref="AI15" authorId="0" shapeId="0" xr:uid="{00000000-0006-0000-0D00-000004000000}">
      <text>
        <r>
          <rPr>
            <sz val="8"/>
            <color rgb="FF000000"/>
            <rFont val="Calibri"/>
            <scheme val="minor"/>
          </rPr>
          <t>======
ID#AAABwKiOVrA
    (2025-11-17 11:28:36)
Estimated from 100-yr emissions using 2019 ratio of 20-yr/100-yr</t>
        </r>
      </text>
    </comment>
    <comment ref="D17" authorId="0" shapeId="0" xr:uid="{00000000-0006-0000-0D00-000003000000}">
      <text>
        <r>
          <rPr>
            <sz val="8"/>
            <color rgb="FF000000"/>
            <rFont val="Calibri"/>
            <scheme val="minor"/>
          </rPr>
          <t>======
ID#AAABwKiOVvQ
    (2021-05-10 11:38:16)
2009 Default data</t>
        </r>
      </text>
    </comment>
    <comment ref="H21" authorId="0" shapeId="0" xr:uid="{00000000-0006-0000-0D00-000009000000}">
      <text>
        <r>
          <rPr>
            <sz val="8"/>
            <color rgb="FF000000"/>
            <rFont val="Calibri"/>
            <scheme val="minor"/>
          </rPr>
          <t>======
ID#AAABwKiOVwo
rthunell    (2021-05-10 11:38:16)
GWP SF6 = 23,900</t>
        </r>
      </text>
    </comment>
    <comment ref="J21" authorId="0" shapeId="0" xr:uid="{00000000-0006-0000-0D00-000001000000}">
      <text>
        <r>
          <rPr>
            <sz val="8"/>
            <color rgb="FF000000"/>
            <rFont val="Calibri"/>
            <scheme val="minor"/>
          </rPr>
          <t>======
ID#AAABwKiOVvg
    (2021-05-10 11:38:16)
Metric Tons CO2 are converted into Metric Tons Carbon Equivalent by multiplying by the GWP of SF6 (23,900) and the molecular weight ratio of carbon to carbon dioxide (12/44).</t>
        </r>
      </text>
    </comment>
    <comment ref="L21" authorId="0" shapeId="0" xr:uid="{00000000-0006-0000-0D00-000002000000}">
      <text>
        <r>
          <rPr>
            <sz val="8"/>
            <color rgb="FF000000"/>
            <rFont val="Calibri"/>
            <scheme val="minor"/>
          </rPr>
          <t>======
ID#AAABwKiOVqQ
    (2021-05-10 11:38:16)
Metric Tons CO2 are converted into Metric Tons Carbon Equivalent by multiplying by the GWP of SF6 (23,900) and the molecular weight ratio of carbon to carbon dioxide (12/44).</t>
        </r>
      </text>
    </comment>
    <comment ref="J26" authorId="0" shapeId="0" xr:uid="{00000000-0006-0000-0D00-000006000000}">
      <text>
        <r>
          <rPr>
            <sz val="8"/>
            <color rgb="FF000000"/>
            <rFont val="Calibri"/>
            <scheme val="minor"/>
          </rPr>
          <t>======
ID#AAABwKiOVt4
    (2021-05-10 11:38:16)
Metric Tons CO2 are converted into Metric Tons Carbon Equivalent by multiplying by the molecular weight ratio of carbon to carbon dioxide, or (12/44).</t>
        </r>
      </text>
    </comment>
    <comment ref="L26" authorId="0" shapeId="0" xr:uid="{00000000-0006-0000-0D00-000007000000}">
      <text>
        <r>
          <rPr>
            <sz val="8"/>
            <color rgb="FF000000"/>
            <rFont val="Calibri"/>
            <scheme val="minor"/>
          </rPr>
          <t>======
ID#AAABwKiOV4E
    (2021-05-10 11:38:16)
Metric Tons CO2 are converted into Metric Tons Carbon Equivalent by multiplying by the molecular weight ratio of carbon to carbon dioxide, or (12/44).</t>
        </r>
      </text>
    </comment>
  </commentList>
  <extLst>
    <ext xmlns:r="http://schemas.openxmlformats.org/officeDocument/2006/relationships" uri="GoogleSheetsCustomDataVersion2">
      <go:sheetsCustomData xmlns:go="http://customooxmlschemas.google.com/" r:id="rId1" roundtripDataSignature="AMtx7mhYKfg3br1rknpgtekFNxlY/b36dg=="/>
    </ext>
  </extL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
  </authors>
  <commentList>
    <comment ref="B92" authorId="0" shapeId="0" xr:uid="{0CB6E45C-B310-4B00-B8B7-F5D47F63315D}">
      <text>
        <r>
          <rPr>
            <sz val="8"/>
            <color rgb="FF000000"/>
            <rFont val="Calibri"/>
            <scheme val="minor"/>
          </rPr>
          <t>Proxy for PFC/PFPEs. See notes in above section.
======</t>
        </r>
      </text>
    </comment>
    <comment ref="B96" authorId="0" shapeId="0" xr:uid="{0AA54724-34BE-4564-9687-CCD7FC490912}">
      <text>
        <r>
          <rPr>
            <sz val="8"/>
            <color rgb="FF000000"/>
            <rFont val="Calibri"/>
            <scheme val="minor"/>
          </rPr>
          <t>HCFO-1233zd(E), HFO-1234yf, HFO-1234ze(E), and HFO-1336mzz(Z) do not appear by name in IPCC's AR5, but gases of similar names and chemical formula do appear. While the GWP values in AR5 are presented in rounded form, they are suitable in this application for scaling from AR5 to AR6 for the same time horizon. AR5 values presented as &lt;1 are used here as 0.5.
======</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
  </authors>
  <commentList>
    <comment ref="B92" authorId="0" shapeId="0" xr:uid="{EBD090DB-419F-4914-892A-DC82E0C78577}">
      <text>
        <r>
          <rPr>
            <sz val="8"/>
            <color rgb="FF000000"/>
            <rFont val="Calibri"/>
            <scheme val="minor"/>
          </rPr>
          <t>Proxy for PFC/PFPEs. See notes in above section.
======</t>
        </r>
      </text>
    </comment>
    <comment ref="B96" authorId="0" shapeId="0" xr:uid="{E04C61A4-C38C-465A-8F5C-F8338D623787}">
      <text>
        <r>
          <rPr>
            <sz val="8"/>
            <color rgb="FF000000"/>
            <rFont val="Calibri"/>
            <scheme val="minor"/>
          </rPr>
          <t>HCFO-1233zd(E), HFO-1234yf, HFO-1234ze(E), and HFO-1336mzz(Z) do not appear by name in IPCC's AR5. For the purposes of calculating a ratio of 20-yr GWP to 100-yr GWP, values from IPCC's AR6 are used for these gases. Since the ratio would be influenced by the lifetime of the gas moreso than by the warming impact, the use of AR6 values as a proxy is not deemed to introduce significant uncertainty. Gases of similar names and chemical formula appear in AR5, however the GWP values are presented in rounded form, and thus would introduce greater uncertainty than using GWP values from AR6 in this application.
======</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
  </authors>
  <commentList>
    <comment ref="D8" authorId="0" shapeId="0" xr:uid="{00000000-0006-0000-0F00-000001000000}">
      <text>
        <r>
          <rPr>
            <sz val="8"/>
            <color rgb="FF000000"/>
            <rFont val="Calibri"/>
            <scheme val="minor"/>
          </rPr>
          <t>======
ID#AAABwKiOVxw
    (2021-05-10 11:38:16)
2009 default data</t>
        </r>
      </text>
    </comment>
  </commentList>
  <extLst>
    <ext xmlns:r="http://schemas.openxmlformats.org/officeDocument/2006/relationships" uri="GoogleSheetsCustomDataVersion2">
      <go:sheetsCustomData xmlns:go="http://customooxmlschemas.google.com/" r:id="rId1" roundtripDataSignature="AMtx7mjwhN7XzNQE7/t8xJQp8eTSI2y5Rg=="/>
    </ext>
  </extL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
  </authors>
  <commentList>
    <comment ref="I4" authorId="0" shapeId="0" xr:uid="{00000000-0006-0000-1000-00002F000000}">
      <text>
        <r>
          <rPr>
            <sz val="8"/>
            <color rgb="FF000000"/>
            <rFont val="Calibri"/>
            <scheme val="minor"/>
          </rPr>
          <t>======
ID#AAABwKiOVu8
    (2021-05-10 11:38:16)
Kg of methane are converted to metric tons by dividing by 1000. This is then converted to MMTCH4 by dividing by 1,000,000.</t>
        </r>
      </text>
    </comment>
    <comment ref="K4" authorId="0" shapeId="0" xr:uid="{00000000-0006-0000-1000-000033000000}">
      <text>
        <r>
          <rPr>
            <sz val="8"/>
            <color rgb="FF000000"/>
            <rFont val="Calibri"/>
            <scheme val="minor"/>
          </rPr>
          <t>======
ID#AAABwKiOVrc
    (2021-05-10 11:38:16)
MMTCH4 are converted to MMTCE by multiply by methane's global warming potential (21) and then 12/44 (to convert from CO2 to C).</t>
        </r>
      </text>
    </comment>
    <comment ref="M4" authorId="0" shapeId="0" xr:uid="{00000000-0006-0000-1000-000035000000}">
      <text>
        <r>
          <rPr>
            <sz val="8"/>
            <color rgb="FF000000"/>
            <rFont val="Calibri"/>
            <scheme val="minor"/>
          </rPr>
          <t>======
ID#AAABwKiOVxU
    (2021-05-10 11:38:16)
MMTCE are converted to MMTCO2E by dividing by 12/44 (to convert from C to CO2).</t>
        </r>
      </text>
    </comment>
    <comment ref="C17" authorId="0" shapeId="0" xr:uid="{00000000-0006-0000-1000-000041000000}">
      <text>
        <r>
          <rPr>
            <sz val="8"/>
            <color rgb="FF000000"/>
            <rFont val="Calibri"/>
            <scheme val="minor"/>
          </rPr>
          <t>======
ID#AAABwKiOVyQ
    (2021-05-10 11:38:16)
SIT 2010 default</t>
        </r>
      </text>
    </comment>
    <comment ref="C18" authorId="0" shapeId="0" xr:uid="{00000000-0006-0000-1000-00000B000000}">
      <text>
        <r>
          <rPr>
            <sz val="8"/>
            <color rgb="FF000000"/>
            <rFont val="Calibri"/>
            <scheme val="minor"/>
          </rPr>
          <t>======
ID#AAABwKiOVwE
    (2021-05-10 11:38:16)
SIT 2010 Default</t>
        </r>
      </text>
    </comment>
    <comment ref="C21" authorId="0" shapeId="0" xr:uid="{00000000-0006-0000-1000-00003D000000}">
      <text>
        <r>
          <rPr>
            <sz val="8"/>
            <color rgb="FF000000"/>
            <rFont val="Calibri"/>
            <scheme val="minor"/>
          </rPr>
          <t>======
ID#AAABwKiOVuM
    (2021-05-10 11:38:16)
USDA 2009 data</t>
        </r>
      </text>
    </comment>
    <comment ref="C24" authorId="0" shapeId="0" xr:uid="{00000000-0006-0000-1000-000024000000}">
      <text>
        <r>
          <rPr>
            <sz val="8"/>
            <color rgb="FF000000"/>
            <rFont val="Calibri"/>
            <scheme val="minor"/>
          </rPr>
          <t>======
ID#AAABwKiOVrg
    (2021-05-10 11:38:16)
2010 Maryland Equine Census,march 03,11; 2010 data</t>
        </r>
      </text>
    </comment>
    <comment ref="M30" authorId="0" shapeId="0" xr:uid="{00000000-0006-0000-1000-000006000000}">
      <text>
        <r>
          <rPr>
            <sz val="8"/>
            <color rgb="FF000000"/>
            <rFont val="Calibri"/>
            <scheme val="minor"/>
          </rPr>
          <t>======
ID#AAABwKiOVzU
    (2021-05-10 11:38:16)
Sum of MCF for each animal's management system x Percent of Manure Managed in that system</t>
        </r>
      </text>
    </comment>
    <comment ref="C35" authorId="0" shapeId="0" xr:uid="{00000000-0006-0000-1000-00000F000000}">
      <text>
        <r>
          <rPr>
            <sz val="8"/>
            <color rgb="FF000000"/>
            <rFont val="Calibri"/>
            <scheme val="minor"/>
          </rPr>
          <t>======
ID#AAABwKiOVsY
    (2021-05-10 11:38:16)
not yet updated with 2011</t>
        </r>
      </text>
    </comment>
    <comment ref="C36" authorId="0" shapeId="0" xr:uid="{00000000-0006-0000-1000-00001F000000}">
      <text>
        <r>
          <rPr>
            <sz val="8"/>
            <color rgb="FF000000"/>
            <rFont val="Calibri"/>
            <scheme val="minor"/>
          </rPr>
          <t>======
ID#AAABwKiOVq0
    (2021-05-10 11:38:16)
not yet updated</t>
        </r>
      </text>
    </comment>
    <comment ref="C46" authorId="0" shapeId="0" xr:uid="{00000000-0006-0000-1000-000044000000}">
      <text>
        <r>
          <rPr>
            <sz val="8"/>
            <color rgb="FF000000"/>
            <rFont val="Calibri"/>
            <scheme val="minor"/>
          </rPr>
          <t>======
ID#AAABwKiOVz4
    (2021-05-10 11:38:16)
SIT Default 2010 data</t>
        </r>
      </text>
    </comment>
    <comment ref="C51" authorId="0" shapeId="0" xr:uid="{00000000-0006-0000-1000-000009000000}">
      <text>
        <r>
          <rPr>
            <sz val="8"/>
            <color rgb="FF000000"/>
            <rFont val="Calibri"/>
            <scheme val="minor"/>
          </rPr>
          <t>======
ID#AAABwKiOVws
    (2021-05-10 11:38:16)
SIT 2010 Default data</t>
        </r>
      </text>
    </comment>
    <comment ref="B52" authorId="0" shapeId="0" xr:uid="{00000000-0006-0000-1000-000014000000}">
      <text>
        <r>
          <rPr>
            <sz val="8"/>
            <color rgb="FF000000"/>
            <rFont val="Calibri"/>
            <scheme val="minor"/>
          </rPr>
          <t>======
ID#AAABwKiOVt0
    (2021-05-10 11:38:16)
Includes:  Pullets laying, Pullets &gt; 3 mo., and Pullets &lt; 3 mo.</t>
        </r>
      </text>
    </comment>
    <comment ref="C52" authorId="0" shapeId="0" xr:uid="{00000000-0006-0000-1000-000016000000}">
      <text>
        <r>
          <rPr>
            <sz val="8"/>
            <color rgb="FF000000"/>
            <rFont val="Calibri"/>
            <scheme val="minor"/>
          </rPr>
          <t>======
ID#AAABwKiOVxk
    (2021-05-10 11:38:16)
SIT 2010 Default data</t>
        </r>
      </text>
    </comment>
    <comment ref="C53" authorId="0" shapeId="0" xr:uid="{00000000-0006-0000-1000-000025000000}">
      <text>
        <r>
          <rPr>
            <sz val="8"/>
            <color rgb="FF000000"/>
            <rFont val="Calibri"/>
            <scheme val="minor"/>
          </rPr>
          <t>======
ID#AAABwKiOVs8
    (2021-05-10 11:38:16)
SIT 2010 Default data</t>
        </r>
      </text>
    </comment>
    <comment ref="B54" authorId="0" shapeId="0" xr:uid="{00000000-0006-0000-1000-000039000000}">
      <text>
        <r>
          <rPr>
            <sz val="8"/>
            <color rgb="FF000000"/>
            <rFont val="Calibri"/>
            <scheme val="minor"/>
          </rPr>
          <t>======
ID#AAABwKiOVuc
    (2021-05-10 11:38:16)
Includes: Regular Broilers, Other (Lost), and Other (Sold)</t>
        </r>
      </text>
    </comment>
    <comment ref="C54" authorId="0" shapeId="0" xr:uid="{00000000-0006-0000-1000-00003B000000}">
      <text>
        <r>
          <rPr>
            <sz val="8"/>
            <color rgb="FF000000"/>
            <rFont val="Calibri"/>
            <scheme val="minor"/>
          </rPr>
          <t>======
ID#AAABwKiOV0c
    (2021-05-10 11:38:16)
SIT 2010 Default data</t>
        </r>
      </text>
    </comment>
    <comment ref="C55" authorId="0" shapeId="0" xr:uid="{00000000-0006-0000-1000-000004000000}">
      <text>
        <r>
          <rPr>
            <sz val="8"/>
            <color rgb="FF000000"/>
            <rFont val="Calibri"/>
            <scheme val="minor"/>
          </rPr>
          <t>======
ID#AAABwKiOVzs
    (2021-05-10 11:38:16)
SIT 2010 Default data</t>
        </r>
      </text>
    </comment>
    <comment ref="B57" authorId="0" shapeId="0" xr:uid="{00000000-0006-0000-1000-000022000000}">
      <text>
        <r>
          <rPr>
            <sz val="8"/>
            <color rgb="FF000000"/>
            <rFont val="Calibri"/>
            <scheme val="minor"/>
          </rPr>
          <t>======
ID#AAABwKiOVqk
    (2021-05-10 11:38:16)
Sheep on feed that are in feedlots were assumed to be manged using a dry lot system, all others were assumed to be PRP.</t>
        </r>
      </text>
    </comment>
    <comment ref="C58" authorId="0" shapeId="0" xr:uid="{00000000-0006-0000-1000-000036000000}">
      <text>
        <r>
          <rPr>
            <sz val="8"/>
            <color rgb="FF000000"/>
            <rFont val="Calibri"/>
            <scheme val="minor"/>
          </rPr>
          <t>======
ID#AAABwKiOV0E
    (2021-05-10 11:38:16)
SIT Default 2010</t>
        </r>
      </text>
    </comment>
    <comment ref="C60" authorId="0" shapeId="0" xr:uid="{00000000-0006-0000-1000-000011000000}">
      <text>
        <r>
          <rPr>
            <sz val="8"/>
            <color rgb="FF000000"/>
            <rFont val="Calibri"/>
            <scheme val="minor"/>
          </rPr>
          <t>======
ID#AAABwKiOVt8
    (2021-05-10 11:38:16)
2010 Maryland Equine Census,march 03,11; 2010 data</t>
        </r>
      </text>
    </comment>
    <comment ref="S66" authorId="0" shapeId="0" xr:uid="{00000000-0006-0000-1000-00003F000000}">
      <text>
        <r>
          <rPr>
            <sz val="8"/>
            <color rgb="FF000000"/>
            <rFont val="Calibri"/>
            <scheme val="minor"/>
          </rPr>
          <t>======
ID#AAABwKiOVy8
    (2021-05-10 11:38:16)
MTCE are converted to MMTCE by dividing by 1,000,000.</t>
        </r>
      </text>
    </comment>
    <comment ref="C71" authorId="0" shapeId="0" xr:uid="{00000000-0006-0000-1000-000049000000}">
      <text>
        <r>
          <rPr>
            <sz val="8"/>
            <color rgb="FF000000"/>
            <rFont val="Calibri"/>
            <scheme val="minor"/>
          </rPr>
          <t>======
ID#AAABwKiOV24
    (2021-05-10 11:38:16)
SIT 2010 default</t>
        </r>
      </text>
    </comment>
    <comment ref="C72" authorId="0" shapeId="0" xr:uid="{00000000-0006-0000-1000-00000E000000}">
      <text>
        <r>
          <rPr>
            <sz val="8"/>
            <color rgb="FF000000"/>
            <rFont val="Calibri"/>
            <scheme val="minor"/>
          </rPr>
          <t>======
ID#AAABwKiOV2g
    (2021-05-10 11:38:16)
SIT 2010 Default</t>
        </r>
      </text>
    </comment>
    <comment ref="C76" authorId="0" shapeId="0" xr:uid="{00000000-0006-0000-1000-00000D000000}">
      <text>
        <r>
          <rPr>
            <sz val="8"/>
            <color rgb="FF000000"/>
            <rFont val="Calibri"/>
            <scheme val="minor"/>
          </rPr>
          <t>======
ID#AAABwKiOVv0
    (2021-05-10 11:38:16)
SIT Default 2010</t>
        </r>
      </text>
    </comment>
    <comment ref="B81" authorId="0" shapeId="0" xr:uid="{00000000-0006-0000-1000-000018000000}">
      <text>
        <r>
          <rPr>
            <sz val="8"/>
            <color rgb="FF000000"/>
            <rFont val="Calibri"/>
            <scheme val="minor"/>
          </rPr>
          <t>======
ID#AAABwKiOV0w
    (2021-05-10 11:38:16)
Includes: Regular Broilers, Other (Lost), and Other (Sold)</t>
        </r>
      </text>
    </comment>
    <comment ref="C81" authorId="0" shapeId="0" xr:uid="{00000000-0006-0000-1000-000019000000}">
      <text>
        <r>
          <rPr>
            <sz val="8"/>
            <color rgb="FF000000"/>
            <rFont val="Calibri"/>
            <scheme val="minor"/>
          </rPr>
          <t>======
ID#AAABwKiOVrM
    (2021-05-10 11:38:16)
SIT 2010 Default data</t>
        </r>
      </text>
    </comment>
    <comment ref="C82" authorId="0" shapeId="0" xr:uid="{00000000-0006-0000-1000-000026000000}">
      <text>
        <r>
          <rPr>
            <sz val="8"/>
            <color rgb="FF000000"/>
            <rFont val="Calibri"/>
            <scheme val="minor"/>
          </rPr>
          <t>======
ID#AAABwKiOVv4
    (2021-05-10 11:38:16)
SIT 2010 Default data</t>
        </r>
      </text>
    </comment>
    <comment ref="C83" authorId="0" shapeId="0" xr:uid="{00000000-0006-0000-1000-00003E000000}">
      <text>
        <r>
          <rPr>
            <sz val="8"/>
            <color rgb="FF000000"/>
            <rFont val="Calibri"/>
            <scheme val="minor"/>
          </rPr>
          <t>======
ID#AAABwKiOVzk
    (2021-05-10 11:38:16)
SIT 2010 Default data</t>
        </r>
      </text>
    </comment>
    <comment ref="C84" authorId="0" shapeId="0" xr:uid="{00000000-0006-0000-1000-000007000000}">
      <text>
        <r>
          <rPr>
            <sz val="8"/>
            <color rgb="FF000000"/>
            <rFont val="Calibri"/>
            <scheme val="minor"/>
          </rPr>
          <t>======
ID#AAABwKiOVtU
    (2021-05-10 11:38:16)
SIT 2010 Default data</t>
        </r>
      </text>
    </comment>
    <comment ref="C85" authorId="0" shapeId="0" xr:uid="{00000000-0006-0000-1000-000015000000}">
      <text>
        <r>
          <rPr>
            <sz val="8"/>
            <color rgb="FF000000"/>
            <rFont val="Calibri"/>
            <scheme val="minor"/>
          </rPr>
          <t>======
ID#AAABwKiOV18
    (2021-05-10 11:38:16)
SIT 2010 Default data</t>
        </r>
      </text>
    </comment>
    <comment ref="C88" authorId="0" shapeId="0" xr:uid="{00000000-0006-0000-1000-000003000000}">
      <text>
        <r>
          <rPr>
            <sz val="8"/>
            <color rgb="FF000000"/>
            <rFont val="Calibri"/>
            <scheme val="minor"/>
          </rPr>
          <t>======
ID#AAABwKiOVtY
    (2021-05-10 11:38:16)
SIT Default 2010</t>
        </r>
      </text>
    </comment>
    <comment ref="E95" authorId="0" shapeId="0" xr:uid="{00000000-0006-0000-1000-000030000000}">
      <text>
        <r>
          <rPr>
            <sz val="8"/>
            <color rgb="FF000000"/>
            <rFont val="Calibri"/>
            <scheme val="minor"/>
          </rPr>
          <t>======
ID#AAABwKiOVyw
    (2021-05-10 11:38:16)
This data can be obtained departments in each state responsible for agricultural research.  USDA: http://www.nass.usda.gov/Data_and_Statistics/index.asp</t>
        </r>
      </text>
    </comment>
    <comment ref="G95" authorId="0" shapeId="0" xr:uid="{00000000-0006-0000-1000-000034000000}">
      <text>
        <r>
          <rPr>
            <sz val="8"/>
            <color rgb="FF000000"/>
            <rFont val="Calibri"/>
            <scheme val="minor"/>
          </rPr>
          <t>======
ID#AAABwKiOV2Y
J Casola    (2021-05-10 11:38:16)
Corn for Grain, All Wheat, Barley, Sorghum, Oats, Rye, and Soybeans back-calculated from bushel and tonnage values found in "Field Crops, Final Estimates, 1992-1997" SB 947a USDA/NASS. Other crops assumed conversion 0.027215</t>
        </r>
      </text>
    </comment>
    <comment ref="I95" authorId="0" shapeId="0" xr:uid="{00000000-0006-0000-1000-000037000000}">
      <text>
        <r>
          <rPr>
            <sz val="8"/>
            <color rgb="FF000000"/>
            <rFont val="Calibri"/>
            <scheme val="minor"/>
          </rPr>
          <t>======
ID#AAABwKiOVzc
DLekas    (2021-05-10 11:38:16)
EIIP 1999 &amp; EPA 2001</t>
        </r>
      </text>
    </comment>
    <comment ref="AC95" authorId="0" shapeId="0" xr:uid="{00000000-0006-0000-1000-00004B000000}">
      <text>
        <r>
          <rPr>
            <sz val="8"/>
            <color rgb="FF000000"/>
            <rFont val="Calibri"/>
            <scheme val="minor"/>
          </rPr>
          <t>======
ID#AAABwKiOVrE
    (2021-05-10 11:38:16)
Metric tons N2O are converted to MMTCE by multiplying by the N2O global warming potential (310 N2O/CO2). multiplying by 12/44 (to convert from CO2 to C), and then dividing by 1,000,000.</t>
        </r>
      </text>
    </comment>
    <comment ref="AE95" authorId="0" shapeId="0" xr:uid="{00000000-0006-0000-1000-000001000000}">
      <text>
        <r>
          <rPr>
            <sz val="8"/>
            <color rgb="FF000000"/>
            <rFont val="Calibri"/>
            <scheme val="minor"/>
          </rPr>
          <t>======
ID#AAABwKiOV1I
    (2021-05-10 11:38:16)
MMTCE are converted to MMTCO2E by dividing by 12/44 (to convert from C to CO2).</t>
        </r>
      </text>
    </comment>
    <comment ref="E123" authorId="0" shapeId="0" xr:uid="{00000000-0006-0000-1000-000023000000}">
      <text>
        <r>
          <rPr>
            <sz val="8"/>
            <color rgb="FF000000"/>
            <rFont val="Calibri"/>
            <scheme val="minor"/>
          </rPr>
          <t>======
ID#AAABwKiOVqg
    (2021-05-10 11:38:16)
According to the US Inventory, 65% of the fertilizer consumption takes place from Jan-June and 35% from July-Dec.</t>
        </r>
      </text>
    </comment>
    <comment ref="S123" authorId="0" shapeId="0" xr:uid="{00000000-0006-0000-1000-00002A000000}">
      <text>
        <r>
          <rPr>
            <sz val="8"/>
            <color rgb="FF000000"/>
            <rFont val="Calibri"/>
            <scheme val="minor"/>
          </rPr>
          <t>======
ID#AAABwKiOVxM
    (2021-05-10 11:38:16)
Metric tons N2O are converted to MMTCE by multiplying by the N2O global warming potential (310 N2O/CO2). multiplying by 12/44 (to convert from CO2 to C), and then dividing by 1,000,000.</t>
        </r>
      </text>
    </comment>
    <comment ref="U123" authorId="0" shapeId="0" xr:uid="{00000000-0006-0000-1000-00002B000000}">
      <text>
        <r>
          <rPr>
            <sz val="8"/>
            <color rgb="FF000000"/>
            <rFont val="Calibri"/>
            <scheme val="minor"/>
          </rPr>
          <t>======
ID#AAABwKiOVzY
    (2021-05-10 11:38:16)
Metric tons N2O are converted to MMTCE by multiplying by the N2O global warming potential (310 N2O/CO2). multiplying by 12/44 (to convert from CO2 to C), and then dividing by 1,000,000.</t>
        </r>
      </text>
    </comment>
    <comment ref="W123" authorId="0" shapeId="0" xr:uid="{00000000-0006-0000-1000-00002C000000}">
      <text>
        <r>
          <rPr>
            <sz val="8"/>
            <color rgb="FF000000"/>
            <rFont val="Calibri"/>
            <scheme val="minor"/>
          </rPr>
          <t>======
ID#AAABwKiOVtM
    (2021-05-10 11:38:16)
MMTCE are converted to MMTCO2E by dividing by 12/44 (to convert from C to CO2).</t>
        </r>
      </text>
    </comment>
    <comment ref="Y123" authorId="0" shapeId="0" xr:uid="{00000000-0006-0000-1000-00002D000000}">
      <text>
        <r>
          <rPr>
            <sz val="8"/>
            <color rgb="FF000000"/>
            <rFont val="Calibri"/>
            <scheme val="minor"/>
          </rPr>
          <t>======
ID#AAABwKiOV0g
    (2021-05-10 11:38:16)
MMTCE are converted to MMTCO2E by dividing by 12/44 (to convert from C to CO2).</t>
        </r>
      </text>
    </comment>
    <comment ref="C124" authorId="0" shapeId="0" xr:uid="{00000000-0006-0000-1000-000032000000}">
      <text>
        <r>
          <rPr>
            <sz val="8"/>
            <color rgb="FF000000"/>
            <rFont val="Calibri"/>
            <scheme val="minor"/>
          </rPr>
          <t>======
ID#AAABwKiOVrs
    (2021-05-10 11:38:16)
Total Nitrogen "2011 Tonnage Report" -MDA
July 2010 - June 2011</t>
        </r>
      </text>
    </comment>
    <comment ref="O124" authorId="0" shapeId="0" xr:uid="{00000000-0006-0000-1000-000043000000}">
      <text>
        <r>
          <rPr>
            <sz val="8"/>
            <color rgb="FF000000"/>
            <rFont val="Calibri"/>
            <scheme val="minor"/>
          </rPr>
          <t>======
ID#AAABwKiOVqU
rthunell    (2021-05-10 11:38:16)
Emissions = 
(Activity/kg_ MT CF) x EF_Dir x N2O_N2 CF
kg_MT CF = 1000
EF_DIR = 0.01
N2O_N2 CF = 44/28</t>
        </r>
      </text>
    </comment>
    <comment ref="Q124" authorId="0" shapeId="0" xr:uid="{00000000-0006-0000-1000-000045000000}">
      <text>
        <r>
          <rPr>
            <sz val="8"/>
            <color rgb="FF000000"/>
            <rFont val="Calibri"/>
            <scheme val="minor"/>
          </rPr>
          <t>======
ID#AAABwKiOVzQ
rthunell    (2021-05-10 11:38:16)
rthunell:
Emissions = 
(Activity/kg_ MT CF) x EF_VOL x N2O_N2 CF
kg_MT CF = 1000
EF_VOL = 0.01
N2O_N2 CF = 44/28</t>
        </r>
      </text>
    </comment>
    <comment ref="K125" authorId="0" shapeId="0" xr:uid="{00000000-0006-0000-1000-000005000000}">
      <text>
        <r>
          <rPr>
            <sz val="8"/>
            <color rgb="FF000000"/>
            <rFont val="Calibri"/>
            <scheme val="minor"/>
          </rPr>
          <t>======
ID#AAABwKiOVuY
    (2021-05-10 11:38:16)
According to the IPCC Good Practice Guidance, the manure portion of organic fertilizers is subtracted from the total of organic fertilizers.</t>
        </r>
      </text>
    </comment>
    <comment ref="M125" authorId="0" shapeId="0" xr:uid="{00000000-0006-0000-1000-00000A000000}">
      <text>
        <r>
          <rPr>
            <sz val="8"/>
            <color rgb="FF000000"/>
            <rFont val="Calibri"/>
            <scheme val="minor"/>
          </rPr>
          <t>======
ID#AAABwKiOV0U
    (2021-05-10 11:38:16)
According to the IPCC Good Practice Guidance, the manure portion of organic fertilizers is subtracted from the total of organic fertilizers.</t>
        </r>
      </text>
    </comment>
    <comment ref="B135" authorId="0" shapeId="0" xr:uid="{00000000-0006-0000-1000-00001D000000}">
      <text>
        <r>
          <rPr>
            <sz val="8"/>
            <color rgb="FF000000"/>
            <rFont val="Calibri"/>
            <scheme val="minor"/>
          </rPr>
          <t>======
ID#AAABwKiOVtQ
    (2021-05-10 11:38:16)
According to the IPCC Good Practice Guidance, the manure portion of organic fertilizers is subtracted from the total of organic fertilizers.</t>
        </r>
      </text>
    </comment>
    <comment ref="C140" authorId="0" shapeId="0" xr:uid="{00000000-0006-0000-1000-000029000000}">
      <text>
        <r>
          <rPr>
            <sz val="8"/>
            <color rgb="FF000000"/>
            <rFont val="Calibri"/>
            <scheme val="minor"/>
          </rPr>
          <t>======
ID#AAABwKiOV4A
    (2021-05-10 11:38:16)
Total Nitrogen "2012 Tonnage Report" -MDA
July 2011 - June 2012</t>
        </r>
      </text>
    </comment>
    <comment ref="B151" authorId="0" shapeId="0" xr:uid="{00000000-0006-0000-1000-000013000000}">
      <text>
        <r>
          <rPr>
            <sz val="8"/>
            <color rgb="FF000000"/>
            <rFont val="Calibri"/>
            <scheme val="minor"/>
          </rPr>
          <t>======
ID#AAABwKiOVw8
    (2021-05-10 11:38:16)
According to the IPCC Good Practice Guidance, the manure portion of organic fertilizers is subtracted from the total of organic fertilizers.</t>
        </r>
      </text>
    </comment>
    <comment ref="E155" authorId="0" shapeId="0" xr:uid="{00000000-0006-0000-1000-000012000000}">
      <text>
        <r>
          <rPr>
            <sz val="8"/>
            <color rgb="FF000000"/>
            <rFont val="Calibri"/>
            <scheme val="minor"/>
          </rPr>
          <t>======
ID#AAABwKiOVwY
rthunell    (2021-05-10 11:38:16)
TAM: Typical Animal Mass</t>
        </r>
      </text>
    </comment>
    <comment ref="K155" authorId="0" shapeId="0" xr:uid="{00000000-0006-0000-1000-000017000000}">
      <text>
        <r>
          <rPr>
            <sz val="8"/>
            <color rgb="FF000000"/>
            <rFont val="Calibri"/>
            <scheme val="minor"/>
          </rPr>
          <t>======
ID#AAABwKiOV2k
    (2021-05-10 11:38:16)
Volatilization = 20%; 
NH3-NOx EF (kg N2O/kg N) = 0.01</t>
        </r>
      </text>
    </comment>
    <comment ref="S155" authorId="0" shapeId="0" xr:uid="{00000000-0006-0000-1000-00001B000000}">
      <text>
        <r>
          <rPr>
            <sz val="8"/>
            <color rgb="FF000000"/>
            <rFont val="Calibri"/>
            <scheme val="minor"/>
          </rPr>
          <t>======
ID#AAABwKiOVsU
rthunell    (2021-05-10 11:38:16)
Volatilization = 20%; 
NonVOL EF (kg N2O/kg N) = 0.0125
Poultry Not Managed = 0.042</t>
        </r>
      </text>
    </comment>
    <comment ref="U155" authorId="0" shapeId="0" xr:uid="{00000000-0006-0000-1000-00001C000000}">
      <text>
        <r>
          <rPr>
            <sz val="8"/>
            <color rgb="FF000000"/>
            <rFont val="Calibri"/>
            <scheme val="minor"/>
          </rPr>
          <t>======
ID#AAABwKiOVzM
rthunell    (2021-05-10 11:38:16)
prtEF = 0.02</t>
        </r>
      </text>
    </comment>
    <comment ref="W155" authorId="0" shapeId="0" xr:uid="{00000000-0006-0000-1000-00001E000000}">
      <text>
        <r>
          <rPr>
            <sz val="8"/>
            <color rgb="FF000000"/>
            <rFont val="Calibri"/>
            <scheme val="minor"/>
          </rPr>
          <t>======
ID#AAABwKiOVzg
rthunell    (2021-05-10 11:38:16)
Leach EF = 0.30
Runoff/Leach EF = 0.0075</t>
        </r>
      </text>
    </comment>
    <comment ref="BN155" authorId="0" shapeId="0" xr:uid="{00000000-0006-0000-1000-000031000000}">
      <text>
        <r>
          <rPr>
            <sz val="8"/>
            <color rgb="FF000000"/>
            <rFont val="Calibri"/>
            <scheme val="minor"/>
          </rPr>
          <t>======
ID#AAABwKiOVxo
DLekas    (2021-05-10 11:38:16)
Source: EIIP Table 7.4.6</t>
        </r>
      </text>
    </comment>
    <comment ref="BQ155" authorId="0" shapeId="0" xr:uid="{00000000-0006-0000-1000-000038000000}">
      <text>
        <r>
          <rPr>
            <sz val="8"/>
            <color rgb="FF000000"/>
            <rFont val="Calibri"/>
            <scheme val="minor"/>
          </rPr>
          <t>======
ID#AAABwKiOVrk
DLekas    (2021-05-10 11:38:16)
Source: EIIP Table 7.4.7</t>
        </r>
      </text>
    </comment>
    <comment ref="BU155" authorId="0" shapeId="0" xr:uid="{00000000-0006-0000-1000-00003C000000}">
      <text>
        <r>
          <rPr>
            <sz val="8"/>
            <color rgb="FF000000"/>
            <rFont val="Calibri"/>
            <scheme val="minor"/>
          </rPr>
          <t>======
ID#AAABwKiOVqY
DLekas    (2021-05-10 11:38:16)
US Inventory
0% was assumed for both on feed and not on feed sheep for states without sheep data</t>
        </r>
      </text>
    </comment>
    <comment ref="BY155" authorId="0" shapeId="0" xr:uid="{00000000-0006-0000-1000-000042000000}">
      <text>
        <r>
          <rPr>
            <sz val="8"/>
            <color rgb="FF000000"/>
            <rFont val="Calibri"/>
            <scheme val="minor"/>
          </rPr>
          <t>======
ID#AAABwKiOVs4
    (2021-05-10 11:38:16)
Pgroth: Changed to 100% PRP in 1/03 per discussion w/Joe Mangino.</t>
        </r>
      </text>
    </comment>
    <comment ref="CB155" authorId="0" shapeId="0" xr:uid="{00000000-0006-0000-1000-000046000000}">
      <text>
        <r>
          <rPr>
            <sz val="8"/>
            <color rgb="FF000000"/>
            <rFont val="Calibri"/>
            <scheme val="minor"/>
          </rPr>
          <t>======
ID#AAABwKiOVzE
    (2021-05-10 11:38:16)
Pgroth: Changed to 100% PRP in 1/03 per discussion w/Joe Mangino.</t>
        </r>
      </text>
    </comment>
    <comment ref="BI156" authorId="0" shapeId="0" xr:uid="{00000000-0006-0000-1000-000002000000}">
      <text>
        <r>
          <rPr>
            <sz val="8"/>
            <color rgb="FF000000"/>
            <rFont val="Calibri"/>
            <scheme val="minor"/>
          </rPr>
          <t>======
ID#AAABwKiOV1s
Philip Groth    (2021-05-10 11:38:16)
ERG:
Assumed "Other" Systems fall into a category with an emission factor similar to solid storage.</t>
        </r>
      </text>
    </comment>
    <comment ref="C160" authorId="0" shapeId="0" xr:uid="{00000000-0006-0000-1000-000021000000}">
      <text>
        <r>
          <rPr>
            <sz val="8"/>
            <color rgb="FF000000"/>
            <rFont val="Calibri"/>
            <scheme val="minor"/>
          </rPr>
          <t>======
ID#AAABwKiOVsA
    (2021-05-10 11:38:16)
SIT 2009 default</t>
        </r>
      </text>
    </comment>
    <comment ref="C161" authorId="0" shapeId="0" xr:uid="{00000000-0006-0000-1000-00002E000000}">
      <text>
        <r>
          <rPr>
            <sz val="8"/>
            <color rgb="FF000000"/>
            <rFont val="Calibri"/>
            <scheme val="minor"/>
          </rPr>
          <t>======
ID#AAABwKiOVvA
    (2021-05-10 11:38:16)
SIT 2009 Default</t>
        </r>
      </text>
    </comment>
    <comment ref="B166" authorId="0" shapeId="0" xr:uid="{00000000-0006-0000-1000-000048000000}">
      <text>
        <r>
          <rPr>
            <sz val="8"/>
            <color rgb="FF000000"/>
            <rFont val="Calibri"/>
            <scheme val="minor"/>
          </rPr>
          <t>======
ID#AAABwKiOVz8
    (2021-05-10 11:38:16)
Includes Heifer Stockers and Beef Replacement Heifers.</t>
        </r>
      </text>
    </comment>
    <comment ref="C166" authorId="0" shapeId="0" xr:uid="{00000000-0006-0000-1000-00004A000000}">
      <text>
        <r>
          <rPr>
            <sz val="8"/>
            <color rgb="FF000000"/>
            <rFont val="Calibri"/>
            <scheme val="minor"/>
          </rPr>
          <t>======
ID#AAABwKiOVyc
    (2021-05-10 11:38:16)
Total Beef Heifers = Heifer Stockers + Beef Replacement Heifer</t>
        </r>
      </text>
    </comment>
    <comment ref="C170" authorId="0" shapeId="0" xr:uid="{00000000-0006-0000-1000-000047000000}">
      <text>
        <r>
          <rPr>
            <sz val="8"/>
            <color rgb="FF000000"/>
            <rFont val="Calibri"/>
            <scheme val="minor"/>
          </rPr>
          <t>======
ID#AAABwKiOVzo
    (2021-05-10 11:38:16)
USDA 2007 data</t>
        </r>
      </text>
    </comment>
    <comment ref="C175" authorId="0" shapeId="0" xr:uid="{00000000-0006-0000-1000-00000C000000}">
      <text>
        <r>
          <rPr>
            <sz val="8"/>
            <color rgb="FF000000"/>
            <rFont val="Calibri"/>
            <scheme val="minor"/>
          </rPr>
          <t>======
ID#AAABwKiOV00
    (2021-05-10 11:38:16)
SIT 2009 Default data</t>
        </r>
      </text>
    </comment>
    <comment ref="C176" authorId="0" shapeId="0" xr:uid="{00000000-0006-0000-1000-00001A000000}">
      <text>
        <r>
          <rPr>
            <sz val="8"/>
            <color rgb="FF000000"/>
            <rFont val="Calibri"/>
            <scheme val="minor"/>
          </rPr>
          <t>======
ID#AAABwKiOV08
    (2021-05-10 11:38:16)
SIT 2009 Default data</t>
        </r>
      </text>
    </comment>
    <comment ref="C177" authorId="0" shapeId="0" xr:uid="{00000000-0006-0000-1000-000027000000}">
      <text>
        <r>
          <rPr>
            <sz val="8"/>
            <color rgb="FF000000"/>
            <rFont val="Calibri"/>
            <scheme val="minor"/>
          </rPr>
          <t>======
ID#AAABwKiOVvU
    (2021-05-10 11:38:16)
SIT 2009 Default data</t>
        </r>
      </text>
    </comment>
    <comment ref="C178" authorId="0" shapeId="0" xr:uid="{00000000-0006-0000-1000-000040000000}">
      <text>
        <r>
          <rPr>
            <sz val="8"/>
            <color rgb="FF000000"/>
            <rFont val="Calibri"/>
            <scheme val="minor"/>
          </rPr>
          <t>======
ID#AAABwKiOVqw
    (2021-05-10 11:38:16)
SIT 2009 Default data</t>
        </r>
      </text>
    </comment>
    <comment ref="C179" authorId="0" shapeId="0" xr:uid="{00000000-0006-0000-1000-000008000000}">
      <text>
        <r>
          <rPr>
            <sz val="8"/>
            <color rgb="FF000000"/>
            <rFont val="Calibri"/>
            <scheme val="minor"/>
          </rPr>
          <t>======
ID#AAABwKiOV3w
    (2021-05-10 11:38:16)
SIT 2009 Default data</t>
        </r>
      </text>
    </comment>
    <comment ref="C182" authorId="0" shapeId="0" xr:uid="{00000000-0006-0000-1000-00003A000000}">
      <text>
        <r>
          <rPr>
            <sz val="8"/>
            <color rgb="FF000000"/>
            <rFont val="Calibri"/>
            <scheme val="minor"/>
          </rPr>
          <t>======
ID#AAABwKiOVrI
    (2021-05-10 11:38:16)
USDA 2009 data</t>
        </r>
      </text>
    </comment>
    <comment ref="G197" authorId="0" shapeId="0" xr:uid="{00000000-0006-0000-1000-000020000000}">
      <text>
        <r>
          <rPr>
            <sz val="8"/>
            <color rgb="FF000000"/>
            <rFont val="Calibri"/>
            <scheme val="minor"/>
          </rPr>
          <t>======
ID#AAABwKiOV0A
J Casola    (2021-05-10 11:38:16)
Corn for Grain, All Wheat, Barley, Sorghum, Oats, Rye, and Soybeans back-calculated from bushel and tonnage values found in "Field Crops, Final Estimates, 1992-1997" SB 947a USDA/NASS. Other crops assumed conversion 0.027215</t>
        </r>
      </text>
    </comment>
    <comment ref="Y197" authorId="0" shapeId="0" xr:uid="{00000000-0006-0000-1000-000028000000}">
      <text>
        <r>
          <rPr>
            <sz val="8"/>
            <color rgb="FF000000"/>
            <rFont val="Calibri"/>
            <scheme val="minor"/>
          </rPr>
          <t>======
ID#AAABwKiOVzw
    (2021-05-10 11:38:16)
CH4 Emission = Total C Released (metric tons C) *CH4-C Emission Ratio (0.005) * CH4- C Conversion factor (16/12)</t>
        </r>
      </text>
    </comment>
    <comment ref="Y212" authorId="0" shapeId="0" xr:uid="{00000000-0006-0000-1000-000010000000}">
      <text>
        <r>
          <rPr>
            <sz val="8"/>
            <color rgb="FF000000"/>
            <rFont val="Calibri"/>
            <scheme val="minor"/>
          </rPr>
          <t>======
ID#AAABwKiOVtc
    (2021-05-10 11:38:16)
N2O Emission = Total N Released (metric tons C) *N2O-N Emission Ratio (0.007) * N2O- N Conversion factor (1.57)</t>
        </r>
      </text>
    </comment>
  </commentList>
  <extLst>
    <ext xmlns:r="http://schemas.openxmlformats.org/officeDocument/2006/relationships" uri="GoogleSheetsCustomDataVersion2">
      <go:sheetsCustomData xmlns:go="http://customooxmlschemas.google.com/" r:id="rId1" roundtripDataSignature="AMtx7mh8rQ4GwT3NURqrLgNZMg5cSYCerQ=="/>
    </ext>
  </extL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
  </authors>
  <commentList>
    <comment ref="Z29" authorId="0" shapeId="0" xr:uid="{00000000-0006-0000-1200-000001000000}">
      <text>
        <r>
          <rPr>
            <sz val="8"/>
            <color rgb="FF000000"/>
            <rFont val="Calibri"/>
            <scheme val="minor"/>
          </rPr>
          <t>======
ID#AAABwKiOVuk
    (2021-05-10 11:38:16)
NO CH4 Emission Reported</t>
        </r>
      </text>
    </comment>
  </commentList>
  <extLst>
    <ext xmlns:r="http://schemas.openxmlformats.org/officeDocument/2006/relationships" uri="GoogleSheetsCustomDataVersion2">
      <go:sheetsCustomData xmlns:go="http://customooxmlschemas.google.com/" r:id="rId1" roundtripDataSignature="AMtx7mhDvKteesjZZlTs8p7fU6kNbr+ucA=="/>
    </ext>
  </extL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
  </authors>
  <commentList>
    <comment ref="P9" authorId="0" shapeId="0" xr:uid="{00000000-0006-0000-1300-000002000000}">
      <text>
        <r>
          <rPr>
            <sz val="8"/>
            <color rgb="FF000000"/>
            <rFont val="Calibri"/>
            <scheme val="minor"/>
          </rPr>
          <t>======
ID#AAABwKiOV20
Assuming Complete Combustion    (2021-05-10 11:38:16)
CH4  +   2O2  = CO2 + 2H2O
1 kmole CH4 (16 kg) yield 1 kmole CO2(44kg)</t>
        </r>
      </text>
    </comment>
    <comment ref="Q9" authorId="0" shapeId="0" xr:uid="{00000000-0006-0000-1300-000003000000}">
      <text>
        <r>
          <rPr>
            <sz val="8"/>
            <color rgb="FF000000"/>
            <rFont val="Calibri"/>
            <scheme val="minor"/>
          </rPr>
          <t>======
ID#AAABwKiOVss
    (2021-05-10 11:38:16)
Uncombusted Flare Emission of CH4 =
mass flow of CH4 (short tons/yr) x (normalized collection Efficiency) x (1 - flare control efficiency)</t>
        </r>
      </text>
    </comment>
    <comment ref="R9" authorId="0" shapeId="0" xr:uid="{00000000-0006-0000-1300-000004000000}">
      <text>
        <r>
          <rPr>
            <sz val="8"/>
            <color rgb="FF000000"/>
            <rFont val="Calibri"/>
            <scheme val="minor"/>
          </rPr>
          <t>======
ID#AAABwKiOV34
    (2021-05-10 11:38:16)
Fugitive Emission of CH4 =
(mass flow of CH4, tons/yr) x (1- normalized collection efiiciency) x (1- surface oxidation factor)</t>
        </r>
      </text>
    </comment>
    <comment ref="L11" authorId="0" shapeId="0" xr:uid="{00000000-0006-0000-1300-00001C000000}">
      <text>
        <r>
          <rPr>
            <sz val="8"/>
            <color rgb="FF000000"/>
            <rFont val="Calibri"/>
            <scheme val="minor"/>
          </rPr>
          <t>======
ID#AAABwKiOVyo
    (2021-05-10 11:38:16)
2011 Emission Certificate Report: LFG Flow to flare=558.4/LFG Generation Rate =773.0</t>
        </r>
      </text>
    </comment>
    <comment ref="K15" authorId="0" shapeId="0" xr:uid="{00000000-0006-0000-1300-000019000000}">
      <text>
        <r>
          <rPr>
            <sz val="8"/>
            <color rgb="FF000000"/>
            <rFont val="Calibri"/>
            <scheme val="minor"/>
          </rPr>
          <t>======
ID#AAABwKiOVs0
Qudus    (2021-05-10 11:38:16)
New ECR Data</t>
        </r>
      </text>
    </comment>
    <comment ref="L16" authorId="0" shapeId="0" xr:uid="{00000000-0006-0000-1300-000024000000}">
      <text>
        <r>
          <rPr>
            <sz val="8"/>
            <color rgb="FF000000"/>
            <rFont val="Calibri"/>
            <scheme val="minor"/>
          </rPr>
          <t>======
ID#AAABwKiOVvM
    (2021-05-10 11:38:16)
2011 Emission Certification Report.</t>
        </r>
      </text>
    </comment>
    <comment ref="D21" authorId="0" shapeId="0" xr:uid="{00000000-0006-0000-1300-00002D000000}">
      <text>
        <r>
          <rPr>
            <sz val="8"/>
            <color rgb="FF000000"/>
            <rFont val="Calibri"/>
            <scheme val="minor"/>
          </rPr>
          <t>======
ID#AAABwKiOVtg
wsimms    (2021-05-10 11:38:16)
CHANGED 2008 FROM 13.8 TO 18.320622 MILLION.</t>
        </r>
      </text>
    </comment>
    <comment ref="D23" authorId="0" shapeId="0" xr:uid="{00000000-0006-0000-1300-00000E000000}">
      <text>
        <r>
          <rPr>
            <sz val="8"/>
            <color rgb="FF000000"/>
            <rFont val="Calibri"/>
            <scheme val="minor"/>
          </rPr>
          <t>======
ID#AAABwKiOVqs
wsimms    (2021-05-10 11:38:16)
CHANGED 2008 FROM 7.8 TO 22.813 MILLION.</t>
        </r>
      </text>
    </comment>
    <comment ref="L23" authorId="0" shapeId="0" xr:uid="{00000000-0006-0000-1300-000013000000}">
      <text>
        <r>
          <rPr>
            <sz val="8"/>
            <color rgb="FF000000"/>
            <rFont val="Calibri"/>
            <scheme val="minor"/>
          </rPr>
          <t>======
ID#AAABwKiOV3Q
    (2021-05-10 11:38:16)
2011 Emission Certification Report.</t>
        </r>
      </text>
    </comment>
    <comment ref="N23" authorId="0" shapeId="0" xr:uid="{00000000-0006-0000-1300-000015000000}">
      <text>
        <r>
          <rPr>
            <sz val="8"/>
            <color rgb="FF000000"/>
            <rFont val="Calibri"/>
            <scheme val="minor"/>
          </rPr>
          <t>======
ID#AAABwKiOVvw
    (2021-05-10 11:38:16)
Emission Certification Report.</t>
        </r>
      </text>
    </comment>
    <comment ref="D27" authorId="0" shapeId="0" xr:uid="{00000000-0006-0000-1300-00000D000000}">
      <text>
        <r>
          <rPr>
            <sz val="8"/>
            <color rgb="FF000000"/>
            <rFont val="Calibri"/>
            <scheme val="minor"/>
          </rPr>
          <t>======
ID#AAABwKiOVts
wsimms    (2021-05-10 11:38:16)
CHANGED 2008 2.1 TO 2.79929</t>
        </r>
      </text>
    </comment>
    <comment ref="D31" authorId="0" shapeId="0" xr:uid="{00000000-0006-0000-1300-00000C000000}">
      <text>
        <r>
          <rPr>
            <sz val="8"/>
            <color rgb="FF000000"/>
            <rFont val="Calibri"/>
            <scheme val="minor"/>
          </rPr>
          <t>======
ID#AAABwKiOV2w
wsimms    (2021-05-10 11:38:16)
CHANGED 2008 FROM 2.6 TO 3.504187 MILLION.</t>
        </r>
      </text>
    </comment>
    <comment ref="L31" authorId="0" shapeId="0" xr:uid="{00000000-0006-0000-1300-00000F000000}">
      <text>
        <r>
          <rPr>
            <sz val="8"/>
            <color rgb="FF000000"/>
            <rFont val="Calibri"/>
            <scheme val="minor"/>
          </rPr>
          <t>======
ID#AAABwKiOVsw
    (2021-05-10 11:38:16)
2011 Emission Certification Report.</t>
        </r>
      </text>
    </comment>
    <comment ref="N31" authorId="0" shapeId="0" xr:uid="{00000000-0006-0000-1300-000010000000}">
      <text>
        <r>
          <rPr>
            <sz val="8"/>
            <color rgb="FF000000"/>
            <rFont val="Calibri"/>
            <scheme val="minor"/>
          </rPr>
          <t>======
ID#AAABwKiOVuo
    (2021-05-10 11:38:16)
2011 Emission Certification Report.</t>
        </r>
      </text>
    </comment>
    <comment ref="L33" authorId="0" shapeId="0" xr:uid="{00000000-0006-0000-1300-00002A000000}">
      <text>
        <r>
          <rPr>
            <sz val="8"/>
            <color rgb="FF000000"/>
            <rFont val="Calibri"/>
            <scheme val="minor"/>
          </rPr>
          <t>======
ID#AAABwKiOVyU
    (2021-05-10 11:38:16)
2011  GHGRP Report</t>
        </r>
      </text>
    </comment>
    <comment ref="N33" authorId="0" shapeId="0" xr:uid="{00000000-0006-0000-1300-00002B000000}">
      <text>
        <r>
          <rPr>
            <sz val="8"/>
            <color rgb="FF000000"/>
            <rFont val="Calibri"/>
            <scheme val="minor"/>
          </rPr>
          <t>======
ID#AAABwKiOVr0
    (2021-05-10 11:38:16)
Emission Certification Report.</t>
        </r>
      </text>
    </comment>
    <comment ref="D36" authorId="0" shapeId="0" xr:uid="{00000000-0006-0000-1300-00001B000000}">
      <text>
        <r>
          <rPr>
            <sz val="8"/>
            <color rgb="FF000000"/>
            <rFont val="Calibri"/>
            <scheme val="minor"/>
          </rPr>
          <t>======
ID#AAABwKiOV1E
wsimms    (2021-05-10 11:38:16)
CHANGED 2008 FROM 3.0 TO 4.505 MILLION.</t>
        </r>
      </text>
    </comment>
    <comment ref="L36" authorId="0" shapeId="0" xr:uid="{00000000-0006-0000-1300-00001D000000}">
      <text>
        <r>
          <rPr>
            <sz val="8"/>
            <color rgb="FF000000"/>
            <rFont val="Calibri"/>
            <scheme val="minor"/>
          </rPr>
          <t>======
ID#AAABwKiOVvY
    (2021-05-10 11:38:16)
2011 Emission Certificate Report.</t>
        </r>
      </text>
    </comment>
    <comment ref="N36" authorId="0" shapeId="0" xr:uid="{00000000-0006-0000-1300-00001E000000}">
      <text>
        <r>
          <rPr>
            <sz val="8"/>
            <color rgb="FF000000"/>
            <rFont val="Calibri"/>
            <scheme val="minor"/>
          </rPr>
          <t>======
ID#AAABwKiOV3M
    (2021-05-10 11:38:16)
2011 Emission Certification Report.</t>
        </r>
      </text>
    </comment>
    <comment ref="D38" authorId="0" shapeId="0" xr:uid="{00000000-0006-0000-1300-000033000000}">
      <text>
        <r>
          <rPr>
            <sz val="8"/>
            <color rgb="FF000000"/>
            <rFont val="Calibri"/>
            <scheme val="minor"/>
          </rPr>
          <t>======
ID#AAABwKiOVw0
wsimms    (2021-05-10 11:38:16)
CHANGED 2008 FROM 3.2 TO 4.3747 MILLION.</t>
        </r>
      </text>
    </comment>
    <comment ref="D42" authorId="0" shapeId="0" xr:uid="{00000000-0006-0000-1300-000032000000}">
      <text>
        <r>
          <rPr>
            <sz val="8"/>
            <color rgb="FF000000"/>
            <rFont val="Calibri"/>
            <scheme val="minor"/>
          </rPr>
          <t>======
ID#AAABwKiOVr8
wsimms    (2021-05-10 11:38:16)
2005 CAPACITY 4.1 MILLION WAS NOT CHANGED EVEN THOUGH 2008 WAS LISTED AS 1.483205.</t>
        </r>
      </text>
    </comment>
    <comment ref="K42" authorId="0" shapeId="0" xr:uid="{00000000-0006-0000-1300-000001000000}">
      <text>
        <r>
          <rPr>
            <sz val="8"/>
            <color rgb="FF000000"/>
            <rFont val="Calibri"/>
            <scheme val="minor"/>
          </rPr>
          <t>======
ID#AAABwKiOV4I
Qudus    (2021-05-10 11:38:16)
GHGRP_Data</t>
        </r>
      </text>
    </comment>
    <comment ref="D44" authorId="0" shapeId="0" xr:uid="{00000000-0006-0000-1300-000016000000}">
      <text>
        <r>
          <rPr>
            <sz val="8"/>
            <color rgb="FF000000"/>
            <rFont val="Calibri"/>
            <scheme val="minor"/>
          </rPr>
          <t>======
ID#AAABwKiOVu4
wsimms    (2021-05-10 11:38:16)
CHANGED 2008 FROM 0.75 TO 1.0009 MILLION.</t>
        </r>
      </text>
    </comment>
    <comment ref="L45" authorId="0" shapeId="0" xr:uid="{00000000-0006-0000-1300-000025000000}">
      <text>
        <r>
          <rPr>
            <sz val="8"/>
            <color rgb="FF000000"/>
            <rFont val="Calibri"/>
            <scheme val="minor"/>
          </rPr>
          <t>======
ID#AAABwKiOVvk
    (2021-05-10 11:38:16)
2011 Emission Certification Report.</t>
        </r>
      </text>
    </comment>
    <comment ref="N45" authorId="0" shapeId="0" xr:uid="{00000000-0006-0000-1300-000026000000}">
      <text>
        <r>
          <rPr>
            <sz val="8"/>
            <color rgb="FF000000"/>
            <rFont val="Calibri"/>
            <scheme val="minor"/>
          </rPr>
          <t>======
ID#AAABwKiOV1g
    (2021-05-10 11:38:16)
2011 Emission Certification Report.</t>
        </r>
      </text>
    </comment>
    <comment ref="D46" authorId="0" shapeId="0" xr:uid="{00000000-0006-0000-1300-000030000000}">
      <text>
        <r>
          <rPr>
            <sz val="8"/>
            <color rgb="FF000000"/>
            <rFont val="Calibri"/>
            <scheme val="minor"/>
          </rPr>
          <t>======
ID#AAABwKiOV3Y
wsimms    (2021-05-10 11:38:16)
CHANGED 2008 FROM 3.2 TO 4.226188 MILLION.</t>
        </r>
      </text>
    </comment>
    <comment ref="C48" authorId="0" shapeId="0" xr:uid="{00000000-0006-0000-1300-000011000000}">
      <text>
        <r>
          <rPr>
            <sz val="8"/>
            <color rgb="FF000000"/>
            <rFont val="Calibri"/>
            <scheme val="minor"/>
          </rPr>
          <t>======
ID#AAABwKiOVsc
Walter A. Simms    (2021-05-10 11:38:16)
This landfill was known by the name Del Signiore, but it is now Garrett Co. SWD&amp;RF</t>
        </r>
      </text>
    </comment>
    <comment ref="D48" authorId="0" shapeId="0" xr:uid="{00000000-0006-0000-1300-000012000000}">
      <text>
        <r>
          <rPr>
            <sz val="8"/>
            <color rgb="FF000000"/>
            <rFont val="Calibri"/>
            <scheme val="minor"/>
          </rPr>
          <t>======
ID#AAABwKiOVx4
wsimms    (2021-05-10 11:38:16)
CHANGED 2008 FROM 1.5 TO 1.537185 MILLION.</t>
        </r>
      </text>
    </comment>
    <comment ref="D51" authorId="0" shapeId="0" xr:uid="{00000000-0006-0000-1300-000008000000}">
      <text>
        <r>
          <rPr>
            <sz val="8"/>
            <color rgb="FF000000"/>
            <rFont val="Calibri"/>
            <scheme val="minor"/>
          </rPr>
          <t>======
ID#AAABwKiOVyA
wsimms    (2021-05-10 11:38:16)
CHANGED 2008 FROM 2.3 TO 2.98 MILLION.</t>
        </r>
      </text>
    </comment>
    <comment ref="D53" authorId="0" shapeId="0" xr:uid="{00000000-0006-0000-1300-000020000000}">
      <text>
        <r>
          <rPr>
            <sz val="8"/>
            <color rgb="FF000000"/>
            <rFont val="Calibri"/>
            <scheme val="minor"/>
          </rPr>
          <t>======
ID#AAABwKiOVyI
wsimms    (2021-05-10 11:38:16)
CHANGED 2008 7.1 TO 9.978 MILLION TONS.</t>
        </r>
      </text>
    </comment>
    <comment ref="L61" authorId="0" shapeId="0" xr:uid="{00000000-0006-0000-1300-00001F000000}">
      <text>
        <r>
          <rPr>
            <sz val="8"/>
            <color rgb="FF000000"/>
            <rFont val="Calibri"/>
            <scheme val="minor"/>
          </rPr>
          <t>======
ID#AAABwKiOV3s
    (2021-05-10 11:38:16)
2011 Emission Certificate Report</t>
        </r>
      </text>
    </comment>
    <comment ref="N61" authorId="0" shapeId="0" xr:uid="{00000000-0006-0000-1300-000021000000}">
      <text>
        <r>
          <rPr>
            <sz val="8"/>
            <color rgb="FF000000"/>
            <rFont val="Calibri"/>
            <scheme val="minor"/>
          </rPr>
          <t>======
ID#AAABwKiOVsE
    (2021-05-10 11:38:16)
2011 Emission Certificate Report</t>
        </r>
      </text>
    </comment>
    <comment ref="D62" authorId="0" shapeId="0" xr:uid="{00000000-0006-0000-1300-000029000000}">
      <text>
        <r>
          <rPr>
            <sz val="8"/>
            <color rgb="FF000000"/>
            <rFont val="Calibri"/>
            <scheme val="minor"/>
          </rPr>
          <t>======
ID#AAABwKiOV28
wsimms    (2021-05-10 11:38:16)
CHANGED 2008 FROM 12.4 TO 16.0</t>
        </r>
      </text>
    </comment>
    <comment ref="L62" authorId="0" shapeId="0" xr:uid="{00000000-0006-0000-1300-00002C000000}">
      <text>
        <r>
          <rPr>
            <sz val="8"/>
            <color rgb="FF000000"/>
            <rFont val="Calibri"/>
            <scheme val="minor"/>
          </rPr>
          <t>======
ID#AAABwKiOV30
    (2021-05-10 11:38:16)
2011 Emission Certificate Report</t>
        </r>
      </text>
    </comment>
    <comment ref="N62" authorId="0" shapeId="0" xr:uid="{00000000-0006-0000-1300-00002E000000}">
      <text>
        <r>
          <rPr>
            <sz val="8"/>
            <color rgb="FF000000"/>
            <rFont val="Calibri"/>
            <scheme val="minor"/>
          </rPr>
          <t>======
ID#AAABwKiOV1U
    (2021-05-10 11:38:16)
2011 Emission Certificate Report.</t>
        </r>
      </text>
    </comment>
    <comment ref="I63" authorId="0" shapeId="0" xr:uid="{00000000-0006-0000-1300-000005000000}">
      <text>
        <r>
          <rPr>
            <sz val="8"/>
            <color rgb="FF000000"/>
            <rFont val="Calibri"/>
            <scheme val="minor"/>
          </rPr>
          <t>======
ID#AAABwKiOVxQ
Walter A. Simms    (2021-05-10 11:38:16)
CLOSED JUNE 2000</t>
        </r>
      </text>
    </comment>
    <comment ref="L63" authorId="0" shapeId="0" xr:uid="{00000000-0006-0000-1300-000006000000}">
      <text>
        <r>
          <rPr>
            <sz val="8"/>
            <color rgb="FF000000"/>
            <rFont val="Calibri"/>
            <scheme val="minor"/>
          </rPr>
          <t>======
ID#AAABwKiOVyE
    (2021-05-10 11:38:16)
2011 Emission Certification Report.</t>
        </r>
      </text>
    </comment>
    <comment ref="N63" authorId="0" shapeId="0" xr:uid="{00000000-0006-0000-1300-000007000000}">
      <text>
        <r>
          <rPr>
            <sz val="8"/>
            <color rgb="FF000000"/>
            <rFont val="Calibri"/>
            <scheme val="minor"/>
          </rPr>
          <t>======
ID#AAABwKiOV38
    (2021-05-10 11:38:16)
2011 Emission Certification Report.</t>
        </r>
      </text>
    </comment>
    <comment ref="C64" authorId="0" shapeId="0" xr:uid="{00000000-0006-0000-1300-00000B000000}">
      <text>
        <r>
          <rPr>
            <sz val="8"/>
            <color rgb="FF000000"/>
            <rFont val="Calibri"/>
            <scheme val="minor"/>
          </rPr>
          <t>======
ID#AAABwKiOV2M
Walter A. Simms    (2021-05-10 11:38:16)
Both Area #1 and #2 are calculated on this row.</t>
        </r>
      </text>
    </comment>
    <comment ref="C66" authorId="0" shapeId="0" xr:uid="{00000000-0006-0000-1300-000027000000}">
      <text>
        <r>
          <rPr>
            <sz val="8"/>
            <color rgb="FF000000"/>
            <rFont val="Calibri"/>
            <scheme val="minor"/>
          </rPr>
          <t>======
ID#AAABwKiOV1c
Walter A. Simms    (2021-05-10 11:38:16)
Somerset County MLF was also known as Fairmount Rd MLF.</t>
        </r>
      </text>
    </comment>
    <comment ref="D66" authorId="0" shapeId="0" xr:uid="{00000000-0006-0000-1300-000028000000}">
      <text>
        <r>
          <rPr>
            <sz val="8"/>
            <color rgb="FF000000"/>
            <rFont val="Calibri"/>
            <scheme val="minor"/>
          </rPr>
          <t>======
ID#AAABwKiOV14
wsimms    (2021-05-10 11:38:16)
CHANGED 2008 FROM 1.5 TO 1.610 MILLION.</t>
        </r>
      </text>
    </comment>
    <comment ref="D69" authorId="0" shapeId="0" xr:uid="{00000000-0006-0000-1300-00001A000000}">
      <text>
        <r>
          <rPr>
            <sz val="8"/>
            <color rgb="FF000000"/>
            <rFont val="Calibri"/>
            <scheme val="minor"/>
          </rPr>
          <t>======
ID#AAABwKiOV3A
wsimms    (2021-05-10 11:38:16)
CHANGED 2008 FROM 2.2 TO 3.751244 MILLION.</t>
        </r>
      </text>
    </comment>
    <comment ref="C72" authorId="0" shapeId="0" xr:uid="{00000000-0006-0000-1300-00000A000000}">
      <text>
        <r>
          <rPr>
            <sz val="8"/>
            <color rgb="FF000000"/>
            <rFont val="Calibri"/>
            <scheme val="minor"/>
          </rPr>
          <t>======
ID#AAABwKiOV3k
Walter A. Simms    (2021-05-10 11:38:16)
OPENED 1982 CLOSED IN1998; REOPENED IN 1998 AND CLOSED IN 2000.</t>
        </r>
      </text>
    </comment>
    <comment ref="C73" authorId="0" shapeId="0" xr:uid="{00000000-0006-0000-1300-000017000000}">
      <text>
        <r>
          <rPr>
            <sz val="8"/>
            <color rgb="FF000000"/>
            <rFont val="Calibri"/>
            <scheme val="minor"/>
          </rPr>
          <t>======
ID#AAABwKiOVvE
Walter A. Simms    (2021-05-10 11:38:16)
NEW, OPENED 2000</t>
        </r>
      </text>
    </comment>
    <comment ref="D73" authorId="0" shapeId="0" xr:uid="{00000000-0006-0000-1300-000018000000}">
      <text>
        <r>
          <rPr>
            <sz val="8"/>
            <color rgb="FF000000"/>
            <rFont val="Calibri"/>
            <scheme val="minor"/>
          </rPr>
          <t>======
ID#AAABwKiOVxA
wsimms    (2021-05-10 11:38:16)
CHANGED 2008 FROM 11.8 TO 20.273 MILLION.</t>
        </r>
      </text>
    </comment>
    <comment ref="D75" authorId="0" shapeId="0" xr:uid="{00000000-0006-0000-1300-000031000000}">
      <text>
        <r>
          <rPr>
            <sz val="8"/>
            <color rgb="FF000000"/>
            <rFont val="Calibri"/>
            <scheme val="minor"/>
          </rPr>
          <t>======
ID#AAABwKiOV1A
wsimms    (2021-05-10 11:38:16)
CHANGED 2008 FROM 5.4 TO 7.2 MILLION.</t>
        </r>
      </text>
    </comment>
    <comment ref="D77" authorId="0" shapeId="0" xr:uid="{00000000-0006-0000-1300-000014000000}">
      <text>
        <r>
          <rPr>
            <sz val="8"/>
            <color rgb="FF000000"/>
            <rFont val="Calibri"/>
            <scheme val="minor"/>
          </rPr>
          <t>======
ID#AAABwKiOVwQ
wsimms    (2021-05-10 11:38:16)
CHANGED 2008 FROM 8.6 TO 4.8 MILLION.</t>
        </r>
      </text>
    </comment>
    <comment ref="J87" authorId="0" shapeId="0" xr:uid="{00000000-0006-0000-1300-00002F000000}">
      <text>
        <r>
          <rPr>
            <sz val="8"/>
            <color rgb="FF000000"/>
            <rFont val="Calibri"/>
            <scheme val="minor"/>
          </rPr>
          <t>======
ID#AAABwKiOVr4
    (2021-05-10 11:38:16)
Assume 7 % of MSW)</t>
        </r>
      </text>
    </comment>
    <comment ref="M90" authorId="0" shapeId="0" xr:uid="{00000000-0006-0000-1300-000022000000}">
      <text>
        <r>
          <rPr>
            <sz val="8"/>
            <color rgb="FF000000"/>
            <rFont val="Calibri"/>
            <scheme val="minor"/>
          </rPr>
          <t>======
ID#AAABwKiOVwI
    (2021-05-10 11:38:16)
Flared CH4 + Landill Gas-to-Energy CH4</t>
        </r>
      </text>
    </comment>
    <comment ref="U96" authorId="0" shapeId="0" xr:uid="{00000000-0006-0000-1300-000009000000}">
      <text>
        <r>
          <rPr>
            <sz val="8"/>
            <color rgb="FF000000"/>
            <rFont val="Calibri"/>
            <scheme val="minor"/>
          </rPr>
          <t>======
ID#AAABwKiOVwM
    (2021-05-10 11:38:16)
Assumed 7% of MSW</t>
        </r>
      </text>
    </comment>
    <comment ref="U98" authorId="0" shapeId="0" xr:uid="{00000000-0006-0000-1300-000023000000}">
      <text>
        <r>
          <rPr>
            <sz val="8"/>
            <color rgb="FF000000"/>
            <rFont val="Calibri"/>
            <scheme val="minor"/>
          </rPr>
          <t>======
ID#AAABwKiOVsI
    (2021-05-10 11:38:16)
Assumed 7% of MSW</t>
        </r>
      </text>
    </comment>
  </commentList>
  <extLst>
    <ext xmlns:r="http://schemas.openxmlformats.org/officeDocument/2006/relationships" uri="GoogleSheetsCustomDataVersion2">
      <go:sheetsCustomData xmlns:go="http://customooxmlschemas.google.com/" r:id="rId1" roundtripDataSignature="AMtx7mhP/1CoV+VWdZzSkWn/25CmFW7w8Q=="/>
    </ext>
  </extL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
  </authors>
  <commentList>
    <comment ref="E10" authorId="0" shapeId="0" xr:uid="{00000000-0006-0000-1400-000004000000}">
      <text>
        <r>
          <rPr>
            <sz val="8"/>
            <color rgb="FF000000"/>
            <rFont val="Calibri"/>
            <scheme val="minor"/>
          </rPr>
          <t>======
ID#AAABwKiOVto
    (2021-05-10 11:38:16)
Based on 2011 Pop.</t>
        </r>
      </text>
    </comment>
    <comment ref="E16" authorId="0" shapeId="0" xr:uid="{00000000-0006-0000-1400-000002000000}">
      <text>
        <r>
          <rPr>
            <sz val="8"/>
            <color rgb="FF000000"/>
            <rFont val="Calibri"/>
            <scheme val="minor"/>
          </rPr>
          <t>======
ID#AAABwKiOV1w
    (2021-05-10 11:38:16)
2010 Available data.</t>
        </r>
      </text>
    </comment>
    <comment ref="C22" authorId="0" shapeId="0" xr:uid="{00000000-0006-0000-1400-000005000000}">
      <text>
        <r>
          <rPr>
            <sz val="8"/>
            <color rgb="FF000000"/>
            <rFont val="Calibri"/>
            <scheme val="minor"/>
          </rPr>
          <t>======
ID#AAABwKiOV2U
sal    (2021-05-10 11:38:16)
SIT Default 2010</t>
        </r>
      </text>
    </comment>
    <comment ref="C29" authorId="0" shapeId="0" xr:uid="{00000000-0006-0000-1400-000003000000}">
      <text>
        <r>
          <rPr>
            <sz val="8"/>
            <color rgb="FF000000"/>
            <rFont val="Calibri"/>
            <scheme val="minor"/>
          </rPr>
          <t>US Total Poultry Slaughtered apportion to State By USDA Young Chicken Slaughtered.
======</t>
        </r>
      </text>
    </comment>
    <comment ref="C37" authorId="0" shapeId="0" xr:uid="{00000000-0006-0000-1400-000006000000}">
      <text>
        <r>
          <rPr>
            <sz val="8"/>
            <color rgb="FF000000"/>
            <rFont val="Calibri"/>
            <scheme val="minor"/>
          </rPr>
          <t>Ave. of Available 2011,2014,2015,2016&amp; 2017 data
======</t>
        </r>
      </text>
    </comment>
    <comment ref="E37" authorId="0" shapeId="0" xr:uid="{00000000-0006-0000-1400-000001000000}">
      <text>
        <r>
          <rPr>
            <sz val="8"/>
            <color rgb="FF000000"/>
            <rFont val="Calibri"/>
            <scheme val="minor"/>
          </rPr>
          <t>Ave. of Available 2011,2014,2015,2016 &amp;2017 Data
======</t>
        </r>
      </text>
    </comment>
  </commentList>
  <extLst>
    <ext xmlns:r="http://schemas.openxmlformats.org/officeDocument/2006/relationships" uri="GoogleSheetsCustomDataVersion2">
      <go:sheetsCustomData xmlns:go="http://customooxmlschemas.google.com/" r:id="rId1" roundtripDataSignature="AMtx7mg9WwQna+DtFk2tz0dw2jJtNnq9ng=="/>
    </ext>
  </extL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
  </authors>
  <commentList>
    <comment ref="B23" authorId="0" shapeId="0" xr:uid="{6206CE3E-A302-460D-A4C4-E9931E09F9ED}">
      <text>
        <r>
          <rPr>
            <sz val="8"/>
            <color rgb="FF000000"/>
            <rFont val="Calibri"/>
            <scheme val="minor"/>
          </rPr>
          <t>There is a discontinuity in the time series between 1999 and 2000 due to a change in the land cover change dataset utilized.
======</t>
        </r>
      </text>
    </comment>
    <comment ref="D228" authorId="0" shapeId="0" xr:uid="{1CD09A84-CC61-436E-BE02-3C0E6020067E}">
      <text>
        <r>
          <rPr>
            <sz val="8"/>
            <color rgb="FF000000"/>
            <rFont val="Calibri"/>
            <scheme val="minor"/>
          </rPr>
          <t>Taken as ratio to methane emission from reservoir surface
======</t>
        </r>
      </text>
    </comment>
    <comment ref="D241" authorId="0" shapeId="0" xr:uid="{81490E69-163B-4624-A803-C1DFD6A7A206}">
      <text>
        <r>
          <rPr>
            <sz val="8"/>
            <color rgb="FF000000"/>
            <rFont val="Calibri"/>
            <scheme val="minor"/>
          </rPr>
          <t>Taken as ratio to methane emission from reservoir surface
======</t>
        </r>
      </text>
    </comment>
  </commentList>
</comments>
</file>

<file path=xl/sharedStrings.xml><?xml version="1.0" encoding="utf-8"?>
<sst xmlns="http://schemas.openxmlformats.org/spreadsheetml/2006/main" count="8013" uniqueCount="2199">
  <si>
    <t>Maryland 2011 GHG Emissions by Sector</t>
  </si>
  <si>
    <t>Global Warming Potential</t>
  </si>
  <si>
    <t>AR5 100-yr GWP</t>
  </si>
  <si>
    <t>CO2</t>
  </si>
  <si>
    <t>POWER BOILERS (Severstal) 2011</t>
  </si>
  <si>
    <r>
      <rPr>
        <b/>
        <sz val="14"/>
        <color theme="1"/>
        <rFont val="Calibri"/>
      </rPr>
      <t>Electric Power Production  and CO</t>
    </r>
    <r>
      <rPr>
        <b/>
        <vertAlign val="subscript"/>
        <sz val="14"/>
        <color theme="1"/>
        <rFont val="Calibri"/>
      </rPr>
      <t>2</t>
    </r>
    <r>
      <rPr>
        <b/>
        <sz val="14"/>
        <color theme="1"/>
        <rFont val="Calibri"/>
      </rPr>
      <t xml:space="preserve"> Emissions in Maryland</t>
    </r>
  </si>
  <si>
    <t>Plant ID</t>
  </si>
  <si>
    <t xml:space="preserve">Plant Name </t>
  </si>
  <si>
    <t>Equipment Description</t>
  </si>
  <si>
    <t>Fuel Type</t>
  </si>
  <si>
    <t>Usage</t>
  </si>
  <si>
    <t xml:space="preserve">Heat </t>
  </si>
  <si>
    <t xml:space="preserve">Heat Content </t>
  </si>
  <si>
    <t>Heat Input</t>
  </si>
  <si>
    <t>CH4</t>
  </si>
  <si>
    <r>
      <rPr>
        <b/>
        <sz val="11"/>
        <color theme="1"/>
        <rFont val="Calibri"/>
      </rPr>
      <t>CO</t>
    </r>
    <r>
      <rPr>
        <b/>
        <vertAlign val="subscript"/>
        <sz val="10"/>
        <color theme="1"/>
        <rFont val="Arial"/>
      </rPr>
      <t xml:space="preserve">2 </t>
    </r>
    <r>
      <rPr>
        <b/>
        <sz val="10"/>
        <color theme="1"/>
        <rFont val="Arial"/>
      </rPr>
      <t>Emmission</t>
    </r>
  </si>
  <si>
    <r>
      <rPr>
        <b/>
        <sz val="11"/>
        <color theme="1"/>
        <rFont val="Calibri"/>
      </rPr>
      <t>CH</t>
    </r>
    <r>
      <rPr>
        <b/>
        <vertAlign val="subscript"/>
        <sz val="10"/>
        <color theme="1"/>
        <rFont val="Arial"/>
      </rPr>
      <t>4</t>
    </r>
    <r>
      <rPr>
        <b/>
        <sz val="10"/>
        <color theme="1"/>
        <rFont val="Arial"/>
      </rPr>
      <t xml:space="preserve"> </t>
    </r>
    <r>
      <rPr>
        <b/>
        <vertAlign val="subscript"/>
        <sz val="10"/>
        <color theme="1"/>
        <rFont val="Arial"/>
      </rPr>
      <t xml:space="preserve"> </t>
    </r>
    <r>
      <rPr>
        <b/>
        <sz val="10"/>
        <color theme="1"/>
        <rFont val="Arial"/>
      </rPr>
      <t>Emission</t>
    </r>
  </si>
  <si>
    <r>
      <rPr>
        <b/>
        <sz val="11"/>
        <color theme="1"/>
        <rFont val="Calibri"/>
      </rPr>
      <t>N</t>
    </r>
    <r>
      <rPr>
        <b/>
        <vertAlign val="subscript"/>
        <sz val="10"/>
        <color theme="1"/>
        <rFont val="Arial"/>
      </rPr>
      <t>2</t>
    </r>
    <r>
      <rPr>
        <b/>
        <sz val="10"/>
        <color theme="1"/>
        <rFont val="Arial"/>
      </rPr>
      <t xml:space="preserve">O </t>
    </r>
    <r>
      <rPr>
        <b/>
        <vertAlign val="subscript"/>
        <sz val="10"/>
        <color theme="1"/>
        <rFont val="Arial"/>
      </rPr>
      <t xml:space="preserve"> </t>
    </r>
    <r>
      <rPr>
        <b/>
        <sz val="10"/>
        <color theme="1"/>
        <rFont val="Arial"/>
      </rPr>
      <t>Emission</t>
    </r>
  </si>
  <si>
    <t>N2O</t>
  </si>
  <si>
    <t>Emissions</t>
  </si>
  <si>
    <t>SF6</t>
  </si>
  <si>
    <t>Units</t>
  </si>
  <si>
    <t>Content</t>
  </si>
  <si>
    <t>Unit</t>
  </si>
  <si>
    <t>(MMBTU)</t>
  </si>
  <si>
    <t>(tons)</t>
  </si>
  <si>
    <t>HFCs &amp; PFCs</t>
  </si>
  <si>
    <t xml:space="preserve"> COAL COMBUSTION BY UNIT</t>
  </si>
  <si>
    <t>see note</t>
  </si>
  <si>
    <t># 6 Oil</t>
  </si>
  <si>
    <t>001-0203</t>
  </si>
  <si>
    <t>AES WARRIOR RUN COGEN</t>
  </si>
  <si>
    <t>BFG</t>
  </si>
  <si>
    <t>NG</t>
  </si>
  <si>
    <t xml:space="preserve">Total </t>
  </si>
  <si>
    <t>(short tons)</t>
  </si>
  <si>
    <t>ECMPS data</t>
  </si>
  <si>
    <t>(gal)</t>
  </si>
  <si>
    <t>EPA Emissions Collection and Monitoring Plan System (ECMPS) data in accordance to 40 CFR Part 75</t>
  </si>
  <si>
    <r>
      <rPr>
        <b/>
        <sz val="11"/>
        <color rgb="FFFFFFFF"/>
        <rFont val="Calibri"/>
      </rPr>
      <t>MMTCO</t>
    </r>
    <r>
      <rPr>
        <b/>
        <vertAlign val="subscript"/>
        <sz val="11"/>
        <color rgb="FFFFFFFF"/>
        <rFont val="Calibri"/>
      </rPr>
      <t>2</t>
    </r>
    <r>
      <rPr>
        <b/>
        <sz val="11"/>
        <color rgb="FFFFFFFF"/>
        <rFont val="Calibri"/>
      </rPr>
      <t>e</t>
    </r>
  </si>
  <si>
    <t>(scf)</t>
  </si>
  <si>
    <t>(mcf)</t>
  </si>
  <si>
    <t>Calculation:</t>
  </si>
  <si>
    <t>20-year GWP</t>
  </si>
  <si>
    <t>Usage X Heat Content</t>
  </si>
  <si>
    <t>100-yr GWP</t>
  </si>
  <si>
    <r>
      <rPr>
        <sz val="11"/>
        <color theme="1"/>
        <rFont val="Calibri"/>
      </rPr>
      <t>Energy Use (CO</t>
    </r>
    <r>
      <rPr>
        <vertAlign val="subscript"/>
        <sz val="11"/>
        <color theme="1"/>
        <rFont val="Calibri"/>
      </rPr>
      <t>2</t>
    </r>
    <r>
      <rPr>
        <sz val="11"/>
        <color theme="1"/>
        <rFont val="Calibri"/>
      </rPr>
      <t>, CH</t>
    </r>
    <r>
      <rPr>
        <vertAlign val="subscript"/>
        <sz val="11"/>
        <color theme="1"/>
        <rFont val="Calibri"/>
      </rPr>
      <t>4</t>
    </r>
    <r>
      <rPr>
        <sz val="11"/>
        <color theme="1"/>
        <rFont val="Calibri"/>
      </rPr>
      <t>, N</t>
    </r>
    <r>
      <rPr>
        <vertAlign val="subscript"/>
        <sz val="11"/>
        <color theme="1"/>
        <rFont val="Calibri"/>
      </rPr>
      <t>2</t>
    </r>
    <r>
      <rPr>
        <sz val="11"/>
        <color theme="1"/>
        <rFont val="Calibri"/>
      </rPr>
      <t>O)</t>
    </r>
  </si>
  <si>
    <t>Usage Unit</t>
  </si>
  <si>
    <t>001-3-0127</t>
  </si>
  <si>
    <t>Heat Content</t>
  </si>
  <si>
    <t>Heat Content Unit</t>
  </si>
  <si>
    <t>Fuel Heat Input</t>
  </si>
  <si>
    <t xml:space="preserve">ACF Boiler </t>
  </si>
  <si>
    <t>Coal</t>
  </si>
  <si>
    <r>
      <rPr>
        <b/>
        <sz val="11"/>
        <color theme="1"/>
        <rFont val="Calibri"/>
      </rPr>
      <t>CO</t>
    </r>
    <r>
      <rPr>
        <b/>
        <vertAlign val="subscript"/>
        <sz val="10"/>
        <color theme="1"/>
        <rFont val="Arial"/>
      </rPr>
      <t>2</t>
    </r>
    <r>
      <rPr>
        <b/>
        <sz val="10"/>
        <color theme="1"/>
        <rFont val="Arial"/>
      </rPr>
      <t xml:space="preserve"> Emmission</t>
    </r>
  </si>
  <si>
    <t>tons</t>
  </si>
  <si>
    <r>
      <rPr>
        <b/>
        <sz val="11"/>
        <color theme="1"/>
        <rFont val="Calibri"/>
      </rPr>
      <t>CH</t>
    </r>
    <r>
      <rPr>
        <b/>
        <vertAlign val="subscript"/>
        <sz val="10"/>
        <color theme="1"/>
        <rFont val="Arial"/>
      </rPr>
      <t>4</t>
    </r>
    <r>
      <rPr>
        <b/>
        <sz val="10"/>
        <color theme="1"/>
        <rFont val="Arial"/>
      </rPr>
      <t xml:space="preserve">  Emission</t>
    </r>
  </si>
  <si>
    <r>
      <rPr>
        <b/>
        <sz val="11"/>
        <color theme="1"/>
        <rFont val="Calibri"/>
      </rPr>
      <t>N</t>
    </r>
    <r>
      <rPr>
        <b/>
        <vertAlign val="subscript"/>
        <sz val="10"/>
        <color theme="1"/>
        <rFont val="Arial"/>
      </rPr>
      <t>2</t>
    </r>
    <r>
      <rPr>
        <b/>
        <sz val="10"/>
        <color theme="1"/>
        <rFont val="Arial"/>
      </rPr>
      <t>O  Emission</t>
    </r>
  </si>
  <si>
    <t>Electricity Use (Consumption)</t>
  </si>
  <si>
    <t>Heat Input Ref:</t>
  </si>
  <si>
    <t>Btu/lb</t>
  </si>
  <si>
    <r>
      <rPr>
        <b/>
        <sz val="11"/>
        <color theme="1"/>
        <rFont val="Calibri"/>
      </rPr>
      <t>CO</t>
    </r>
    <r>
      <rPr>
        <b/>
        <vertAlign val="subscript"/>
        <sz val="8"/>
        <color theme="1"/>
        <rFont val="Arial"/>
      </rPr>
      <t>2</t>
    </r>
    <r>
      <rPr>
        <b/>
        <sz val="8"/>
        <color theme="1"/>
        <rFont val="Arial"/>
      </rPr>
      <t xml:space="preserve"> Emissions Ref</t>
    </r>
  </si>
  <si>
    <t>Qty</t>
  </si>
  <si>
    <t>Electricity Production (in-state)</t>
  </si>
  <si>
    <t>btus/unit</t>
  </si>
  <si>
    <t>Diesel</t>
  </si>
  <si>
    <t>gallons</t>
  </si>
  <si>
    <t>Btu/gal</t>
  </si>
  <si>
    <t>Pennwood #1</t>
  </si>
  <si>
    <t>mmbtus</t>
  </si>
  <si>
    <r>
      <rPr>
        <sz val="11"/>
        <color theme="1"/>
        <rFont val="Calibri"/>
      </rPr>
      <t>CO</t>
    </r>
    <r>
      <rPr>
        <vertAlign val="subscript"/>
        <sz val="11"/>
        <color theme="1"/>
        <rFont val="Calibri"/>
      </rPr>
      <t>2</t>
    </r>
  </si>
  <si>
    <r>
      <rPr>
        <b/>
        <sz val="11"/>
        <color theme="1"/>
        <rFont val="Calibri"/>
      </rPr>
      <t>CO</t>
    </r>
    <r>
      <rPr>
        <b/>
        <vertAlign val="subscript"/>
        <sz val="10"/>
        <color theme="1"/>
        <rFont val="Arial"/>
      </rPr>
      <t>2</t>
    </r>
    <r>
      <rPr>
        <b/>
        <sz val="10"/>
        <color theme="1"/>
        <rFont val="Arial"/>
      </rPr>
      <t xml:space="preserve"> emissions in metric tons</t>
    </r>
  </si>
  <si>
    <t>001-9-0081</t>
  </si>
  <si>
    <t>Emergency Engine (Boiler Feed Pump)</t>
  </si>
  <si>
    <r>
      <rPr>
        <b/>
        <sz val="11"/>
        <color theme="1"/>
        <rFont val="Calibri"/>
      </rPr>
      <t>CH</t>
    </r>
    <r>
      <rPr>
        <b/>
        <vertAlign val="subscript"/>
        <sz val="10"/>
        <color theme="1"/>
        <rFont val="Arial"/>
      </rPr>
      <t>4</t>
    </r>
    <r>
      <rPr>
        <b/>
        <sz val="10"/>
        <color theme="1"/>
        <rFont val="Arial"/>
      </rPr>
      <t xml:space="preserve"> emissions in metric tons</t>
    </r>
  </si>
  <si>
    <t>001-6-0136</t>
  </si>
  <si>
    <t>Limestone Dryer</t>
  </si>
  <si>
    <t>Natural Gas</t>
  </si>
  <si>
    <r>
      <rPr>
        <sz val="11"/>
        <color theme="1"/>
        <rFont val="Calibri"/>
      </rPr>
      <t>CH</t>
    </r>
    <r>
      <rPr>
        <vertAlign val="subscript"/>
        <sz val="11"/>
        <color theme="1"/>
        <rFont val="Calibri"/>
      </rPr>
      <t>4</t>
    </r>
  </si>
  <si>
    <t>scf</t>
  </si>
  <si>
    <t>Btu/scf</t>
  </si>
  <si>
    <r>
      <rPr>
        <sz val="11"/>
        <color theme="1"/>
        <rFont val="Calibri"/>
      </rPr>
      <t>N</t>
    </r>
    <r>
      <rPr>
        <vertAlign val="subscript"/>
        <sz val="11"/>
        <color theme="1"/>
        <rFont val="Calibri"/>
      </rPr>
      <t>2</t>
    </r>
    <r>
      <rPr>
        <sz val="11"/>
        <color theme="1"/>
        <rFont val="Calibri"/>
      </rPr>
      <t>O</t>
    </r>
  </si>
  <si>
    <r>
      <rPr>
        <b/>
        <sz val="11"/>
        <color theme="1"/>
        <rFont val="Calibri"/>
      </rPr>
      <t>N</t>
    </r>
    <r>
      <rPr>
        <b/>
        <vertAlign val="subscript"/>
        <sz val="10"/>
        <color theme="1"/>
        <rFont val="Arial"/>
      </rPr>
      <t>2</t>
    </r>
    <r>
      <rPr>
        <b/>
        <sz val="10"/>
        <color theme="1"/>
        <rFont val="Arial"/>
      </rPr>
      <t>O emissions  in metric tons</t>
    </r>
  </si>
  <si>
    <t>003-0468</t>
  </si>
  <si>
    <t xml:space="preserve"> Brandon Shores </t>
  </si>
  <si>
    <r>
      <rPr>
        <sz val="11"/>
        <color theme="1"/>
        <rFont val="Calibri"/>
      </rPr>
      <t>CO</t>
    </r>
    <r>
      <rPr>
        <vertAlign val="subscript"/>
        <sz val="11"/>
        <color theme="1"/>
        <rFont val="Calibri"/>
      </rPr>
      <t>2</t>
    </r>
  </si>
  <si>
    <t>3-4-0081</t>
  </si>
  <si>
    <t>Temp Boiler</t>
  </si>
  <si>
    <t>3-0015</t>
  </si>
  <si>
    <t>Unit 1</t>
  </si>
  <si>
    <t>P-Coal</t>
  </si>
  <si>
    <r>
      <rPr>
        <sz val="11"/>
        <color theme="1"/>
        <rFont val="Calibri"/>
      </rPr>
      <t>CH</t>
    </r>
    <r>
      <rPr>
        <vertAlign val="subscript"/>
        <sz val="11"/>
        <color theme="1"/>
        <rFont val="Calibri"/>
      </rPr>
      <t>4</t>
    </r>
  </si>
  <si>
    <t>S-No. 2 Oil</t>
  </si>
  <si>
    <t>10E3 gallons</t>
  </si>
  <si>
    <t>MMBtu/ 1E+03 gal</t>
  </si>
  <si>
    <t>Apportion from ECMPS data</t>
  </si>
  <si>
    <t>Pennwood #2</t>
  </si>
  <si>
    <t>3-0016</t>
  </si>
  <si>
    <t>Unit 2</t>
  </si>
  <si>
    <r>
      <rPr>
        <sz val="11"/>
        <color theme="1"/>
        <rFont val="Calibri"/>
      </rPr>
      <t>N</t>
    </r>
    <r>
      <rPr>
        <vertAlign val="subscript"/>
        <sz val="11"/>
        <color theme="1"/>
        <rFont val="Calibri"/>
      </rPr>
      <t>2</t>
    </r>
    <r>
      <rPr>
        <sz val="11"/>
        <color theme="1"/>
        <rFont val="Calibri"/>
      </rPr>
      <t>O</t>
    </r>
  </si>
  <si>
    <t>24-005-0079</t>
  </si>
  <si>
    <t xml:space="preserve">C.P.Crane </t>
  </si>
  <si>
    <t>3-0108</t>
  </si>
  <si>
    <t>Boiler Unit 1</t>
  </si>
  <si>
    <t>Oil</t>
  </si>
  <si>
    <t>3-0109</t>
  </si>
  <si>
    <t>Boiler Unit 2</t>
  </si>
  <si>
    <r>
      <rPr>
        <b/>
        <sz val="11"/>
        <color theme="1"/>
        <rFont val="Calibri"/>
      </rPr>
      <t>CO</t>
    </r>
    <r>
      <rPr>
        <b/>
        <vertAlign val="subscript"/>
        <sz val="10"/>
        <color theme="1"/>
        <rFont val="Arial"/>
      </rPr>
      <t>2</t>
    </r>
    <r>
      <rPr>
        <b/>
        <sz val="10"/>
        <color theme="1"/>
        <rFont val="Arial"/>
      </rPr>
      <t xml:space="preserve"> emissions in metric tons</t>
    </r>
  </si>
  <si>
    <t>033-00014</t>
  </si>
  <si>
    <r>
      <rPr>
        <sz val="11"/>
        <color theme="1"/>
        <rFont val="Calibri"/>
      </rPr>
      <t>CO</t>
    </r>
    <r>
      <rPr>
        <vertAlign val="subscript"/>
        <sz val="11"/>
        <color theme="1"/>
        <rFont val="Calibri"/>
      </rPr>
      <t>2</t>
    </r>
  </si>
  <si>
    <t>Chalk Point</t>
  </si>
  <si>
    <t>1600-14-30004</t>
  </si>
  <si>
    <t>Btu/ lb</t>
  </si>
  <si>
    <r>
      <rPr>
        <b/>
        <sz val="11"/>
        <color theme="1"/>
        <rFont val="Calibri"/>
      </rPr>
      <t>CH</t>
    </r>
    <r>
      <rPr>
        <b/>
        <vertAlign val="subscript"/>
        <sz val="10"/>
        <color theme="1"/>
        <rFont val="Arial"/>
      </rPr>
      <t>4</t>
    </r>
    <r>
      <rPr>
        <b/>
        <sz val="10"/>
        <color theme="1"/>
        <rFont val="Arial"/>
      </rPr>
      <t xml:space="preserve"> emissions in metric tons</t>
    </r>
  </si>
  <si>
    <t>1600-14-30005</t>
  </si>
  <si>
    <r>
      <rPr>
        <b/>
        <sz val="11"/>
        <color theme="1"/>
        <rFont val="Calibri"/>
      </rPr>
      <t>N</t>
    </r>
    <r>
      <rPr>
        <b/>
        <vertAlign val="subscript"/>
        <sz val="10"/>
        <color theme="1"/>
        <rFont val="Arial"/>
      </rPr>
      <t>2</t>
    </r>
    <r>
      <rPr>
        <b/>
        <sz val="10"/>
        <color theme="1"/>
        <rFont val="Arial"/>
      </rPr>
      <t>O emissions in metric tons</t>
    </r>
  </si>
  <si>
    <t>003-0014</t>
  </si>
  <si>
    <t>HERBERT A WAGNER</t>
  </si>
  <si>
    <t>4-0308</t>
  </si>
  <si>
    <t>MMBtu/ tons</t>
  </si>
  <si>
    <r>
      <rPr>
        <sz val="11"/>
        <color theme="1"/>
        <rFont val="Calibri"/>
      </rPr>
      <t>CH</t>
    </r>
    <r>
      <rPr>
        <vertAlign val="subscript"/>
        <sz val="11"/>
        <color theme="1"/>
        <rFont val="Calibri"/>
      </rPr>
      <t>4</t>
    </r>
  </si>
  <si>
    <t>3-0003</t>
  </si>
  <si>
    <t>Unit 3</t>
  </si>
  <si>
    <r>
      <rPr>
        <sz val="11"/>
        <color theme="1"/>
        <rFont val="Calibri"/>
      </rPr>
      <t>N</t>
    </r>
    <r>
      <rPr>
        <vertAlign val="subscript"/>
        <sz val="11"/>
        <color theme="1"/>
        <rFont val="Calibri"/>
      </rPr>
      <t>2</t>
    </r>
    <r>
      <rPr>
        <sz val="11"/>
        <color theme="1"/>
        <rFont val="Calibri"/>
      </rPr>
      <t>O</t>
    </r>
  </si>
  <si>
    <t>043-0005</t>
  </si>
  <si>
    <t>R P SMITH</t>
  </si>
  <si>
    <t>Pennwood #3</t>
  </si>
  <si>
    <t>043-0005-3-0005</t>
  </si>
  <si>
    <t>Unit 3 (9)</t>
  </si>
  <si>
    <t>Wood</t>
  </si>
  <si>
    <t>043-0005-3-0006</t>
  </si>
  <si>
    <t>Unit 4 (11)</t>
  </si>
  <si>
    <r>
      <rPr>
        <b/>
        <sz val="11"/>
        <color theme="1"/>
        <rFont val="Calibri"/>
      </rPr>
      <t>CO</t>
    </r>
    <r>
      <rPr>
        <b/>
        <vertAlign val="subscript"/>
        <sz val="10"/>
        <color theme="1"/>
        <rFont val="Arial"/>
      </rPr>
      <t>2</t>
    </r>
    <r>
      <rPr>
        <b/>
        <sz val="10"/>
        <color theme="1"/>
        <rFont val="Arial"/>
      </rPr>
      <t xml:space="preserve"> emissions in metric tons</t>
    </r>
  </si>
  <si>
    <r>
      <rPr>
        <sz val="11"/>
        <color theme="1"/>
        <rFont val="Calibri"/>
      </rPr>
      <t>CO</t>
    </r>
    <r>
      <rPr>
        <vertAlign val="subscript"/>
        <sz val="11"/>
        <color theme="1"/>
        <rFont val="Calibri"/>
      </rPr>
      <t>2</t>
    </r>
  </si>
  <si>
    <t>031-0019</t>
  </si>
  <si>
    <t>Mirant Dickerson</t>
  </si>
  <si>
    <t>1500-19-30001</t>
  </si>
  <si>
    <t>Boiler 1</t>
  </si>
  <si>
    <r>
      <rPr>
        <b/>
        <sz val="11"/>
        <color theme="1"/>
        <rFont val="Calibri"/>
      </rPr>
      <t>CH</t>
    </r>
    <r>
      <rPr>
        <b/>
        <vertAlign val="subscript"/>
        <sz val="10"/>
        <color theme="1"/>
        <rFont val="Arial"/>
      </rPr>
      <t>4</t>
    </r>
    <r>
      <rPr>
        <b/>
        <sz val="10"/>
        <color theme="1"/>
        <rFont val="Arial"/>
      </rPr>
      <t xml:space="preserve"> emissions in metric tons</t>
    </r>
  </si>
  <si>
    <r>
      <rPr>
        <sz val="11"/>
        <color theme="1"/>
        <rFont val="Calibri"/>
      </rPr>
      <t>CH</t>
    </r>
    <r>
      <rPr>
        <vertAlign val="subscript"/>
        <sz val="11"/>
        <color theme="1"/>
        <rFont val="Calibri"/>
      </rPr>
      <t>4</t>
    </r>
  </si>
  <si>
    <r>
      <rPr>
        <b/>
        <sz val="11"/>
        <color theme="1"/>
        <rFont val="Calibri"/>
      </rPr>
      <t>N</t>
    </r>
    <r>
      <rPr>
        <b/>
        <vertAlign val="subscript"/>
        <sz val="10"/>
        <color theme="1"/>
        <rFont val="Arial"/>
      </rPr>
      <t>2</t>
    </r>
    <r>
      <rPr>
        <b/>
        <sz val="10"/>
        <color theme="1"/>
        <rFont val="Arial"/>
      </rPr>
      <t>O emissions in metric tons</t>
    </r>
  </si>
  <si>
    <t>1500-19-30002</t>
  </si>
  <si>
    <t>Boiler 2</t>
  </si>
  <si>
    <r>
      <rPr>
        <sz val="11"/>
        <color theme="1"/>
        <rFont val="Calibri"/>
      </rPr>
      <t>N</t>
    </r>
    <r>
      <rPr>
        <vertAlign val="subscript"/>
        <sz val="11"/>
        <color theme="1"/>
        <rFont val="Calibri"/>
      </rPr>
      <t>2</t>
    </r>
    <r>
      <rPr>
        <sz val="11"/>
        <color theme="1"/>
        <rFont val="Calibri"/>
      </rPr>
      <t>O</t>
    </r>
  </si>
  <si>
    <t>S-Gas</t>
  </si>
  <si>
    <t>MMBtu/1E+06 scf</t>
  </si>
  <si>
    <t>1500-19-30003</t>
  </si>
  <si>
    <t>Boiler 3</t>
  </si>
  <si>
    <t>017-0014</t>
  </si>
  <si>
    <t xml:space="preserve">Net Imported Electricity </t>
  </si>
  <si>
    <t>Mirant Morgantown</t>
  </si>
  <si>
    <t>0800-14-30002</t>
  </si>
  <si>
    <t>080-14-30003</t>
  </si>
  <si>
    <t>Residential/Commercial/Industrial (RCI) Fuel Use</t>
  </si>
  <si>
    <t>Pennwood #4</t>
  </si>
  <si>
    <t>001-0011</t>
  </si>
  <si>
    <t>Luke (New Page)</t>
  </si>
  <si>
    <t>01-0011-3-0018</t>
  </si>
  <si>
    <t>Nos. 24,25 &amp; 26  Boiler</t>
  </si>
  <si>
    <r>
      <rPr>
        <sz val="11"/>
        <color theme="1"/>
        <rFont val="Calibri"/>
      </rPr>
      <t>CO</t>
    </r>
    <r>
      <rPr>
        <vertAlign val="subscript"/>
        <sz val="11"/>
        <color theme="1"/>
        <rFont val="Calibri"/>
      </rPr>
      <t>2</t>
    </r>
  </si>
  <si>
    <t>Btu/ib</t>
  </si>
  <si>
    <r>
      <rPr>
        <b/>
        <sz val="11"/>
        <color theme="1"/>
        <rFont val="Calibri"/>
      </rPr>
      <t>CO</t>
    </r>
    <r>
      <rPr>
        <b/>
        <vertAlign val="subscript"/>
        <sz val="10"/>
        <color theme="1"/>
        <rFont val="Arial"/>
      </rPr>
      <t>2</t>
    </r>
    <r>
      <rPr>
        <b/>
        <sz val="10"/>
        <color theme="1"/>
        <rFont val="Arial"/>
      </rPr>
      <t xml:space="preserve"> emissions in metric tons</t>
    </r>
  </si>
  <si>
    <r>
      <rPr>
        <sz val="11"/>
        <color theme="1"/>
        <rFont val="Calibri"/>
      </rPr>
      <t>CH</t>
    </r>
    <r>
      <rPr>
        <vertAlign val="subscript"/>
        <sz val="11"/>
        <color theme="1"/>
        <rFont val="Calibri"/>
      </rPr>
      <t>4</t>
    </r>
  </si>
  <si>
    <r>
      <rPr>
        <b/>
        <sz val="11"/>
        <color theme="1"/>
        <rFont val="Calibri"/>
      </rPr>
      <t>CH</t>
    </r>
    <r>
      <rPr>
        <b/>
        <vertAlign val="subscript"/>
        <sz val="10"/>
        <color theme="1"/>
        <rFont val="Arial"/>
      </rPr>
      <t>4</t>
    </r>
    <r>
      <rPr>
        <b/>
        <sz val="10"/>
        <color theme="1"/>
        <rFont val="Arial"/>
      </rPr>
      <t xml:space="preserve"> emissions in metric tons</t>
    </r>
  </si>
  <si>
    <r>
      <rPr>
        <sz val="11"/>
        <color theme="1"/>
        <rFont val="Calibri"/>
      </rPr>
      <t>N</t>
    </r>
    <r>
      <rPr>
        <vertAlign val="subscript"/>
        <sz val="11"/>
        <color theme="1"/>
        <rFont val="Calibri"/>
      </rPr>
      <t>2</t>
    </r>
    <r>
      <rPr>
        <sz val="11"/>
        <color theme="1"/>
        <rFont val="Calibri"/>
      </rPr>
      <t>O</t>
    </r>
  </si>
  <si>
    <r>
      <rPr>
        <b/>
        <sz val="11"/>
        <color theme="1"/>
        <rFont val="Calibri"/>
      </rPr>
      <t>N</t>
    </r>
    <r>
      <rPr>
        <b/>
        <vertAlign val="subscript"/>
        <sz val="10"/>
        <color theme="1"/>
        <rFont val="Arial"/>
      </rPr>
      <t>2</t>
    </r>
    <r>
      <rPr>
        <b/>
        <sz val="10"/>
        <color theme="1"/>
        <rFont val="Arial"/>
      </rPr>
      <t>O emissions in metric tons</t>
    </r>
  </si>
  <si>
    <t>Natural Gas &amp; LPG</t>
  </si>
  <si>
    <r>
      <rPr>
        <sz val="11"/>
        <color theme="1"/>
        <rFont val="Calibri"/>
      </rPr>
      <t>CO</t>
    </r>
    <r>
      <rPr>
        <vertAlign val="subscript"/>
        <sz val="11"/>
        <color theme="1"/>
        <rFont val="Calibri"/>
      </rPr>
      <t>2</t>
    </r>
  </si>
  <si>
    <t>4-0091</t>
  </si>
  <si>
    <t>Aux Boiler # 2</t>
  </si>
  <si>
    <t>Coal (Total)</t>
  </si>
  <si>
    <t>Summary Fossil Fuel Combustion</t>
  </si>
  <si>
    <t>4-1107</t>
  </si>
  <si>
    <t>Aux Boiler # 3</t>
  </si>
  <si>
    <r>
      <rPr>
        <sz val="11"/>
        <color theme="1"/>
        <rFont val="Calibri"/>
      </rPr>
      <t>CH</t>
    </r>
    <r>
      <rPr>
        <vertAlign val="subscript"/>
        <sz val="11"/>
        <color theme="1"/>
        <rFont val="Calibri"/>
      </rPr>
      <t>4</t>
    </r>
  </si>
  <si>
    <t>4-0089</t>
  </si>
  <si>
    <t>CT (14 MW)</t>
  </si>
  <si>
    <r>
      <rPr>
        <sz val="11"/>
        <color theme="1"/>
        <rFont val="Calibri"/>
      </rPr>
      <t>N</t>
    </r>
    <r>
      <rPr>
        <vertAlign val="subscript"/>
        <sz val="11"/>
        <color theme="1"/>
        <rFont val="Calibri"/>
      </rPr>
      <t>2</t>
    </r>
    <r>
      <rPr>
        <sz val="11"/>
        <color theme="1"/>
        <rFont val="Calibri"/>
      </rPr>
      <t>O</t>
    </r>
  </si>
  <si>
    <r>
      <rPr>
        <b/>
        <sz val="11"/>
        <color theme="1"/>
        <rFont val="Calibri"/>
      </rPr>
      <t>Coal (MMTCO</t>
    </r>
    <r>
      <rPr>
        <b/>
        <vertAlign val="subscript"/>
        <sz val="10"/>
        <color theme="1"/>
        <rFont val="Arial"/>
      </rPr>
      <t>2</t>
    </r>
    <r>
      <rPr>
        <b/>
        <sz val="10"/>
        <color theme="1"/>
        <rFont val="Arial"/>
      </rPr>
      <t>E)</t>
    </r>
  </si>
  <si>
    <t>Petroleum</t>
  </si>
  <si>
    <t>MMBTU</t>
  </si>
  <si>
    <r>
      <rPr>
        <b/>
        <sz val="11"/>
        <color theme="1"/>
        <rFont val="Calibri"/>
      </rPr>
      <t>CO</t>
    </r>
    <r>
      <rPr>
        <b/>
        <vertAlign val="subscript"/>
        <sz val="10"/>
        <color theme="1"/>
        <rFont val="Arial"/>
      </rPr>
      <t>2</t>
    </r>
    <r>
      <rPr>
        <b/>
        <sz val="10"/>
        <color theme="1"/>
        <rFont val="Arial"/>
      </rPr>
      <t xml:space="preserve"> Emission </t>
    </r>
  </si>
  <si>
    <r>
      <rPr>
        <sz val="11"/>
        <color theme="1"/>
        <rFont val="Calibri"/>
      </rPr>
      <t>CO</t>
    </r>
    <r>
      <rPr>
        <vertAlign val="subscript"/>
        <sz val="11"/>
        <color theme="1"/>
        <rFont val="Calibri"/>
      </rPr>
      <t>2</t>
    </r>
  </si>
  <si>
    <r>
      <rPr>
        <b/>
        <sz val="11"/>
        <color theme="1"/>
        <rFont val="Calibri"/>
      </rPr>
      <t>CO</t>
    </r>
    <r>
      <rPr>
        <b/>
        <vertAlign val="subscript"/>
        <sz val="10"/>
        <color theme="1"/>
        <rFont val="Arial"/>
      </rPr>
      <t>2</t>
    </r>
    <r>
      <rPr>
        <b/>
        <sz val="10"/>
        <color theme="1"/>
        <rFont val="Arial"/>
      </rPr>
      <t xml:space="preserve"> Emission </t>
    </r>
  </si>
  <si>
    <r>
      <rPr>
        <b/>
        <sz val="11"/>
        <color theme="1"/>
        <rFont val="Calibri"/>
      </rPr>
      <t>CO</t>
    </r>
    <r>
      <rPr>
        <b/>
        <vertAlign val="subscript"/>
        <sz val="10"/>
        <color theme="1"/>
        <rFont val="Arial"/>
      </rPr>
      <t>2</t>
    </r>
    <r>
      <rPr>
        <b/>
        <sz val="10"/>
        <color theme="1"/>
        <rFont val="Arial"/>
      </rPr>
      <t xml:space="preserve"> Emission </t>
    </r>
  </si>
  <si>
    <t>(metric tons)</t>
  </si>
  <si>
    <t>(MMTCO2)</t>
  </si>
  <si>
    <t>#2 Oli</t>
  </si>
  <si>
    <t>CO2_GWP=</t>
  </si>
  <si>
    <t>Gas</t>
  </si>
  <si>
    <r>
      <rPr>
        <sz val="11"/>
        <color theme="1"/>
        <rFont val="Calibri"/>
      </rPr>
      <t>CH</t>
    </r>
    <r>
      <rPr>
        <vertAlign val="subscript"/>
        <sz val="11"/>
        <color theme="1"/>
        <rFont val="Calibri"/>
      </rPr>
      <t>4</t>
    </r>
  </si>
  <si>
    <t>01-0011-3-0019</t>
  </si>
  <si>
    <t>CH4_GWP =</t>
  </si>
  <si>
    <t>01-0011-5-0170</t>
  </si>
  <si>
    <t>N2O_GWP=</t>
  </si>
  <si>
    <t>Biomass</t>
  </si>
  <si>
    <r>
      <rPr>
        <sz val="11"/>
        <color theme="1"/>
        <rFont val="Calibri"/>
      </rPr>
      <t>N</t>
    </r>
    <r>
      <rPr>
        <vertAlign val="subscript"/>
        <sz val="11"/>
        <color theme="1"/>
        <rFont val="Calibri"/>
      </rPr>
      <t>2</t>
    </r>
    <r>
      <rPr>
        <sz val="11"/>
        <color theme="1"/>
        <rFont val="Calibri"/>
      </rPr>
      <t>O</t>
    </r>
  </si>
  <si>
    <t>SF6_GWP =</t>
  </si>
  <si>
    <t xml:space="preserve">Wood </t>
  </si>
  <si>
    <t>1600-14-40998</t>
  </si>
  <si>
    <t>#6 Oil</t>
  </si>
  <si>
    <r>
      <rPr>
        <sz val="11"/>
        <color theme="1"/>
        <rFont val="Calibri"/>
      </rPr>
      <t>CO</t>
    </r>
    <r>
      <rPr>
        <vertAlign val="subscript"/>
        <sz val="11"/>
        <color theme="1"/>
        <rFont val="Calibri"/>
      </rPr>
      <t>2</t>
    </r>
  </si>
  <si>
    <r>
      <rPr>
        <b/>
        <sz val="11"/>
        <color theme="1"/>
        <rFont val="Calibri"/>
      </rPr>
      <t>Biomass (MMTCO</t>
    </r>
    <r>
      <rPr>
        <b/>
        <vertAlign val="subscript"/>
        <sz val="10"/>
        <color theme="1"/>
        <rFont val="Arial"/>
      </rPr>
      <t>2</t>
    </r>
    <r>
      <rPr>
        <b/>
        <sz val="10"/>
        <color theme="1"/>
        <rFont val="Arial"/>
      </rPr>
      <t>E)</t>
    </r>
  </si>
  <si>
    <r>
      <rPr>
        <sz val="11"/>
        <color theme="1"/>
        <rFont val="Calibri"/>
      </rPr>
      <t>CH</t>
    </r>
    <r>
      <rPr>
        <vertAlign val="subscript"/>
        <sz val="11"/>
        <color theme="1"/>
        <rFont val="Calibri"/>
      </rPr>
      <t>4</t>
    </r>
  </si>
  <si>
    <t>`</t>
  </si>
  <si>
    <t>Total</t>
  </si>
  <si>
    <r>
      <rPr>
        <sz val="11"/>
        <color theme="1"/>
        <rFont val="Calibri"/>
      </rPr>
      <t>N</t>
    </r>
    <r>
      <rPr>
        <vertAlign val="subscript"/>
        <sz val="11"/>
        <color theme="1"/>
        <rFont val="Calibri"/>
      </rPr>
      <t>2</t>
    </r>
    <r>
      <rPr>
        <sz val="11"/>
        <color theme="1"/>
        <rFont val="Calibri"/>
      </rPr>
      <t>O</t>
    </r>
  </si>
  <si>
    <t xml:space="preserve">Transportation </t>
  </si>
  <si>
    <t>1600-14-40999</t>
  </si>
  <si>
    <t>Unit 4</t>
  </si>
  <si>
    <t>OIL COMBUSTION BY UNIT</t>
  </si>
  <si>
    <t>Onroad Gasoline</t>
  </si>
  <si>
    <r>
      <rPr>
        <sz val="11"/>
        <color theme="1"/>
        <rFont val="Calibri"/>
      </rPr>
      <t>CO</t>
    </r>
    <r>
      <rPr>
        <vertAlign val="subscript"/>
        <sz val="11"/>
        <color theme="1"/>
        <rFont val="Calibri"/>
      </rPr>
      <t>2</t>
    </r>
  </si>
  <si>
    <r>
      <rPr>
        <b/>
        <sz val="11"/>
        <color theme="1"/>
        <rFont val="Calibri"/>
      </rPr>
      <t>CO</t>
    </r>
    <r>
      <rPr>
        <b/>
        <vertAlign val="subscript"/>
        <sz val="10"/>
        <color theme="1"/>
        <rFont val="Arial"/>
      </rPr>
      <t xml:space="preserve">2 </t>
    </r>
    <r>
      <rPr>
        <b/>
        <sz val="10"/>
        <color theme="1"/>
        <rFont val="Arial"/>
      </rPr>
      <t>Emmission</t>
    </r>
  </si>
  <si>
    <r>
      <rPr>
        <b/>
        <sz val="11"/>
        <color theme="1"/>
        <rFont val="Calibri"/>
      </rPr>
      <t>CH</t>
    </r>
    <r>
      <rPr>
        <b/>
        <vertAlign val="subscript"/>
        <sz val="10"/>
        <color theme="1"/>
        <rFont val="Arial"/>
      </rPr>
      <t>4</t>
    </r>
    <r>
      <rPr>
        <b/>
        <sz val="10"/>
        <color theme="1"/>
        <rFont val="Arial"/>
      </rPr>
      <t xml:space="preserve"> </t>
    </r>
    <r>
      <rPr>
        <b/>
        <vertAlign val="subscript"/>
        <sz val="10"/>
        <color theme="1"/>
        <rFont val="Arial"/>
      </rPr>
      <t xml:space="preserve"> </t>
    </r>
    <r>
      <rPr>
        <b/>
        <sz val="10"/>
        <color theme="1"/>
        <rFont val="Arial"/>
      </rPr>
      <t>Emission</t>
    </r>
  </si>
  <si>
    <r>
      <rPr>
        <b/>
        <sz val="11"/>
        <color theme="1"/>
        <rFont val="Calibri"/>
      </rPr>
      <t>N</t>
    </r>
    <r>
      <rPr>
        <b/>
        <vertAlign val="subscript"/>
        <sz val="10"/>
        <color theme="1"/>
        <rFont val="Arial"/>
      </rPr>
      <t>2</t>
    </r>
    <r>
      <rPr>
        <b/>
        <sz val="10"/>
        <color theme="1"/>
        <rFont val="Arial"/>
      </rPr>
      <t xml:space="preserve">O </t>
    </r>
    <r>
      <rPr>
        <b/>
        <vertAlign val="subscript"/>
        <sz val="10"/>
        <color theme="1"/>
        <rFont val="Arial"/>
      </rPr>
      <t xml:space="preserve"> </t>
    </r>
    <r>
      <rPr>
        <b/>
        <sz val="10"/>
        <color theme="1"/>
        <rFont val="Arial"/>
      </rPr>
      <t>Emission</t>
    </r>
  </si>
  <si>
    <r>
      <rPr>
        <b/>
        <sz val="11"/>
        <color theme="1"/>
        <rFont val="Calibri"/>
      </rPr>
      <t>CH</t>
    </r>
    <r>
      <rPr>
        <b/>
        <vertAlign val="subscript"/>
        <sz val="10"/>
        <color theme="1"/>
        <rFont val="Arial"/>
      </rPr>
      <t>4</t>
    </r>
    <r>
      <rPr>
        <b/>
        <sz val="10"/>
        <color theme="1"/>
        <rFont val="Arial"/>
      </rPr>
      <t xml:space="preserve"> Emission </t>
    </r>
  </si>
  <si>
    <r>
      <rPr>
        <b/>
        <sz val="11"/>
        <color theme="1"/>
        <rFont val="Calibri"/>
      </rPr>
      <t>CH</t>
    </r>
    <r>
      <rPr>
        <b/>
        <vertAlign val="subscript"/>
        <sz val="10"/>
        <color theme="1"/>
        <rFont val="Arial"/>
      </rPr>
      <t>4</t>
    </r>
    <r>
      <rPr>
        <b/>
        <sz val="10"/>
        <color theme="1"/>
        <rFont val="Arial"/>
      </rPr>
      <t xml:space="preserve"> Emission </t>
    </r>
  </si>
  <si>
    <r>
      <rPr>
        <b/>
        <sz val="11"/>
        <color theme="1"/>
        <rFont val="Calibri"/>
      </rPr>
      <t>CH</t>
    </r>
    <r>
      <rPr>
        <b/>
        <vertAlign val="subscript"/>
        <sz val="10"/>
        <color theme="1"/>
        <rFont val="Arial"/>
      </rPr>
      <t>4</t>
    </r>
    <r>
      <rPr>
        <b/>
        <sz val="10"/>
        <color theme="1"/>
        <rFont val="Arial"/>
      </rPr>
      <t xml:space="preserve"> Emission </t>
    </r>
  </si>
  <si>
    <t xml:space="preserve">  #2 Oil</t>
  </si>
  <si>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</si>
  <si>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</si>
  <si>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1600-14-40778</t>
  </si>
  <si>
    <t xml:space="preserve"> CT 1</t>
  </si>
  <si>
    <t>Nonroad Gasoline</t>
  </si>
  <si>
    <t>1600-14-41145</t>
  </si>
  <si>
    <t>CT2</t>
  </si>
  <si>
    <r>
      <rPr>
        <sz val="11"/>
        <color theme="1"/>
        <rFont val="Calibri"/>
      </rPr>
      <t>CO</t>
    </r>
    <r>
      <rPr>
        <vertAlign val="subscript"/>
        <sz val="11"/>
        <color theme="1"/>
        <rFont val="Calibri"/>
      </rPr>
      <t>2</t>
    </r>
  </si>
  <si>
    <t>1600-14-90752</t>
  </si>
  <si>
    <t>CT3**</t>
  </si>
  <si>
    <t>Calculation</t>
  </si>
  <si>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</si>
  <si>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</si>
  <si>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1600-14-90753</t>
  </si>
  <si>
    <t>CT4**</t>
  </si>
  <si>
    <t>Onroad Diesel</t>
  </si>
  <si>
    <r>
      <rPr>
        <sz val="11"/>
        <color theme="1"/>
        <rFont val="Calibri"/>
      </rPr>
      <t>CO</t>
    </r>
    <r>
      <rPr>
        <vertAlign val="subscript"/>
        <sz val="11"/>
        <color theme="1"/>
        <rFont val="Calibri"/>
      </rPr>
      <t>2</t>
    </r>
  </si>
  <si>
    <t>1600-14-90754</t>
  </si>
  <si>
    <t>CT5**</t>
  </si>
  <si>
    <r>
      <rPr>
        <sz val="11"/>
        <color theme="1"/>
        <rFont val="Calibri"/>
      </rPr>
      <t>CH</t>
    </r>
    <r>
      <rPr>
        <vertAlign val="subscript"/>
        <sz val="11"/>
        <color theme="1"/>
        <rFont val="Calibri"/>
      </rPr>
      <t>4</t>
    </r>
  </si>
  <si>
    <r>
      <rPr>
        <b/>
        <sz val="11"/>
        <color theme="1"/>
        <rFont val="Calibri"/>
      </rPr>
      <t>N</t>
    </r>
    <r>
      <rPr>
        <b/>
        <vertAlign val="subscript"/>
        <sz val="10"/>
        <color theme="1"/>
        <rFont val="Arial"/>
      </rPr>
      <t>2</t>
    </r>
    <r>
      <rPr>
        <b/>
        <sz val="10"/>
        <color theme="1"/>
        <rFont val="Arial"/>
      </rPr>
      <t xml:space="preserve">O Emission </t>
    </r>
  </si>
  <si>
    <r>
      <rPr>
        <b/>
        <sz val="11"/>
        <color theme="1"/>
        <rFont val="Calibri"/>
      </rPr>
      <t>N</t>
    </r>
    <r>
      <rPr>
        <b/>
        <vertAlign val="subscript"/>
        <sz val="10"/>
        <color theme="1"/>
        <rFont val="Arial"/>
      </rPr>
      <t>2</t>
    </r>
    <r>
      <rPr>
        <b/>
        <sz val="10"/>
        <color theme="1"/>
        <rFont val="Arial"/>
      </rPr>
      <t xml:space="preserve">O Emission </t>
    </r>
  </si>
  <si>
    <r>
      <rPr>
        <b/>
        <sz val="11"/>
        <color theme="1"/>
        <rFont val="Calibri"/>
      </rPr>
      <t>N</t>
    </r>
    <r>
      <rPr>
        <b/>
        <vertAlign val="subscript"/>
        <sz val="10"/>
        <color theme="1"/>
        <rFont val="Arial"/>
      </rPr>
      <t>2</t>
    </r>
    <r>
      <rPr>
        <b/>
        <sz val="10"/>
        <color theme="1"/>
        <rFont val="Arial"/>
      </rPr>
      <t xml:space="preserve">O Emission </t>
    </r>
  </si>
  <si>
    <r>
      <rPr>
        <sz val="11"/>
        <color theme="1"/>
        <rFont val="Calibri"/>
      </rPr>
      <t>N</t>
    </r>
    <r>
      <rPr>
        <vertAlign val="subscript"/>
        <sz val="11"/>
        <color theme="1"/>
        <rFont val="Calibri"/>
      </rPr>
      <t>2</t>
    </r>
    <r>
      <rPr>
        <sz val="11"/>
        <color theme="1"/>
        <rFont val="Calibri"/>
      </rPr>
      <t>O</t>
    </r>
  </si>
  <si>
    <t>Nonroad Diesel</t>
  </si>
  <si>
    <r>
      <rPr>
        <sz val="11"/>
        <color theme="1"/>
        <rFont val="Calibri"/>
      </rPr>
      <t>CO</t>
    </r>
    <r>
      <rPr>
        <vertAlign val="subscript"/>
        <sz val="11"/>
        <color theme="1"/>
        <rFont val="Calibri"/>
      </rPr>
      <t>2</t>
    </r>
  </si>
  <si>
    <t>1600-14-90755</t>
  </si>
  <si>
    <t>CT6**</t>
  </si>
  <si>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</si>
  <si>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</si>
  <si>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Rail</t>
  </si>
  <si>
    <t>1600-14-41156</t>
  </si>
  <si>
    <t>CE  Aux. Boiler 5</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</si>
  <si>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</si>
  <si>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</si>
  <si>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</si>
  <si>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1600-14-41157</t>
  </si>
  <si>
    <t>CE  Aux. Boiler 6</t>
  </si>
  <si>
    <t>Marine Vessels (Gas &amp; Oil)</t>
  </si>
  <si>
    <t>1600-14-41158</t>
  </si>
  <si>
    <t>CE   Aux. Boiler 7</t>
  </si>
  <si>
    <r>
      <rPr>
        <sz val="11"/>
        <color theme="1"/>
        <rFont val="Calibri"/>
      </rPr>
      <t>CO</t>
    </r>
    <r>
      <rPr>
        <vertAlign val="subscript"/>
        <sz val="11"/>
        <color theme="1"/>
        <rFont val="Calibri"/>
      </rPr>
      <t>2</t>
    </r>
  </si>
  <si>
    <t>033-01827</t>
  </si>
  <si>
    <t xml:space="preserve">Chalkpoint -SMECO </t>
  </si>
  <si>
    <t>1827-5-074990</t>
  </si>
  <si>
    <t>Combustion Turbine</t>
  </si>
  <si>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</si>
  <si>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</si>
  <si>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 xml:space="preserve">Lubricants, Natural Gas, and LPG </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</si>
  <si>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</si>
  <si>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</si>
  <si>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</si>
  <si>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Jet Fuel and Aviation Gasoline</t>
  </si>
  <si>
    <t>4-0307</t>
  </si>
  <si>
    <t>10E+06scf</t>
  </si>
  <si>
    <t>MMBTU/ 10E+06 scf</t>
  </si>
  <si>
    <r>
      <rPr>
        <sz val="11"/>
        <color theme="1"/>
        <rFont val="Calibri"/>
      </rPr>
      <t>CO</t>
    </r>
    <r>
      <rPr>
        <vertAlign val="subscript"/>
        <sz val="11"/>
        <color theme="1"/>
        <rFont val="Calibri"/>
      </rPr>
      <t>2</t>
    </r>
  </si>
  <si>
    <t>4-0007</t>
  </si>
  <si>
    <t>CT</t>
  </si>
  <si>
    <t>No.2 Oil</t>
  </si>
  <si>
    <t>10E+06 scf</t>
  </si>
  <si>
    <t>MMBTU/10E+03 gallons</t>
  </si>
  <si>
    <t>024-025-0024</t>
  </si>
  <si>
    <t xml:space="preserve">Perryman </t>
  </si>
  <si>
    <t>5-0088</t>
  </si>
  <si>
    <t>Unit 51 CT</t>
  </si>
  <si>
    <r>
      <rPr>
        <sz val="11"/>
        <color theme="1"/>
        <rFont val="Calibri"/>
      </rPr>
      <t>CH</t>
    </r>
    <r>
      <rPr>
        <vertAlign val="subscript"/>
        <sz val="11"/>
        <color theme="1"/>
        <rFont val="Calibri"/>
      </rPr>
      <t>4</t>
    </r>
  </si>
  <si>
    <t>4-0081</t>
  </si>
  <si>
    <t>Unit 1 CT</t>
  </si>
  <si>
    <r>
      <rPr>
        <sz val="11"/>
        <color theme="1"/>
        <rFont val="Calibri"/>
      </rPr>
      <t>N</t>
    </r>
    <r>
      <rPr>
        <vertAlign val="subscript"/>
        <sz val="11"/>
        <color theme="1"/>
        <rFont val="Calibri"/>
      </rPr>
      <t>2</t>
    </r>
    <r>
      <rPr>
        <sz val="11"/>
        <color theme="1"/>
        <rFont val="Calibri"/>
      </rPr>
      <t>O</t>
    </r>
  </si>
  <si>
    <t>4-0082</t>
  </si>
  <si>
    <t>Unit 2 CT</t>
  </si>
  <si>
    <t>Fossil Fuel Industry</t>
  </si>
  <si>
    <t>4-0083</t>
  </si>
  <si>
    <t>Unit 3 CT</t>
  </si>
  <si>
    <t>Natural Gas Industry</t>
  </si>
  <si>
    <t>4-0084</t>
  </si>
  <si>
    <t>Unit 4 CT</t>
  </si>
  <si>
    <r>
      <rPr>
        <sz val="11"/>
        <color theme="1"/>
        <rFont val="Calibri"/>
      </rPr>
      <t>CO</t>
    </r>
    <r>
      <rPr>
        <vertAlign val="subscript"/>
        <sz val="11"/>
        <color theme="1"/>
        <rFont val="Calibri"/>
      </rPr>
      <t>2</t>
    </r>
  </si>
  <si>
    <t>#2 Oil</t>
  </si>
  <si>
    <t>Btu/ gal</t>
  </si>
  <si>
    <r>
      <rPr>
        <sz val="11"/>
        <color theme="1"/>
        <rFont val="Calibri"/>
      </rPr>
      <t>CH</t>
    </r>
    <r>
      <rPr>
        <vertAlign val="subscript"/>
        <sz val="11"/>
        <color theme="1"/>
        <rFont val="Calibri"/>
      </rPr>
      <t>4</t>
    </r>
  </si>
  <si>
    <t>4-0017</t>
  </si>
  <si>
    <t>Boiler 2  (Unit 4)</t>
  </si>
  <si>
    <r>
      <rPr>
        <sz val="11"/>
        <color theme="1"/>
        <rFont val="Calibri"/>
      </rPr>
      <t>N</t>
    </r>
    <r>
      <rPr>
        <vertAlign val="subscript"/>
        <sz val="11"/>
        <color theme="1"/>
        <rFont val="Calibri"/>
      </rPr>
      <t>2</t>
    </r>
    <r>
      <rPr>
        <sz val="11"/>
        <color theme="1"/>
        <rFont val="Calibri"/>
      </rPr>
      <t>O</t>
    </r>
  </si>
  <si>
    <t>005-0078</t>
  </si>
  <si>
    <t>Riverside</t>
  </si>
  <si>
    <t>Oil Industry</t>
  </si>
  <si>
    <t>4-0658</t>
  </si>
  <si>
    <t>Combustion Turbine # 7</t>
  </si>
  <si>
    <r>
      <rPr>
        <sz val="11"/>
        <color theme="1"/>
        <rFont val="Calibri"/>
      </rPr>
      <t>CO</t>
    </r>
    <r>
      <rPr>
        <vertAlign val="subscript"/>
        <sz val="11"/>
        <color theme="1"/>
        <rFont val="Calibri"/>
      </rPr>
      <t>2</t>
    </r>
  </si>
  <si>
    <t>4-0659</t>
  </si>
  <si>
    <t xml:space="preserve">Combustion Turbine #8 </t>
  </si>
  <si>
    <t>P-No.6 Oil</t>
  </si>
  <si>
    <t>10E+03 gallons</t>
  </si>
  <si>
    <r>
      <rPr>
        <sz val="11"/>
        <color theme="1"/>
        <rFont val="Calibri"/>
      </rPr>
      <t>CH</t>
    </r>
    <r>
      <rPr>
        <vertAlign val="subscript"/>
        <sz val="11"/>
        <color theme="1"/>
        <rFont val="Calibri"/>
      </rPr>
      <t>4</t>
    </r>
  </si>
  <si>
    <t>019-0013</t>
  </si>
  <si>
    <t>Vienna Generating Station</t>
  </si>
  <si>
    <r>
      <rPr>
        <sz val="11"/>
        <color theme="1"/>
        <rFont val="Calibri"/>
      </rPr>
      <t>N</t>
    </r>
    <r>
      <rPr>
        <vertAlign val="subscript"/>
        <sz val="11"/>
        <color theme="1"/>
        <rFont val="Calibri"/>
      </rPr>
      <t>2</t>
    </r>
    <r>
      <rPr>
        <sz val="11"/>
        <color theme="1"/>
        <rFont val="Calibri"/>
      </rPr>
      <t>O</t>
    </r>
  </si>
  <si>
    <t>Coal Mining</t>
  </si>
  <si>
    <t>4-0065-70</t>
  </si>
  <si>
    <t>Unit 8</t>
  </si>
  <si>
    <t>Btu/gallons</t>
  </si>
  <si>
    <t>4-0020-69</t>
  </si>
  <si>
    <t>AUX Boiler</t>
  </si>
  <si>
    <r>
      <rPr>
        <sz val="11"/>
        <color theme="1"/>
        <rFont val="Calibri"/>
      </rPr>
      <t>CO</t>
    </r>
    <r>
      <rPr>
        <vertAlign val="subscript"/>
        <sz val="11"/>
        <color theme="1"/>
        <rFont val="Calibri"/>
      </rPr>
      <t>2</t>
    </r>
  </si>
  <si>
    <t>4-0114-79</t>
  </si>
  <si>
    <t>10E03 gallons</t>
  </si>
  <si>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</si>
  <si>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</si>
  <si>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Industrial Processes and Product Use</t>
  </si>
  <si>
    <t>Cement Manufacture</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</si>
  <si>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</si>
  <si>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</si>
  <si>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</si>
  <si>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 xml:space="preserve">Limestone and Dolomite </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</si>
  <si>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</si>
  <si>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</si>
  <si>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</si>
  <si>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 xml:space="preserve">Soda Ash </t>
  </si>
  <si>
    <r>
      <rPr>
        <sz val="11"/>
        <color theme="1"/>
        <rFont val="Calibri"/>
      </rPr>
      <t>CO</t>
    </r>
    <r>
      <rPr>
        <vertAlign val="subscript"/>
        <sz val="11"/>
        <color theme="1"/>
        <rFont val="Calibri"/>
      </rPr>
      <t>2</t>
    </r>
  </si>
  <si>
    <t>1500-19-40907</t>
  </si>
  <si>
    <r>
      <rPr>
        <sz val="11"/>
        <color theme="1"/>
        <rFont val="Calibri"/>
      </rPr>
      <t xml:space="preserve">Combustion Turbine  </t>
    </r>
    <r>
      <rPr>
        <b/>
        <sz val="10"/>
        <color theme="1"/>
        <rFont val="Arial"/>
      </rPr>
      <t>CT1</t>
    </r>
  </si>
  <si>
    <r>
      <rPr>
        <sz val="11"/>
        <color theme="1"/>
        <rFont val="Calibri"/>
      </rPr>
      <t>CH</t>
    </r>
    <r>
      <rPr>
        <vertAlign val="subscript"/>
        <sz val="11"/>
        <color theme="1"/>
        <rFont val="Calibri"/>
      </rPr>
      <t>4</t>
    </r>
  </si>
  <si>
    <t>031-1822</t>
  </si>
  <si>
    <t>Mirant Station H</t>
  </si>
  <si>
    <r>
      <rPr>
        <sz val="11"/>
        <color theme="1"/>
        <rFont val="Calibri"/>
      </rPr>
      <t>N</t>
    </r>
    <r>
      <rPr>
        <vertAlign val="subscript"/>
        <sz val="11"/>
        <color theme="1"/>
        <rFont val="Calibri"/>
      </rPr>
      <t>2</t>
    </r>
    <r>
      <rPr>
        <sz val="11"/>
        <color theme="1"/>
        <rFont val="Calibri"/>
      </rPr>
      <t>O</t>
    </r>
  </si>
  <si>
    <t>1518-22-90362</t>
  </si>
  <si>
    <t>CT 1</t>
  </si>
  <si>
    <t>Iron and Steel</t>
  </si>
  <si>
    <t>158-22-90363</t>
  </si>
  <si>
    <r>
      <rPr>
        <sz val="11"/>
        <color theme="1"/>
        <rFont val="Calibri"/>
      </rPr>
      <t>CO</t>
    </r>
    <r>
      <rPr>
        <vertAlign val="subscript"/>
        <sz val="11"/>
        <color theme="1"/>
        <rFont val="Calibri"/>
      </rPr>
      <t>2</t>
    </r>
  </si>
  <si>
    <t>CT 2</t>
  </si>
  <si>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</si>
  <si>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</si>
  <si>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Btu/ gallons</t>
  </si>
  <si>
    <t>ODS Substitutes</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</si>
  <si>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</si>
  <si>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</si>
  <si>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HFC, PFC, SF</t>
    </r>
    <r>
      <rPr>
        <vertAlign val="subscript"/>
        <sz val="11"/>
        <color theme="1"/>
        <rFont val="Calibri"/>
      </rPr>
      <t>6</t>
    </r>
  </si>
  <si>
    <t>0800-14-40016</t>
  </si>
  <si>
    <t>Aux 2</t>
  </si>
  <si>
    <t>Electricity Transmission and Dist.</t>
  </si>
  <si>
    <t>0800-14-40018</t>
  </si>
  <si>
    <t>Aux 4</t>
  </si>
  <si>
    <t>0800-14-4-0068</t>
  </si>
  <si>
    <r>
      <rPr>
        <sz val="11"/>
        <color theme="1"/>
        <rFont val="Calibri"/>
      </rPr>
      <t>CO</t>
    </r>
    <r>
      <rPr>
        <vertAlign val="subscript"/>
        <sz val="11"/>
        <color theme="1"/>
        <rFont val="Calibri"/>
      </rPr>
      <t>2</t>
    </r>
  </si>
  <si>
    <t>4-1363</t>
  </si>
  <si>
    <t xml:space="preserve">Combustion Turbine # 6 </t>
  </si>
  <si>
    <t>MMBTU/10E+06 scf</t>
  </si>
  <si>
    <t>0800-14-4-0069</t>
  </si>
  <si>
    <t>0800-14-4-0070</t>
  </si>
  <si>
    <t>CT 3</t>
  </si>
  <si>
    <t>No. 2 Fuel Oil</t>
  </si>
  <si>
    <t>0800-14-4-0071</t>
  </si>
  <si>
    <t>CT 4</t>
  </si>
  <si>
    <r>
      <rPr>
        <sz val="11"/>
        <color theme="1"/>
        <rFont val="Calibri"/>
      </rPr>
      <t>CH</t>
    </r>
    <r>
      <rPr>
        <vertAlign val="subscript"/>
        <sz val="11"/>
        <color theme="1"/>
        <rFont val="Calibri"/>
      </rPr>
      <t>4</t>
    </r>
  </si>
  <si>
    <t>4-1082</t>
  </si>
  <si>
    <t xml:space="preserve"> Boiler #4</t>
  </si>
  <si>
    <t>0800-14-4-0074</t>
  </si>
  <si>
    <t>CT 5</t>
  </si>
  <si>
    <r>
      <rPr>
        <sz val="11"/>
        <color theme="1"/>
        <rFont val="Calibri"/>
      </rPr>
      <t>HFC, PFC, SF</t>
    </r>
    <r>
      <rPr>
        <vertAlign val="subscript"/>
        <sz val="11"/>
        <color theme="1"/>
        <rFont val="Calibri"/>
      </rPr>
      <t>6</t>
    </r>
  </si>
  <si>
    <t>0800-14-4-0075</t>
  </si>
  <si>
    <t>CT 6</t>
  </si>
  <si>
    <t>Semiconductor Manufacturing</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</si>
  <si>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</si>
  <si>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</si>
  <si>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t>033-2200</t>
  </si>
  <si>
    <t>Panda Brandywine</t>
  </si>
  <si>
    <r>
      <rPr>
        <sz val="11"/>
        <color theme="1"/>
        <rFont val="Calibri"/>
      </rPr>
      <t>HFC, PFC, SF</t>
    </r>
    <r>
      <rPr>
        <vertAlign val="subscript"/>
        <sz val="11"/>
        <color theme="1"/>
        <rFont val="Calibri"/>
      </rPr>
      <t>6</t>
    </r>
  </si>
  <si>
    <t>5-0844</t>
  </si>
  <si>
    <t>Fuel Oil</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</si>
  <si>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</si>
  <si>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</si>
  <si>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HFC, PFC, SF</t>
    </r>
    <r>
      <rPr>
        <vertAlign val="subscript"/>
        <sz val="11"/>
        <color theme="1"/>
        <rFont val="Calibri"/>
      </rPr>
      <t>6</t>
    </r>
  </si>
  <si>
    <t>Aluminum Production</t>
  </si>
  <si>
    <t>5-0845</t>
  </si>
  <si>
    <r>
      <rPr>
        <sz val="11"/>
        <color theme="1"/>
        <rFont val="Calibri"/>
      </rPr>
      <t>CO</t>
    </r>
    <r>
      <rPr>
        <vertAlign val="subscript"/>
        <sz val="11"/>
        <color theme="1"/>
        <rFont val="Calibri"/>
      </rPr>
      <t>2</t>
    </r>
  </si>
  <si>
    <t>510-265</t>
  </si>
  <si>
    <t>CPSG- Philadelphia Road Power</t>
  </si>
  <si>
    <r>
      <rPr>
        <sz val="11"/>
        <color theme="1"/>
        <rFont val="Calibri"/>
      </rPr>
      <t>CH</t>
    </r>
    <r>
      <rPr>
        <vertAlign val="subscript"/>
        <sz val="11"/>
        <color theme="1"/>
        <rFont val="Calibri"/>
      </rPr>
      <t>4</t>
    </r>
  </si>
  <si>
    <t>4-0431</t>
  </si>
  <si>
    <t>No. 2 Oil</t>
  </si>
  <si>
    <t>MMBTU/ 1E+03 gallons</t>
  </si>
  <si>
    <r>
      <rPr>
        <sz val="11"/>
        <color theme="1"/>
        <rFont val="Calibri"/>
      </rPr>
      <t>HFC, PFC, SF</t>
    </r>
    <r>
      <rPr>
        <vertAlign val="subscript"/>
        <sz val="11"/>
        <color theme="1"/>
        <rFont val="Calibri"/>
      </rPr>
      <t>6</t>
    </r>
  </si>
  <si>
    <t>4-0432</t>
  </si>
  <si>
    <t>Agriculture</t>
  </si>
  <si>
    <t>4-0433</t>
  </si>
  <si>
    <t>Aux Boiler</t>
  </si>
  <si>
    <t>4-0434</t>
  </si>
  <si>
    <t>Enteric Fermentation</t>
  </si>
  <si>
    <t>Combustion Turbine CT1</t>
  </si>
  <si>
    <r>
      <rPr>
        <sz val="11"/>
        <color theme="1"/>
        <rFont val="Calibri"/>
      </rPr>
      <t>CO</t>
    </r>
    <r>
      <rPr>
        <vertAlign val="subscript"/>
        <sz val="11"/>
        <color theme="1"/>
        <rFont val="Calibri"/>
      </rPr>
      <t>2</t>
    </r>
  </si>
  <si>
    <t>041-0029</t>
  </si>
  <si>
    <t>Easton Utility</t>
  </si>
  <si>
    <r>
      <rPr>
        <sz val="11"/>
        <color theme="1"/>
        <rFont val="Calibri"/>
      </rPr>
      <t>CH</t>
    </r>
    <r>
      <rPr>
        <vertAlign val="subscript"/>
        <sz val="11"/>
        <color theme="1"/>
        <rFont val="Calibri"/>
      </rPr>
      <t>4</t>
    </r>
  </si>
  <si>
    <t>510-0006</t>
  </si>
  <si>
    <t>Westport</t>
  </si>
  <si>
    <t>9-0032</t>
  </si>
  <si>
    <t>Unit 101</t>
  </si>
  <si>
    <t>#2 Fuel Oil</t>
  </si>
  <si>
    <t>5-0005</t>
  </si>
  <si>
    <t>Combustion Turbine Unit 5</t>
  </si>
  <si>
    <t>MMBTU/ 10E+03 gallons</t>
  </si>
  <si>
    <t>MMBTU/10E+06 Scf</t>
  </si>
  <si>
    <r>
      <rPr>
        <sz val="11"/>
        <color theme="1"/>
        <rFont val="Calibri"/>
      </rPr>
      <t>N</t>
    </r>
    <r>
      <rPr>
        <vertAlign val="subscript"/>
        <sz val="11"/>
        <color theme="1"/>
        <rFont val="Calibri"/>
      </rPr>
      <t>2</t>
    </r>
    <r>
      <rPr>
        <sz val="11"/>
        <color theme="1"/>
        <rFont val="Calibri"/>
      </rPr>
      <t>O</t>
    </r>
  </si>
  <si>
    <t>9-0031</t>
  </si>
  <si>
    <t>Unit 102</t>
  </si>
  <si>
    <t>Manure Management</t>
  </si>
  <si>
    <t>9-0023</t>
  </si>
  <si>
    <t>Unit 7</t>
  </si>
  <si>
    <t>9-0024</t>
  </si>
  <si>
    <r>
      <rPr>
        <sz val="11"/>
        <color theme="1"/>
        <rFont val="Calibri"/>
      </rPr>
      <t>CO</t>
    </r>
    <r>
      <rPr>
        <vertAlign val="subscript"/>
        <sz val="11"/>
        <color theme="1"/>
        <rFont val="Calibri"/>
      </rPr>
      <t>2</t>
    </r>
  </si>
  <si>
    <t>9-0025</t>
  </si>
  <si>
    <t>Unit 9</t>
  </si>
  <si>
    <t>9-0026</t>
  </si>
  <si>
    <t>Unit 10</t>
  </si>
  <si>
    <r>
      <rPr>
        <sz val="11"/>
        <color theme="1"/>
        <rFont val="Calibri"/>
      </rPr>
      <t>CH</t>
    </r>
    <r>
      <rPr>
        <vertAlign val="subscript"/>
        <sz val="11"/>
        <color theme="1"/>
        <rFont val="Calibri"/>
      </rPr>
      <t>4</t>
    </r>
  </si>
  <si>
    <t>9-0027</t>
  </si>
  <si>
    <t>Unit 11</t>
  </si>
  <si>
    <r>
      <rPr>
        <sz val="11"/>
        <color theme="1"/>
        <rFont val="Calibri"/>
      </rPr>
      <t>N</t>
    </r>
    <r>
      <rPr>
        <vertAlign val="subscript"/>
        <sz val="11"/>
        <color theme="1"/>
        <rFont val="Calibri"/>
      </rPr>
      <t>2</t>
    </r>
    <r>
      <rPr>
        <sz val="11"/>
        <color theme="1"/>
        <rFont val="Calibri"/>
      </rPr>
      <t>O</t>
    </r>
  </si>
  <si>
    <t>9-0028</t>
  </si>
  <si>
    <t>Unit 12</t>
  </si>
  <si>
    <t>9-0029</t>
  </si>
  <si>
    <t>Unit 13</t>
  </si>
  <si>
    <t>Agricultural Soils</t>
  </si>
  <si>
    <t>9-0030</t>
  </si>
  <si>
    <t>Unit 14</t>
  </si>
  <si>
    <r>
      <rPr>
        <sz val="11"/>
        <color theme="1"/>
        <rFont val="Calibri"/>
      </rPr>
      <t>CO</t>
    </r>
    <r>
      <rPr>
        <vertAlign val="subscript"/>
        <sz val="11"/>
        <color theme="1"/>
        <rFont val="Calibri"/>
      </rPr>
      <t>2</t>
    </r>
  </si>
  <si>
    <t>041-0069</t>
  </si>
  <si>
    <t>Easton Utility-Airport Park</t>
  </si>
  <si>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</si>
  <si>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</si>
  <si>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20-9-0037</t>
  </si>
  <si>
    <t>Unit 201</t>
  </si>
  <si>
    <t>Btu/gallon</t>
  </si>
  <si>
    <t>Agricultural Burning</t>
  </si>
  <si>
    <t>20-9-0038</t>
  </si>
  <si>
    <t>Unit 202</t>
  </si>
  <si>
    <t>20-4-0101</t>
  </si>
  <si>
    <t>Unit 203</t>
  </si>
  <si>
    <r>
      <rPr>
        <sz val="11"/>
        <color theme="1"/>
        <rFont val="Calibri"/>
      </rPr>
      <t>CO</t>
    </r>
    <r>
      <rPr>
        <vertAlign val="subscript"/>
        <sz val="11"/>
        <color theme="1"/>
        <rFont val="Calibri"/>
      </rPr>
      <t>2</t>
    </r>
  </si>
  <si>
    <t>2044-0102</t>
  </si>
  <si>
    <t>Unit 204</t>
  </si>
  <si>
    <r>
      <rPr>
        <sz val="11"/>
        <color theme="1"/>
        <rFont val="Calibri"/>
      </rPr>
      <t>CH</t>
    </r>
    <r>
      <rPr>
        <vertAlign val="subscript"/>
        <sz val="11"/>
        <color theme="1"/>
        <rFont val="Calibri"/>
      </rPr>
      <t>4</t>
    </r>
  </si>
  <si>
    <t>20-9-0033</t>
  </si>
  <si>
    <t>Unit 21</t>
  </si>
  <si>
    <t>20-9-0034</t>
  </si>
  <si>
    <t>Unit 22</t>
  </si>
  <si>
    <r>
      <rPr>
        <sz val="11"/>
        <color theme="1"/>
        <rFont val="Calibri"/>
      </rPr>
      <t>N</t>
    </r>
    <r>
      <rPr>
        <vertAlign val="subscript"/>
        <sz val="11"/>
        <color theme="1"/>
        <rFont val="Calibri"/>
      </rPr>
      <t>2</t>
    </r>
    <r>
      <rPr>
        <sz val="11"/>
        <color theme="1"/>
        <rFont val="Calibri"/>
      </rPr>
      <t>O</t>
    </r>
  </si>
  <si>
    <t>20-9-0035</t>
  </si>
  <si>
    <t>Unit 23</t>
  </si>
  <si>
    <t xml:space="preserve">Urea Fertilizer Usage and Liming </t>
  </si>
  <si>
    <t>20-9-0036</t>
  </si>
  <si>
    <t>Unit 24</t>
  </si>
  <si>
    <r>
      <rPr>
        <sz val="11"/>
        <color theme="1"/>
        <rFont val="Calibri"/>
      </rPr>
      <t>CO</t>
    </r>
    <r>
      <rPr>
        <vertAlign val="subscript"/>
        <sz val="11"/>
        <color theme="1"/>
        <rFont val="Calibri"/>
      </rPr>
      <t>2</t>
    </r>
  </si>
  <si>
    <t>047-0044</t>
  </si>
  <si>
    <t>Berlin Town Power Plant</t>
  </si>
  <si>
    <t>EMD Diesel Gen</t>
  </si>
  <si>
    <t>FM Diesel Gen</t>
  </si>
  <si>
    <r>
      <rPr>
        <sz val="11"/>
        <color theme="1"/>
        <rFont val="Calibri"/>
      </rPr>
      <t>CH</t>
    </r>
    <r>
      <rPr>
        <vertAlign val="subscript"/>
        <sz val="11"/>
        <color theme="1"/>
        <rFont val="Calibri"/>
      </rPr>
      <t>4</t>
    </r>
  </si>
  <si>
    <t>Mitsu  Diesel Gen</t>
  </si>
  <si>
    <r>
      <rPr>
        <sz val="11"/>
        <color theme="1"/>
        <rFont val="Calibri"/>
      </rPr>
      <t>N</t>
    </r>
    <r>
      <rPr>
        <vertAlign val="subscript"/>
        <sz val="11"/>
        <color theme="1"/>
        <rFont val="Calibri"/>
      </rPr>
      <t>2</t>
    </r>
    <r>
      <rPr>
        <sz val="11"/>
        <color theme="1"/>
        <rFont val="Calibri"/>
      </rPr>
      <t>O</t>
    </r>
  </si>
  <si>
    <t>Waste Management</t>
  </si>
  <si>
    <t>9-0033</t>
  </si>
  <si>
    <t>Mistsu. Diesel Gen</t>
  </si>
  <si>
    <t>Waste Combustion</t>
  </si>
  <si>
    <r>
      <rPr>
        <sz val="11"/>
        <color theme="1"/>
        <rFont val="Calibri"/>
      </rPr>
      <t>CO</t>
    </r>
    <r>
      <rPr>
        <vertAlign val="subscript"/>
        <sz val="11"/>
        <color theme="1"/>
        <rFont val="Calibri"/>
      </rPr>
      <t>2</t>
    </r>
  </si>
  <si>
    <t>039-0017</t>
  </si>
  <si>
    <t xml:space="preserve">Connectiv - Crisfield Generation </t>
  </si>
  <si>
    <t>4-0024</t>
  </si>
  <si>
    <t>Unit 1 General Motors 2.5 MW</t>
  </si>
  <si>
    <t>4-0025</t>
  </si>
  <si>
    <t>Unit 2 General Motors 2.5 MW</t>
  </si>
  <si>
    <r>
      <rPr>
        <sz val="11"/>
        <color theme="1"/>
        <rFont val="Calibri"/>
      </rPr>
      <t>CH</t>
    </r>
    <r>
      <rPr>
        <vertAlign val="subscript"/>
        <sz val="11"/>
        <color theme="1"/>
        <rFont val="Calibri"/>
      </rPr>
      <t>4</t>
    </r>
  </si>
  <si>
    <t>CT1</t>
  </si>
  <si>
    <t>4-0026</t>
  </si>
  <si>
    <t>Unit 3 General Motors 2.5 MW</t>
  </si>
  <si>
    <t>MMBTU/1E+06 scf</t>
  </si>
  <si>
    <t>4-0027</t>
  </si>
  <si>
    <t>Unit 4 General Motors 2.5 MW</t>
  </si>
  <si>
    <r>
      <rPr>
        <sz val="11"/>
        <color theme="1"/>
        <rFont val="Calibri"/>
      </rPr>
      <t>N</t>
    </r>
    <r>
      <rPr>
        <vertAlign val="subscript"/>
        <sz val="11"/>
        <color theme="1"/>
        <rFont val="Calibri"/>
      </rPr>
      <t>2</t>
    </r>
    <r>
      <rPr>
        <sz val="11"/>
        <color theme="1"/>
        <rFont val="Calibri"/>
      </rPr>
      <t>O</t>
    </r>
  </si>
  <si>
    <t>Landfills</t>
  </si>
  <si>
    <t>009-0012</t>
  </si>
  <si>
    <t>Calvert Cliffs Parkway Nuclear PP</t>
  </si>
  <si>
    <t>4-0014</t>
  </si>
  <si>
    <t xml:space="preserve">  11    Auxilliary Boiler</t>
  </si>
  <si>
    <r>
      <rPr>
        <sz val="11"/>
        <color theme="1"/>
        <rFont val="Calibri"/>
      </rPr>
      <t>CO</t>
    </r>
    <r>
      <rPr>
        <vertAlign val="subscript"/>
        <sz val="11"/>
        <color theme="1"/>
        <rFont val="Calibri"/>
      </rPr>
      <t>2</t>
    </r>
  </si>
  <si>
    <t>4-0016</t>
  </si>
  <si>
    <t>1 B Emergency Generator</t>
  </si>
  <si>
    <t xml:space="preserve"> 2A Emergency Generator</t>
  </si>
  <si>
    <t>4-0018</t>
  </si>
  <si>
    <t xml:space="preserve"> 2B Emergency Generator</t>
  </si>
  <si>
    <r>
      <rPr>
        <sz val="11"/>
        <color theme="1"/>
        <rFont val="Calibri"/>
      </rPr>
      <t>CH</t>
    </r>
    <r>
      <rPr>
        <vertAlign val="subscript"/>
        <sz val="11"/>
        <color theme="1"/>
        <rFont val="Calibri"/>
      </rPr>
      <t>4</t>
    </r>
  </si>
  <si>
    <t>9-0015 &amp;9-0016</t>
  </si>
  <si>
    <t xml:space="preserve">  1A Emergency Generator</t>
  </si>
  <si>
    <r>
      <rPr>
        <sz val="11"/>
        <color theme="1"/>
        <rFont val="Calibri"/>
      </rPr>
      <t>N</t>
    </r>
    <r>
      <rPr>
        <vertAlign val="subscript"/>
        <sz val="11"/>
        <color theme="1"/>
        <rFont val="Calibri"/>
      </rPr>
      <t>2</t>
    </r>
    <r>
      <rPr>
        <sz val="11"/>
        <color theme="1"/>
        <rFont val="Calibri"/>
      </rPr>
      <t>O</t>
    </r>
  </si>
  <si>
    <t>9-0017 &amp;9-0018</t>
  </si>
  <si>
    <t xml:space="preserve">  OC Emergency Generator</t>
  </si>
  <si>
    <t>Wastewater Management</t>
  </si>
  <si>
    <t>9-0019</t>
  </si>
  <si>
    <t xml:space="preserve">  Security Diesel Generator</t>
  </si>
  <si>
    <r>
      <rPr>
        <sz val="11"/>
        <color theme="1"/>
        <rFont val="Calibri"/>
      </rPr>
      <t>CO</t>
    </r>
    <r>
      <rPr>
        <vertAlign val="subscript"/>
        <sz val="11"/>
        <color theme="1"/>
        <rFont val="Calibri"/>
      </rPr>
      <t>2</t>
    </r>
  </si>
  <si>
    <t>#3 Oil</t>
  </si>
  <si>
    <r>
      <rPr>
        <sz val="11"/>
        <color theme="1"/>
        <rFont val="Calibri"/>
      </rPr>
      <t>CH</t>
    </r>
    <r>
      <rPr>
        <vertAlign val="subscript"/>
        <sz val="11"/>
        <color theme="1"/>
        <rFont val="Calibri"/>
      </rPr>
      <t>4</t>
    </r>
  </si>
  <si>
    <t>MMBtu/gal</t>
  </si>
  <si>
    <r>
      <rPr>
        <sz val="11"/>
        <color theme="1"/>
        <rFont val="Calibri"/>
      </rPr>
      <t>N</t>
    </r>
    <r>
      <rPr>
        <vertAlign val="subscript"/>
        <sz val="11"/>
        <color theme="1"/>
        <rFont val="Calibri"/>
      </rPr>
      <t>2</t>
    </r>
    <r>
      <rPr>
        <sz val="11"/>
        <color theme="1"/>
        <rFont val="Calibri"/>
      </rPr>
      <t>O</t>
    </r>
  </si>
  <si>
    <t>kg/mmBTU</t>
  </si>
  <si>
    <t>POWER BOILERS (LUKE) 2011</t>
  </si>
  <si>
    <t>Residential Open Burning</t>
  </si>
  <si>
    <r>
      <rPr>
        <b/>
        <sz val="11"/>
        <color theme="1"/>
        <rFont val="Calibri"/>
      </rPr>
      <t>CO</t>
    </r>
    <r>
      <rPr>
        <b/>
        <vertAlign val="subscript"/>
        <sz val="10"/>
        <color theme="1"/>
        <rFont val="Arial"/>
      </rPr>
      <t>2</t>
    </r>
  </si>
  <si>
    <t>CEM</t>
  </si>
  <si>
    <r>
      <rPr>
        <sz val="11"/>
        <color theme="1"/>
        <rFont val="Calibri"/>
      </rPr>
      <t>CO</t>
    </r>
    <r>
      <rPr>
        <vertAlign val="subscript"/>
        <sz val="11"/>
        <color theme="1"/>
        <rFont val="Calibri"/>
      </rPr>
      <t>2</t>
    </r>
  </si>
  <si>
    <r>
      <rPr>
        <b/>
        <sz val="11"/>
        <color theme="1"/>
        <rFont val="Calibri"/>
      </rPr>
      <t>CH</t>
    </r>
    <r>
      <rPr>
        <b/>
        <vertAlign val="subscript"/>
        <sz val="10"/>
        <color theme="1"/>
        <rFont val="Arial"/>
      </rPr>
      <t>4</t>
    </r>
  </si>
  <si>
    <r>
      <rPr>
        <b/>
        <sz val="11"/>
        <color theme="1"/>
        <rFont val="Calibri"/>
      </rPr>
      <t>N</t>
    </r>
    <r>
      <rPr>
        <b/>
        <vertAlign val="subscript"/>
        <sz val="10"/>
        <color theme="1"/>
        <rFont val="Arial"/>
      </rPr>
      <t>2</t>
    </r>
    <r>
      <rPr>
        <b/>
        <sz val="10"/>
        <color theme="1"/>
        <rFont val="Arial"/>
      </rPr>
      <t>O</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</si>
  <si>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</si>
  <si>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</si>
  <si>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Oil(2,4)</t>
  </si>
  <si>
    <t>Oil(6)</t>
  </si>
  <si>
    <r>
      <rPr>
        <b/>
        <sz val="11"/>
        <color theme="1"/>
        <rFont val="Calibri"/>
      </rPr>
      <t>Gross Emissions</t>
    </r>
    <r>
      <rPr>
        <sz val="11"/>
        <color theme="1"/>
        <rFont val="Calibri"/>
      </rPr>
      <t xml:space="preserve"> (Excludes Sinks)</t>
    </r>
  </si>
  <si>
    <t xml:space="preserve">% of Heat </t>
  </si>
  <si>
    <t>Share</t>
  </si>
  <si>
    <t># 2 Oil</t>
  </si>
  <si>
    <t># 4 Oil</t>
  </si>
  <si>
    <t>Forestry and Land Use</t>
  </si>
  <si>
    <t>Tree and Forest Carbon</t>
  </si>
  <si>
    <t>Wood Products and Landfilled Carbon</t>
  </si>
  <si>
    <r>
      <rPr>
        <b/>
        <sz val="11"/>
        <color theme="1"/>
        <rFont val="Calibri"/>
      </rPr>
      <t>No. 2 Oil (MMTCO</t>
    </r>
    <r>
      <rPr>
        <b/>
        <vertAlign val="subscript"/>
        <sz val="10"/>
        <color theme="1"/>
        <rFont val="Arial"/>
      </rPr>
      <t>2</t>
    </r>
    <r>
      <rPr>
        <b/>
        <sz val="10"/>
        <color theme="1"/>
        <rFont val="Arial"/>
      </rPr>
      <t>E)</t>
    </r>
  </si>
  <si>
    <t>Settlement Soils</t>
  </si>
  <si>
    <r>
      <rPr>
        <sz val="11"/>
        <color theme="1"/>
        <rFont val="Calibri"/>
      </rPr>
      <t>N</t>
    </r>
    <r>
      <rPr>
        <vertAlign val="subscript"/>
        <sz val="11"/>
        <color theme="1"/>
        <rFont val="Calibri"/>
      </rPr>
      <t>2</t>
    </r>
    <r>
      <rPr>
        <sz val="11"/>
        <color theme="1"/>
        <rFont val="Calibri"/>
      </rPr>
      <t>O</t>
    </r>
  </si>
  <si>
    <t>CT3</t>
  </si>
  <si>
    <t>CT4</t>
  </si>
  <si>
    <t>CT5</t>
  </si>
  <si>
    <t>CT6</t>
  </si>
  <si>
    <t>Forest Fires</t>
  </si>
  <si>
    <r>
      <rPr>
        <sz val="11"/>
        <color theme="1"/>
        <rFont val="Calibri"/>
      </rPr>
      <t>CH</t>
    </r>
    <r>
      <rPr>
        <vertAlign val="subscript"/>
        <sz val="11"/>
        <color theme="1"/>
        <rFont val="Calibri"/>
      </rPr>
      <t>4</t>
    </r>
  </si>
  <si>
    <t>MMBTU/scf</t>
  </si>
  <si>
    <r>
      <rPr>
        <b/>
        <sz val="11"/>
        <color theme="1"/>
        <rFont val="Calibri"/>
      </rPr>
      <t>CO</t>
    </r>
    <r>
      <rPr>
        <b/>
        <vertAlign val="subscript"/>
        <sz val="10"/>
        <color theme="1"/>
        <rFont val="Arial"/>
      </rPr>
      <t>2</t>
    </r>
    <r>
      <rPr>
        <b/>
        <sz val="10"/>
        <color theme="1"/>
        <rFont val="Arial"/>
      </rPr>
      <t xml:space="preserve"> emissions (short tons)</t>
    </r>
  </si>
  <si>
    <r>
      <rPr>
        <sz val="11"/>
        <color theme="1"/>
        <rFont val="Calibri"/>
      </rPr>
      <t>N</t>
    </r>
    <r>
      <rPr>
        <vertAlign val="subscript"/>
        <sz val="11"/>
        <color theme="1"/>
        <rFont val="Calibri"/>
      </rPr>
      <t>2</t>
    </r>
    <r>
      <rPr>
        <sz val="11"/>
        <color theme="1"/>
        <rFont val="Calibri"/>
      </rPr>
      <t>O</t>
    </r>
  </si>
  <si>
    <r>
      <rPr>
        <b/>
        <sz val="11"/>
        <color theme="1"/>
        <rFont val="Calibri"/>
      </rPr>
      <t>CO</t>
    </r>
    <r>
      <rPr>
        <b/>
        <vertAlign val="subscript"/>
        <sz val="10"/>
        <color theme="1"/>
        <rFont val="Arial"/>
      </rPr>
      <t xml:space="preserve">2 </t>
    </r>
    <r>
      <rPr>
        <b/>
        <sz val="10"/>
        <color theme="1"/>
        <rFont val="Arial"/>
      </rPr>
      <t>Emmission</t>
    </r>
  </si>
  <si>
    <r>
      <rPr>
        <b/>
        <sz val="11"/>
        <color theme="1"/>
        <rFont val="Calibri"/>
      </rPr>
      <t>CH</t>
    </r>
    <r>
      <rPr>
        <b/>
        <vertAlign val="subscript"/>
        <sz val="10"/>
        <color theme="1"/>
        <rFont val="Arial"/>
      </rPr>
      <t>4</t>
    </r>
    <r>
      <rPr>
        <b/>
        <sz val="10"/>
        <color theme="1"/>
        <rFont val="Arial"/>
      </rPr>
      <t xml:space="preserve"> </t>
    </r>
    <r>
      <rPr>
        <b/>
        <vertAlign val="subscript"/>
        <sz val="10"/>
        <color theme="1"/>
        <rFont val="Arial"/>
      </rPr>
      <t xml:space="preserve"> </t>
    </r>
    <r>
      <rPr>
        <b/>
        <sz val="10"/>
        <color theme="1"/>
        <rFont val="Arial"/>
      </rPr>
      <t>Emission</t>
    </r>
  </si>
  <si>
    <r>
      <rPr>
        <b/>
        <sz val="11"/>
        <color theme="1"/>
        <rFont val="Calibri"/>
      </rPr>
      <t>N</t>
    </r>
    <r>
      <rPr>
        <b/>
        <vertAlign val="subscript"/>
        <sz val="10"/>
        <color theme="1"/>
        <rFont val="Arial"/>
      </rPr>
      <t>2</t>
    </r>
    <r>
      <rPr>
        <b/>
        <sz val="10"/>
        <color theme="1"/>
        <rFont val="Arial"/>
      </rPr>
      <t xml:space="preserve">O </t>
    </r>
    <r>
      <rPr>
        <b/>
        <vertAlign val="subscript"/>
        <sz val="10"/>
        <color theme="1"/>
        <rFont val="Arial"/>
      </rPr>
      <t xml:space="preserve"> </t>
    </r>
    <r>
      <rPr>
        <b/>
        <sz val="10"/>
        <color theme="1"/>
        <rFont val="Arial"/>
      </rPr>
      <t>Emission</t>
    </r>
  </si>
  <si>
    <t>Agricultural Soil Carbon</t>
  </si>
  <si>
    <t xml:space="preserve">  #6 Oil</t>
  </si>
  <si>
    <t>Wetlands and SAV</t>
  </si>
  <si>
    <r>
      <rPr>
        <sz val="11"/>
        <color theme="1"/>
        <rFont val="Calibri"/>
      </rPr>
      <t>CO</t>
    </r>
    <r>
      <rPr>
        <vertAlign val="subscript"/>
        <sz val="11"/>
        <color theme="1"/>
        <rFont val="Calibri"/>
      </rPr>
      <t>2</t>
    </r>
  </si>
  <si>
    <t>No. 24</t>
  </si>
  <si>
    <r>
      <rPr>
        <b/>
        <sz val="11"/>
        <color theme="1"/>
        <rFont val="Calibri"/>
      </rPr>
      <t>CH</t>
    </r>
    <r>
      <rPr>
        <b/>
        <vertAlign val="subscript"/>
        <sz val="10"/>
        <color theme="1"/>
        <rFont val="Arial"/>
      </rPr>
      <t>4</t>
    </r>
    <r>
      <rPr>
        <b/>
        <sz val="10"/>
        <color theme="1"/>
        <rFont val="Arial"/>
      </rPr>
      <t xml:space="preserve"> emissions (short tons)</t>
    </r>
  </si>
  <si>
    <r>
      <rPr>
        <sz val="11"/>
        <color theme="1"/>
        <rFont val="Calibri"/>
      </rPr>
      <t>CH</t>
    </r>
    <r>
      <rPr>
        <vertAlign val="subscript"/>
        <sz val="11"/>
        <color theme="1"/>
        <rFont val="Calibri"/>
      </rPr>
      <t>4</t>
    </r>
  </si>
  <si>
    <r>
      <rPr>
        <b/>
        <sz val="11"/>
        <color theme="1"/>
        <rFont val="Calibri"/>
      </rPr>
      <t>Net Emissions</t>
    </r>
    <r>
      <rPr>
        <sz val="11"/>
        <color theme="1"/>
        <rFont val="Calibri"/>
      </rPr>
      <t xml:space="preserve"> (Including Forestry, Land Use, and Agricultural Sinks)</t>
    </r>
  </si>
  <si>
    <r>
      <rPr>
        <b/>
        <sz val="11"/>
        <color theme="1"/>
        <rFont val="Calibri"/>
      </rPr>
      <t>N</t>
    </r>
    <r>
      <rPr>
        <b/>
        <vertAlign val="subscript"/>
        <sz val="10"/>
        <color theme="1"/>
        <rFont val="Arial"/>
      </rPr>
      <t>2</t>
    </r>
    <r>
      <rPr>
        <b/>
        <sz val="10"/>
        <color theme="1"/>
        <rFont val="Arial"/>
      </rPr>
      <t>O emissions  (short tons)</t>
    </r>
  </si>
  <si>
    <r>
      <rPr>
        <b/>
        <sz val="11"/>
        <color theme="1"/>
        <rFont val="Calibri"/>
      </rPr>
      <t>CO</t>
    </r>
    <r>
      <rPr>
        <b/>
        <vertAlign val="subscript"/>
        <sz val="10"/>
        <color theme="1"/>
        <rFont val="Arial"/>
      </rPr>
      <t>2</t>
    </r>
    <r>
      <rPr>
        <b/>
        <sz val="10"/>
        <color theme="1"/>
        <rFont val="Arial"/>
      </rPr>
      <t xml:space="preserve"> emissions (short tons)</t>
    </r>
  </si>
  <si>
    <t xml:space="preserve"> gallons</t>
  </si>
  <si>
    <t>2011 (20-yr)</t>
  </si>
  <si>
    <t>2011 (100-yr)</t>
  </si>
  <si>
    <t>005-0076</t>
  </si>
  <si>
    <t>CPSG- Notch Cliff</t>
  </si>
  <si>
    <t>No. 25</t>
  </si>
  <si>
    <r>
      <rPr>
        <b/>
        <sz val="11"/>
        <color theme="1"/>
        <rFont val="Calibri"/>
      </rPr>
      <t>CH</t>
    </r>
    <r>
      <rPr>
        <b/>
        <vertAlign val="subscript"/>
        <sz val="10"/>
        <color theme="1"/>
        <rFont val="Arial"/>
      </rPr>
      <t>4</t>
    </r>
    <r>
      <rPr>
        <b/>
        <sz val="10"/>
        <color theme="1"/>
        <rFont val="Arial"/>
      </rPr>
      <t xml:space="preserve"> emissions (short tons)</t>
    </r>
  </si>
  <si>
    <t>RCI Fuel Use</t>
  </si>
  <si>
    <t>5-0006</t>
  </si>
  <si>
    <r>
      <rPr>
        <b/>
        <sz val="11"/>
        <color theme="1"/>
        <rFont val="Calibri"/>
      </rPr>
      <t>N</t>
    </r>
    <r>
      <rPr>
        <b/>
        <vertAlign val="subscript"/>
        <sz val="10"/>
        <color theme="1"/>
        <rFont val="Arial"/>
      </rPr>
      <t>2</t>
    </r>
    <r>
      <rPr>
        <b/>
        <sz val="10"/>
        <color theme="1"/>
        <rFont val="Arial"/>
      </rPr>
      <t>O emissions (short tons)</t>
    </r>
  </si>
  <si>
    <t>Transportation - Onroad</t>
  </si>
  <si>
    <t>5-0007</t>
  </si>
  <si>
    <t># 6 Fuel Oil</t>
  </si>
  <si>
    <t>5-0008</t>
  </si>
  <si>
    <t>Transportation - Nonroad</t>
  </si>
  <si>
    <t>5-0009</t>
  </si>
  <si>
    <t>Unit 5 CT</t>
  </si>
  <si>
    <r>
      <rPr>
        <b/>
        <sz val="11"/>
        <color theme="1"/>
        <rFont val="Calibri"/>
      </rPr>
      <t>CO</t>
    </r>
    <r>
      <rPr>
        <b/>
        <vertAlign val="subscript"/>
        <sz val="10"/>
        <color theme="1"/>
        <rFont val="Arial"/>
      </rPr>
      <t>2</t>
    </r>
    <r>
      <rPr>
        <b/>
        <sz val="10"/>
        <color theme="1"/>
        <rFont val="Arial"/>
      </rPr>
      <t xml:space="preserve"> emissions (short tons)</t>
    </r>
  </si>
  <si>
    <t>5-0010</t>
  </si>
  <si>
    <t>Unit 6 CT</t>
  </si>
  <si>
    <t>5-0011</t>
  </si>
  <si>
    <t>Unit 7 CT</t>
  </si>
  <si>
    <t>5-0012</t>
  </si>
  <si>
    <t>Unit 8 CT</t>
  </si>
  <si>
    <t>No. 26</t>
  </si>
  <si>
    <r>
      <rPr>
        <b/>
        <sz val="11"/>
        <color theme="1"/>
        <rFont val="Calibri"/>
      </rPr>
      <t>CH</t>
    </r>
    <r>
      <rPr>
        <b/>
        <vertAlign val="subscript"/>
        <sz val="10"/>
        <color theme="1"/>
        <rFont val="Arial"/>
      </rPr>
      <t>4</t>
    </r>
    <r>
      <rPr>
        <b/>
        <sz val="10"/>
        <color theme="1"/>
        <rFont val="Arial"/>
      </rPr>
      <t xml:space="preserve"> emissions (short tons)</t>
    </r>
  </si>
  <si>
    <t>MMBTU/1E+03 gallons</t>
  </si>
  <si>
    <r>
      <rPr>
        <b/>
        <sz val="11"/>
        <color theme="1"/>
        <rFont val="Calibri"/>
      </rPr>
      <t>N</t>
    </r>
    <r>
      <rPr>
        <b/>
        <vertAlign val="subscript"/>
        <sz val="10"/>
        <color theme="1"/>
        <rFont val="Arial"/>
      </rPr>
      <t>2</t>
    </r>
    <r>
      <rPr>
        <b/>
        <sz val="10"/>
        <color theme="1"/>
        <rFont val="Arial"/>
      </rPr>
      <t>O emissions  (short tons)</t>
    </r>
  </si>
  <si>
    <t>No.4 Oil</t>
  </si>
  <si>
    <t>015-0202</t>
  </si>
  <si>
    <t>Rock Spring</t>
  </si>
  <si>
    <t>5-0076</t>
  </si>
  <si>
    <t>Turbine 1</t>
  </si>
  <si>
    <t>5-0077</t>
  </si>
  <si>
    <t>Turbine 2</t>
  </si>
  <si>
    <t>5-0078</t>
  </si>
  <si>
    <t>Turbine 3</t>
  </si>
  <si>
    <r>
      <rPr>
        <b/>
        <sz val="11"/>
        <color theme="1"/>
        <rFont val="Calibri"/>
      </rPr>
      <t>CO</t>
    </r>
    <r>
      <rPr>
        <b/>
        <vertAlign val="subscript"/>
        <sz val="10"/>
        <color theme="1"/>
        <rFont val="Arial"/>
      </rPr>
      <t>2</t>
    </r>
    <r>
      <rPr>
        <b/>
        <sz val="10"/>
        <color theme="1"/>
        <rFont val="Arial"/>
      </rPr>
      <t xml:space="preserve"> Emission </t>
    </r>
  </si>
  <si>
    <r>
      <rPr>
        <b/>
        <sz val="11"/>
        <color theme="1"/>
        <rFont val="Calibri"/>
      </rPr>
      <t>CO</t>
    </r>
    <r>
      <rPr>
        <b/>
        <vertAlign val="subscript"/>
        <sz val="10"/>
        <color theme="1"/>
        <rFont val="Arial"/>
      </rPr>
      <t>2</t>
    </r>
    <r>
      <rPr>
        <b/>
        <sz val="10"/>
        <color theme="1"/>
        <rFont val="Arial"/>
      </rPr>
      <t xml:space="preserve"> Emission </t>
    </r>
  </si>
  <si>
    <r>
      <rPr>
        <b/>
        <sz val="11"/>
        <color theme="1"/>
        <rFont val="Calibri"/>
      </rPr>
      <t>CO</t>
    </r>
    <r>
      <rPr>
        <b/>
        <vertAlign val="subscript"/>
        <sz val="10"/>
        <color theme="1"/>
        <rFont val="Arial"/>
      </rPr>
      <t>2</t>
    </r>
    <r>
      <rPr>
        <b/>
        <sz val="10"/>
        <color theme="1"/>
        <rFont val="Arial"/>
      </rPr>
      <t xml:space="preserve"> Emission </t>
    </r>
  </si>
  <si>
    <t>5-0079</t>
  </si>
  <si>
    <t>Turbine 4</t>
  </si>
  <si>
    <t>6-0205</t>
  </si>
  <si>
    <t>NG Fuel Gas Heater</t>
  </si>
  <si>
    <t>023-0042</t>
  </si>
  <si>
    <t>Severstal (RG Steel)</t>
  </si>
  <si>
    <t>5-0491-15</t>
  </si>
  <si>
    <r>
      <rPr>
        <b/>
        <sz val="11"/>
        <color theme="1"/>
        <rFont val="Calibri"/>
      </rPr>
      <t>Pennwood Boilers</t>
    </r>
    <r>
      <rPr>
        <sz val="8"/>
        <color theme="1"/>
        <rFont val="Arial"/>
      </rPr>
      <t xml:space="preserve"> No. 1 -  No. 4</t>
    </r>
  </si>
  <si>
    <t>Easton Utility -Airport Park</t>
  </si>
  <si>
    <t>20-4-0102</t>
  </si>
  <si>
    <r>
      <rPr>
        <b/>
        <sz val="11"/>
        <color theme="1"/>
        <rFont val="Calibri"/>
      </rPr>
      <t>CH</t>
    </r>
    <r>
      <rPr>
        <b/>
        <vertAlign val="subscript"/>
        <sz val="10"/>
        <color theme="1"/>
        <rFont val="Arial"/>
      </rPr>
      <t>4</t>
    </r>
    <r>
      <rPr>
        <b/>
        <sz val="10"/>
        <color theme="1"/>
        <rFont val="Arial"/>
      </rPr>
      <t xml:space="preserve"> Emission </t>
    </r>
  </si>
  <si>
    <r>
      <rPr>
        <b/>
        <sz val="11"/>
        <color theme="1"/>
        <rFont val="Calibri"/>
      </rPr>
      <t>CH</t>
    </r>
    <r>
      <rPr>
        <b/>
        <vertAlign val="subscript"/>
        <sz val="10"/>
        <color theme="1"/>
        <rFont val="Arial"/>
      </rPr>
      <t>4</t>
    </r>
    <r>
      <rPr>
        <b/>
        <sz val="10"/>
        <color theme="1"/>
        <rFont val="Arial"/>
      </rPr>
      <t xml:space="preserve"> Emission </t>
    </r>
  </si>
  <si>
    <r>
      <rPr>
        <b/>
        <sz val="11"/>
        <color theme="1"/>
        <rFont val="Calibri"/>
      </rPr>
      <t>CH</t>
    </r>
    <r>
      <rPr>
        <b/>
        <vertAlign val="subscript"/>
        <sz val="10"/>
        <color theme="1"/>
        <rFont val="Arial"/>
      </rPr>
      <t>4</t>
    </r>
    <r>
      <rPr>
        <b/>
        <sz val="10"/>
        <color theme="1"/>
        <rFont val="Arial"/>
      </rPr>
      <t xml:space="preserve"> Emission </t>
    </r>
  </si>
  <si>
    <r>
      <rPr>
        <b/>
        <sz val="11"/>
        <color theme="1"/>
        <rFont val="Calibri"/>
      </rPr>
      <t>(MMTCO</t>
    </r>
    <r>
      <rPr>
        <b/>
        <vertAlign val="subscript"/>
        <sz val="10"/>
        <color theme="1"/>
        <rFont val="Arial"/>
      </rPr>
      <t>2</t>
    </r>
    <r>
      <rPr>
        <b/>
        <sz val="10"/>
        <color theme="1"/>
        <rFont val="Arial"/>
      </rPr>
      <t>)</t>
    </r>
  </si>
  <si>
    <r>
      <rPr>
        <b/>
        <sz val="11"/>
        <color theme="1"/>
        <rFont val="Calibri"/>
      </rPr>
      <t># 6 Fuel Oil (MMTCO</t>
    </r>
    <r>
      <rPr>
        <b/>
        <vertAlign val="subscript"/>
        <sz val="10"/>
        <color theme="1"/>
        <rFont val="Arial"/>
      </rPr>
      <t>2</t>
    </r>
    <r>
      <rPr>
        <b/>
        <sz val="10"/>
        <color theme="1"/>
        <rFont val="Arial"/>
      </rPr>
      <t>E)</t>
    </r>
  </si>
  <si>
    <t>Total Petroleum (MMBTU)</t>
  </si>
  <si>
    <r>
      <rPr>
        <b/>
        <sz val="11"/>
        <color theme="1"/>
        <rFont val="Calibri"/>
      </rPr>
      <t>N</t>
    </r>
    <r>
      <rPr>
        <b/>
        <vertAlign val="subscript"/>
        <sz val="10"/>
        <color theme="1"/>
        <rFont val="Arial"/>
      </rPr>
      <t>2</t>
    </r>
    <r>
      <rPr>
        <b/>
        <sz val="10"/>
        <color theme="1"/>
        <rFont val="Arial"/>
      </rPr>
      <t xml:space="preserve">O Emission </t>
    </r>
  </si>
  <si>
    <r>
      <rPr>
        <b/>
        <sz val="11"/>
        <color theme="1"/>
        <rFont val="Calibri"/>
      </rPr>
      <t>N</t>
    </r>
    <r>
      <rPr>
        <b/>
        <vertAlign val="subscript"/>
        <sz val="10"/>
        <color theme="1"/>
        <rFont val="Arial"/>
      </rPr>
      <t>2</t>
    </r>
    <r>
      <rPr>
        <b/>
        <sz val="10"/>
        <color theme="1"/>
        <rFont val="Arial"/>
      </rPr>
      <t xml:space="preserve">O Emission </t>
    </r>
  </si>
  <si>
    <r>
      <rPr>
        <b/>
        <sz val="11"/>
        <color theme="1"/>
        <rFont val="Calibri"/>
      </rPr>
      <t>N</t>
    </r>
    <r>
      <rPr>
        <b/>
        <vertAlign val="subscript"/>
        <sz val="10"/>
        <color theme="1"/>
        <rFont val="Arial"/>
      </rPr>
      <t>2</t>
    </r>
    <r>
      <rPr>
        <b/>
        <sz val="10"/>
        <color theme="1"/>
        <rFont val="Arial"/>
      </rPr>
      <t xml:space="preserve">O Emission </t>
    </r>
  </si>
  <si>
    <r>
      <rPr>
        <b/>
        <sz val="11"/>
        <color theme="1"/>
        <rFont val="Calibri"/>
      </rPr>
      <t>(MMTCO</t>
    </r>
    <r>
      <rPr>
        <b/>
        <vertAlign val="subscript"/>
        <sz val="10"/>
        <color theme="1"/>
        <rFont val="Arial"/>
      </rPr>
      <t>2</t>
    </r>
    <r>
      <rPr>
        <b/>
        <sz val="10"/>
        <color theme="1"/>
        <rFont val="Arial"/>
      </rPr>
      <t>)</t>
    </r>
  </si>
  <si>
    <t xml:space="preserve"> NATURAL GAS COMBUSTION BY UNIT</t>
  </si>
  <si>
    <r>
      <rPr>
        <b/>
        <sz val="11"/>
        <color theme="1"/>
        <rFont val="Calibri"/>
      </rPr>
      <t>CO</t>
    </r>
    <r>
      <rPr>
        <b/>
        <vertAlign val="subscript"/>
        <sz val="10"/>
        <color theme="1"/>
        <rFont val="Arial"/>
      </rPr>
      <t>2</t>
    </r>
    <r>
      <rPr>
        <b/>
        <sz val="10"/>
        <color theme="1"/>
        <rFont val="Arial"/>
      </rPr>
      <t xml:space="preserve"> Emmission</t>
    </r>
  </si>
  <si>
    <r>
      <rPr>
        <b/>
        <sz val="11"/>
        <color theme="1"/>
        <rFont val="Calibri"/>
      </rPr>
      <t>CH</t>
    </r>
    <r>
      <rPr>
        <b/>
        <vertAlign val="subscript"/>
        <sz val="10"/>
        <color theme="1"/>
        <rFont val="Arial"/>
      </rPr>
      <t>4</t>
    </r>
    <r>
      <rPr>
        <b/>
        <sz val="10"/>
        <color theme="1"/>
        <rFont val="Arial"/>
      </rPr>
      <t xml:space="preserve">  Emission</t>
    </r>
  </si>
  <si>
    <r>
      <rPr>
        <b/>
        <sz val="11"/>
        <color theme="1"/>
        <rFont val="Calibri"/>
      </rPr>
      <t>N</t>
    </r>
    <r>
      <rPr>
        <b/>
        <vertAlign val="subscript"/>
        <sz val="10"/>
        <color theme="1"/>
        <rFont val="Arial"/>
      </rPr>
      <t>2</t>
    </r>
    <r>
      <rPr>
        <b/>
        <sz val="10"/>
        <color theme="1"/>
        <rFont val="Arial"/>
      </rPr>
      <t>O  Emission</t>
    </r>
  </si>
  <si>
    <t xml:space="preserve"> Natural Gas</t>
  </si>
  <si>
    <t>Connectiv -Crisfield Generation</t>
  </si>
  <si>
    <t xml:space="preserve">Unit 1 </t>
  </si>
  <si>
    <t>11 Aux Boiler</t>
  </si>
  <si>
    <t>1B Emergenvy Generator</t>
  </si>
  <si>
    <t>2A Emergency Generator</t>
  </si>
  <si>
    <t>2B Emergency Generator</t>
  </si>
  <si>
    <t>9-0015 7 9-0016</t>
  </si>
  <si>
    <t>1A Emergency Generator</t>
  </si>
  <si>
    <t>OC Emergency Generator</t>
  </si>
  <si>
    <t>Security Diesel generator</t>
  </si>
  <si>
    <t>003-00529</t>
  </si>
  <si>
    <t>CPSG -Fort Smallwood Complex</t>
  </si>
  <si>
    <t>Propane</t>
  </si>
  <si>
    <t>510-0007</t>
  </si>
  <si>
    <t>CPSG - gould Street</t>
  </si>
  <si>
    <t>4-0536</t>
  </si>
  <si>
    <t>Unit 3 Utility B</t>
  </si>
  <si>
    <t xml:space="preserve"> Westport</t>
  </si>
  <si>
    <t xml:space="preserve">Combustion Turbine Unit 5 </t>
  </si>
  <si>
    <t>MMBtu/ scf</t>
  </si>
  <si>
    <t>MMBtu/  scf</t>
  </si>
  <si>
    <t>(005-0076)</t>
  </si>
  <si>
    <t xml:space="preserve">CPSG- Notch Cliff </t>
  </si>
  <si>
    <t>MMBTU/ 1 E+06 scf</t>
  </si>
  <si>
    <t xml:space="preserve"> scf</t>
  </si>
  <si>
    <t>51,35</t>
  </si>
  <si>
    <t xml:space="preserve">Rock Spring </t>
  </si>
  <si>
    <t>CPSG- Gould Street</t>
  </si>
  <si>
    <t>Unit 3-Utility B</t>
  </si>
  <si>
    <r>
      <rPr>
        <b/>
        <sz val="11"/>
        <color theme="1"/>
        <rFont val="Calibri"/>
      </rPr>
      <t>Pennwood Boilers</t>
    </r>
    <r>
      <rPr>
        <sz val="8"/>
        <color theme="1"/>
        <rFont val="Arial"/>
      </rPr>
      <t xml:space="preserve"> No. 1 -  No. 4</t>
    </r>
  </si>
  <si>
    <t>MMBTU/ 1E+03 scf</t>
  </si>
  <si>
    <r>
      <rPr>
        <b/>
        <sz val="11"/>
        <color theme="1"/>
        <rFont val="Calibri"/>
      </rPr>
      <t>Pennwood Boilers</t>
    </r>
    <r>
      <rPr>
        <sz val="8"/>
        <color theme="1"/>
        <rFont val="Arial"/>
      </rPr>
      <t xml:space="preserve"> No. 1 -  No. 4</t>
    </r>
  </si>
  <si>
    <t>Blast furnace Gas</t>
  </si>
  <si>
    <r>
      <rPr>
        <b/>
        <sz val="11"/>
        <color theme="1"/>
        <rFont val="Calibri"/>
      </rPr>
      <t>Natural Gas (MMTCO</t>
    </r>
    <r>
      <rPr>
        <b/>
        <vertAlign val="subscript"/>
        <sz val="10"/>
        <color theme="1"/>
        <rFont val="Arial"/>
      </rPr>
      <t>2</t>
    </r>
    <r>
      <rPr>
        <b/>
        <sz val="10"/>
        <color theme="1"/>
        <rFont val="Arial"/>
      </rPr>
      <t>E)</t>
    </r>
  </si>
  <si>
    <r>
      <rPr>
        <b/>
        <sz val="11"/>
        <color rgb="FF0000FF"/>
        <rFont val="Calibri"/>
      </rPr>
      <t>CO</t>
    </r>
    <r>
      <rPr>
        <b/>
        <vertAlign val="subscript"/>
        <sz val="16"/>
        <color rgb="FF0000FF"/>
        <rFont val="Calibri"/>
      </rPr>
      <t>2</t>
    </r>
    <r>
      <rPr>
        <b/>
        <sz val="16"/>
        <color rgb="FF0000FF"/>
        <rFont val="Calibri"/>
      </rPr>
      <t xml:space="preserve"> EMISSION SUMMARY</t>
    </r>
  </si>
  <si>
    <t xml:space="preserve"> ALL UNITS</t>
  </si>
  <si>
    <r>
      <rPr>
        <b/>
        <sz val="11"/>
        <color theme="1"/>
        <rFont val="Calibri"/>
      </rPr>
      <t>CO</t>
    </r>
    <r>
      <rPr>
        <b/>
        <vertAlign val="subscript"/>
        <sz val="10"/>
        <color theme="1"/>
        <rFont val="Arial"/>
      </rPr>
      <t>2</t>
    </r>
    <r>
      <rPr>
        <b/>
        <sz val="10"/>
        <color theme="1"/>
        <rFont val="Arial"/>
      </rPr>
      <t xml:space="preserve"> Emission </t>
    </r>
  </si>
  <si>
    <r>
      <rPr>
        <b/>
        <sz val="11"/>
        <color theme="1"/>
        <rFont val="Calibri"/>
      </rPr>
      <t>CO</t>
    </r>
    <r>
      <rPr>
        <b/>
        <vertAlign val="subscript"/>
        <sz val="10"/>
        <color theme="1"/>
        <rFont val="Arial"/>
      </rPr>
      <t>2</t>
    </r>
    <r>
      <rPr>
        <b/>
        <sz val="10"/>
        <color theme="1"/>
        <rFont val="Arial"/>
      </rPr>
      <t xml:space="preserve"> Emission </t>
    </r>
  </si>
  <si>
    <r>
      <rPr>
        <b/>
        <sz val="11"/>
        <color theme="1"/>
        <rFont val="Calibri"/>
      </rPr>
      <t>CO</t>
    </r>
    <r>
      <rPr>
        <b/>
        <vertAlign val="subscript"/>
        <sz val="10"/>
        <color theme="1"/>
        <rFont val="Arial"/>
      </rPr>
      <t>2</t>
    </r>
    <r>
      <rPr>
        <b/>
        <sz val="10"/>
        <color theme="1"/>
        <rFont val="Arial"/>
      </rPr>
      <t xml:space="preserve"> Emission</t>
    </r>
  </si>
  <si>
    <r>
      <rPr>
        <b/>
        <sz val="11"/>
        <color theme="1"/>
        <rFont val="Calibri"/>
      </rPr>
      <t>CO</t>
    </r>
    <r>
      <rPr>
        <b/>
        <vertAlign val="subscript"/>
        <sz val="10"/>
        <color theme="1"/>
        <rFont val="Arial"/>
      </rPr>
      <t>2</t>
    </r>
    <r>
      <rPr>
        <b/>
        <sz val="10"/>
        <color theme="1"/>
        <rFont val="Arial"/>
      </rPr>
      <t xml:space="preserve"> Emission </t>
    </r>
  </si>
  <si>
    <r>
      <rPr>
        <b/>
        <sz val="11"/>
        <color theme="1"/>
        <rFont val="Calibri"/>
      </rPr>
      <t xml:space="preserve"> (MMTCO</t>
    </r>
    <r>
      <rPr>
        <b/>
        <vertAlign val="subscript"/>
        <sz val="10"/>
        <color theme="1"/>
        <rFont val="Arial"/>
      </rPr>
      <t>2</t>
    </r>
    <r>
      <rPr>
        <b/>
        <sz val="10"/>
        <color theme="1"/>
        <rFont val="Arial"/>
      </rPr>
      <t>)</t>
    </r>
  </si>
  <si>
    <t>(MMTC)</t>
  </si>
  <si>
    <t>Electric Consumption (Imported Electricity) Emissions for Maryland</t>
  </si>
  <si>
    <t>Fuel Consumption For Electricity Generation</t>
  </si>
  <si>
    <t>Coal (Short Tons)</t>
  </si>
  <si>
    <r>
      <rPr>
        <b/>
        <sz val="11"/>
        <color rgb="FF0000FF"/>
        <rFont val="Calibri"/>
      </rPr>
      <t>CH</t>
    </r>
    <r>
      <rPr>
        <b/>
        <vertAlign val="subscript"/>
        <sz val="16"/>
        <color rgb="FF0000FF"/>
        <rFont val="Calibri"/>
      </rPr>
      <t>4</t>
    </r>
    <r>
      <rPr>
        <b/>
        <sz val="16"/>
        <color rgb="FF0000FF"/>
        <rFont val="Calibri"/>
      </rPr>
      <t xml:space="preserve"> EMISSION SUMMARY</t>
    </r>
  </si>
  <si>
    <r>
      <rPr>
        <sz val="11"/>
        <color rgb="FF000000"/>
        <rFont val="Calibri"/>
      </rPr>
      <t>Electric Power Sector CH</t>
    </r>
    <r>
      <rPr>
        <vertAlign val="subscript"/>
        <sz val="14"/>
        <color rgb="FF000000"/>
        <rFont val="Comic Sans MS"/>
      </rPr>
      <t>4</t>
    </r>
  </si>
  <si>
    <t>Petroleum (Barrels)</t>
  </si>
  <si>
    <t>Consumption</t>
  </si>
  <si>
    <t xml:space="preserve">Emissions </t>
  </si>
  <si>
    <t>Natural Gas (Mcf)</t>
  </si>
  <si>
    <t>GWP</t>
  </si>
  <si>
    <t>Other Gases (MMBTU)</t>
  </si>
  <si>
    <t>(Billion Btu)</t>
  </si>
  <si>
    <r>
      <rPr>
        <b/>
        <sz val="11"/>
        <color theme="1"/>
        <rFont val="Calibri"/>
      </rPr>
      <t>(short tons CH</t>
    </r>
    <r>
      <rPr>
        <b/>
        <vertAlign val="subscript"/>
        <sz val="10"/>
        <color theme="1"/>
        <rFont val="Comic Sans MS"/>
      </rPr>
      <t>4</t>
    </r>
    <r>
      <rPr>
        <b/>
        <sz val="10"/>
        <color theme="1"/>
        <rFont val="Comic Sans MS"/>
      </rPr>
      <t>)</t>
    </r>
  </si>
  <si>
    <r>
      <rPr>
        <b/>
        <sz val="11"/>
        <color theme="1"/>
        <rFont val="Calibri"/>
      </rPr>
      <t>(metric tons CH</t>
    </r>
    <r>
      <rPr>
        <b/>
        <vertAlign val="subscript"/>
        <sz val="10"/>
        <color theme="1"/>
        <rFont val="Comic Sans MS"/>
      </rPr>
      <t>4</t>
    </r>
    <r>
      <rPr>
        <b/>
        <sz val="10"/>
        <color theme="1"/>
        <rFont val="Comic Sans MS"/>
      </rPr>
      <t>)</t>
    </r>
  </si>
  <si>
    <r>
      <rPr>
        <b/>
        <sz val="11"/>
        <color theme="1"/>
        <rFont val="Calibri"/>
      </rPr>
      <t>(MMTCO</t>
    </r>
    <r>
      <rPr>
        <b/>
        <vertAlign val="subscript"/>
        <sz val="10"/>
        <color theme="1"/>
        <rFont val="Comic Sans MS"/>
      </rPr>
      <t>2</t>
    </r>
    <r>
      <rPr>
        <b/>
        <sz val="10"/>
        <color theme="1"/>
        <rFont val="Comic Sans MS"/>
      </rPr>
      <t>E)</t>
    </r>
  </si>
  <si>
    <t xml:space="preserve"> MD In-State Gross Generation (MWh)</t>
  </si>
  <si>
    <t>Other Gases</t>
  </si>
  <si>
    <t>Nuclear</t>
  </si>
  <si>
    <t>Hydroelectric Conventional</t>
  </si>
  <si>
    <t>Wind</t>
  </si>
  <si>
    <t>Solar Thermal and Photovoltaic</t>
  </si>
  <si>
    <t>Wood and Wood Derived Fuels</t>
  </si>
  <si>
    <t>Other Biomass</t>
  </si>
  <si>
    <t>Other</t>
  </si>
  <si>
    <t>Distillate Fuel</t>
  </si>
  <si>
    <t>Residual Fuel</t>
  </si>
  <si>
    <t>MD -Electricity Losses (MWh) (Transmission and Distribution) Assume 6.25 %</t>
  </si>
  <si>
    <t>T &amp;D Losses</t>
  </si>
  <si>
    <t xml:space="preserve"> Net MD In-State Electricity Generation (MWh) = MD In-State Electricity Generated - T &amp;D Losses</t>
  </si>
  <si>
    <r>
      <rPr>
        <b/>
        <sz val="11"/>
        <color rgb="FF0000FF"/>
        <rFont val="Calibri"/>
      </rPr>
      <t>N</t>
    </r>
    <r>
      <rPr>
        <b/>
        <vertAlign val="subscript"/>
        <sz val="16"/>
        <color rgb="FF0000FF"/>
        <rFont val="Calibri"/>
      </rPr>
      <t>2</t>
    </r>
    <r>
      <rPr>
        <b/>
        <sz val="16"/>
        <color rgb="FF0000FF"/>
        <rFont val="Calibri"/>
      </rPr>
      <t>O EMISSION SUMMARY</t>
    </r>
  </si>
  <si>
    <t>ALL UNITS</t>
  </si>
  <si>
    <r>
      <rPr>
        <sz val="11"/>
        <color theme="1"/>
        <rFont val="Calibri"/>
      </rPr>
      <t>Electric Power Sector N</t>
    </r>
    <r>
      <rPr>
        <vertAlign val="subscript"/>
        <sz val="14"/>
        <color theme="1"/>
        <rFont val="Comic Sans MS"/>
      </rPr>
      <t>2</t>
    </r>
    <r>
      <rPr>
        <sz val="14"/>
        <color theme="1"/>
        <rFont val="Comic Sans MS"/>
      </rPr>
      <t>O</t>
    </r>
  </si>
  <si>
    <t>Net In -State Generated Electricity</t>
  </si>
  <si>
    <r>
      <rPr>
        <b/>
        <sz val="11"/>
        <color theme="1"/>
        <rFont val="Calibri"/>
      </rPr>
      <t>(short tons N</t>
    </r>
    <r>
      <rPr>
        <b/>
        <vertAlign val="subscript"/>
        <sz val="10"/>
        <color theme="1"/>
        <rFont val="Comic Sans MS"/>
      </rPr>
      <t>2</t>
    </r>
    <r>
      <rPr>
        <b/>
        <sz val="10"/>
        <color theme="1"/>
        <rFont val="Comic Sans MS"/>
      </rPr>
      <t>O)</t>
    </r>
  </si>
  <si>
    <r>
      <rPr>
        <b/>
        <sz val="11"/>
        <color theme="1"/>
        <rFont val="Calibri"/>
      </rPr>
      <t>(metric tons N</t>
    </r>
    <r>
      <rPr>
        <b/>
        <vertAlign val="subscript"/>
        <sz val="10"/>
        <color theme="1"/>
        <rFont val="Comic Sans MS"/>
      </rPr>
      <t>2</t>
    </r>
    <r>
      <rPr>
        <b/>
        <sz val="10"/>
        <color theme="1"/>
        <rFont val="Comic Sans MS"/>
      </rPr>
      <t>O)</t>
    </r>
  </si>
  <si>
    <r>
      <rPr>
        <b/>
        <sz val="11"/>
        <color theme="1"/>
        <rFont val="Calibri"/>
      </rPr>
      <t>(MMTCO</t>
    </r>
    <r>
      <rPr>
        <b/>
        <vertAlign val="subscript"/>
        <sz val="10"/>
        <color theme="1"/>
        <rFont val="Comic Sans MS"/>
      </rPr>
      <t>2</t>
    </r>
    <r>
      <rPr>
        <b/>
        <sz val="10"/>
        <color theme="1"/>
        <rFont val="Comic Sans MS"/>
      </rPr>
      <t>E)</t>
    </r>
  </si>
  <si>
    <t>Electricity Consumption (MWh) (MD Retail Sales)</t>
  </si>
  <si>
    <t>Residential</t>
  </si>
  <si>
    <t>Commercial</t>
  </si>
  <si>
    <t>Industrial</t>
  </si>
  <si>
    <t>Transportation</t>
  </si>
  <si>
    <t>Others</t>
  </si>
  <si>
    <t>Total Electric Consumption (Mwh) Net</t>
  </si>
  <si>
    <t>Total Electric Consumption (Mwh) Gross</t>
  </si>
  <si>
    <t>GHG EMISSION SUMMARY</t>
  </si>
  <si>
    <t>Electric Power Sector GHG</t>
  </si>
  <si>
    <t>Commercial Consumption and CO2 Emissions in Maryland</t>
  </si>
  <si>
    <t>Electricity Imported (MWh) = MD Gross Retail Sales - Gross In-state Generation</t>
  </si>
  <si>
    <t>Residential Consumption and CO2 Emissions in Maryland</t>
  </si>
  <si>
    <r>
      <rPr>
        <b/>
        <sz val="11"/>
        <color theme="1"/>
        <rFont val="Calibri"/>
      </rPr>
      <t>CO</t>
    </r>
    <r>
      <rPr>
        <b/>
        <vertAlign val="subscript"/>
        <sz val="10"/>
        <color theme="1"/>
        <rFont val="Comic Sans MS"/>
      </rPr>
      <t>2</t>
    </r>
  </si>
  <si>
    <r>
      <rPr>
        <b/>
        <sz val="11"/>
        <color theme="1"/>
        <rFont val="Calibri"/>
      </rPr>
      <t>N</t>
    </r>
    <r>
      <rPr>
        <b/>
        <vertAlign val="subscript"/>
        <sz val="10"/>
        <color theme="1"/>
        <rFont val="Comic Sans MS"/>
      </rPr>
      <t>2</t>
    </r>
    <r>
      <rPr>
        <b/>
        <sz val="10"/>
        <color theme="1"/>
        <rFont val="Comic Sans MS"/>
      </rPr>
      <t>O</t>
    </r>
  </si>
  <si>
    <r>
      <rPr>
        <b/>
        <sz val="11"/>
        <color theme="1"/>
        <rFont val="Calibri"/>
      </rPr>
      <t>CH</t>
    </r>
    <r>
      <rPr>
        <b/>
        <vertAlign val="subscript"/>
        <sz val="10"/>
        <color theme="1"/>
        <rFont val="Comic Sans MS"/>
      </rPr>
      <t>4</t>
    </r>
  </si>
  <si>
    <r>
      <rPr>
        <sz val="11"/>
        <color theme="1"/>
        <rFont val="Calibri"/>
      </rPr>
      <t>Commercial Sector CO</t>
    </r>
    <r>
      <rPr>
        <vertAlign val="subscript"/>
        <sz val="14"/>
        <color theme="1"/>
        <rFont val="Comic Sans MS"/>
      </rPr>
      <t>2</t>
    </r>
  </si>
  <si>
    <t>Imported Electricity to Meet MD Demand (MWh)</t>
  </si>
  <si>
    <r>
      <rPr>
        <b/>
        <sz val="11"/>
        <color theme="1"/>
        <rFont val="Calibri"/>
      </rPr>
      <t>(MMTCO</t>
    </r>
    <r>
      <rPr>
        <b/>
        <vertAlign val="subscript"/>
        <sz val="10"/>
        <color theme="1"/>
        <rFont val="Comic Sans MS"/>
      </rPr>
      <t>2</t>
    </r>
    <r>
      <rPr>
        <b/>
        <sz val="10"/>
        <color theme="1"/>
        <rFont val="Comic Sans MS"/>
      </rPr>
      <t>E)</t>
    </r>
  </si>
  <si>
    <r>
      <rPr>
        <b/>
        <sz val="11"/>
        <color theme="1"/>
        <rFont val="Calibri"/>
      </rPr>
      <t>(MMTCO</t>
    </r>
    <r>
      <rPr>
        <b/>
        <vertAlign val="subscript"/>
        <sz val="10"/>
        <color theme="1"/>
        <rFont val="Comic Sans MS"/>
      </rPr>
      <t>2</t>
    </r>
    <r>
      <rPr>
        <b/>
        <sz val="10"/>
        <color theme="1"/>
        <rFont val="Comic Sans MS"/>
      </rPr>
      <t>E)</t>
    </r>
  </si>
  <si>
    <r>
      <rPr>
        <sz val="11"/>
        <color theme="1"/>
        <rFont val="Calibri"/>
      </rPr>
      <t>Residential Sector CO</t>
    </r>
    <r>
      <rPr>
        <vertAlign val="subscript"/>
        <sz val="14"/>
        <color theme="1"/>
        <rFont val="Comic Sans MS"/>
      </rPr>
      <t>2</t>
    </r>
  </si>
  <si>
    <r>
      <rPr>
        <b/>
        <sz val="11"/>
        <color theme="1"/>
        <rFont val="Calibri"/>
      </rPr>
      <t>(MMTCO</t>
    </r>
    <r>
      <rPr>
        <b/>
        <vertAlign val="subscript"/>
        <sz val="10"/>
        <color theme="1"/>
        <rFont val="Comic Sans MS"/>
      </rPr>
      <t>2</t>
    </r>
    <r>
      <rPr>
        <b/>
        <sz val="10"/>
        <color theme="1"/>
        <rFont val="Comic Sans MS"/>
      </rPr>
      <t>E)</t>
    </r>
  </si>
  <si>
    <r>
      <rPr>
        <b/>
        <sz val="11"/>
        <color theme="1"/>
        <rFont val="Calibri"/>
      </rPr>
      <t>(MMTCO</t>
    </r>
    <r>
      <rPr>
        <b/>
        <vertAlign val="subscript"/>
        <sz val="10"/>
        <color theme="1"/>
        <rFont val="Comic Sans MS"/>
      </rPr>
      <t>2</t>
    </r>
    <r>
      <rPr>
        <b/>
        <sz val="10"/>
        <color theme="1"/>
        <rFont val="Comic Sans MS"/>
      </rPr>
      <t>E)</t>
    </r>
  </si>
  <si>
    <t>Emission Factor</t>
  </si>
  <si>
    <t>Combustion</t>
  </si>
  <si>
    <t>(lbs C/Million Btu)</t>
  </si>
  <si>
    <t>Efficiency (%)</t>
  </si>
  <si>
    <t>(short tons carbon)</t>
  </si>
  <si>
    <r>
      <rPr>
        <b/>
        <sz val="11"/>
        <color theme="1"/>
        <rFont val="Calibri"/>
      </rPr>
      <t>(MMTCO</t>
    </r>
    <r>
      <rPr>
        <b/>
        <vertAlign val="subscript"/>
        <sz val="7"/>
        <color theme="1"/>
        <rFont val="Comic Sans MS"/>
      </rPr>
      <t>2</t>
    </r>
    <r>
      <rPr>
        <b/>
        <sz val="7"/>
        <color theme="1"/>
        <rFont val="Comic Sans MS"/>
      </rPr>
      <t>E)</t>
    </r>
  </si>
  <si>
    <t>GHG Associated with Imported Electricity</t>
  </si>
  <si>
    <r>
      <rPr>
        <b/>
        <sz val="11"/>
        <color theme="1"/>
        <rFont val="Calibri"/>
      </rPr>
      <t>(MMTCO</t>
    </r>
    <r>
      <rPr>
        <b/>
        <vertAlign val="subscript"/>
        <sz val="7"/>
        <color theme="1"/>
        <rFont val="Comic Sans MS"/>
      </rPr>
      <t>2</t>
    </r>
    <r>
      <rPr>
        <b/>
        <sz val="7"/>
        <color theme="1"/>
        <rFont val="Comic Sans MS"/>
      </rPr>
      <t>E)</t>
    </r>
  </si>
  <si>
    <r>
      <rPr>
        <sz val="11"/>
        <color theme="1"/>
        <rFont val="Calibri"/>
      </rPr>
      <t>CO</t>
    </r>
    <r>
      <rPr>
        <vertAlign val="subscript"/>
        <sz val="10"/>
        <color theme="1"/>
        <rFont val="MS Sans Serif"/>
      </rPr>
      <t>2</t>
    </r>
    <r>
      <rPr>
        <sz val="8"/>
        <color theme="1"/>
        <rFont val="Arial"/>
      </rPr>
      <t xml:space="preserve"> Emission</t>
    </r>
  </si>
  <si>
    <r>
      <rPr>
        <b/>
        <sz val="11"/>
        <color theme="1"/>
        <rFont val="Calibri"/>
      </rPr>
      <t>PJM</t>
    </r>
    <r>
      <rPr>
        <sz val="8"/>
        <color theme="1"/>
        <rFont val="Arial"/>
      </rPr>
      <t xml:space="preserve"> Average CO</t>
    </r>
    <r>
      <rPr>
        <vertAlign val="subscript"/>
        <sz val="10"/>
        <color theme="1"/>
        <rFont val="MS Sans Serif"/>
      </rPr>
      <t>2</t>
    </r>
    <r>
      <rPr>
        <sz val="8"/>
        <color theme="1"/>
        <rFont val="Arial"/>
      </rPr>
      <t xml:space="preserve"> Emission Rate (lbs/MWh)</t>
    </r>
  </si>
  <si>
    <r>
      <rPr>
        <sz val="11"/>
        <color theme="1"/>
        <rFont val="Calibri"/>
      </rPr>
      <t>(CO</t>
    </r>
    <r>
      <rPr>
        <vertAlign val="subscript"/>
        <sz val="10"/>
        <color theme="1"/>
        <rFont val="MS Sans Serif"/>
      </rPr>
      <t>2</t>
    </r>
    <r>
      <rPr>
        <sz val="8"/>
        <color theme="1"/>
        <rFont val="Arial"/>
      </rPr>
      <t xml:space="preserve"> Emission Rate of Marginal Units)</t>
    </r>
  </si>
  <si>
    <t>Hydroelectric</t>
  </si>
  <si>
    <t>Solid Waste</t>
  </si>
  <si>
    <r>
      <rPr>
        <b/>
        <sz val="11"/>
        <color theme="1"/>
        <rFont val="Calibri"/>
      </rPr>
      <t>Captured CH</t>
    </r>
    <r>
      <rPr>
        <b/>
        <vertAlign val="subscript"/>
        <sz val="8"/>
        <color theme="1"/>
        <rFont val="MS Sans Serif"/>
      </rPr>
      <t>4</t>
    </r>
  </si>
  <si>
    <t>Solar</t>
  </si>
  <si>
    <t>Kerosene</t>
  </si>
  <si>
    <t>Actual Total 2011</t>
  </si>
  <si>
    <t>LPG</t>
  </si>
  <si>
    <t>PJM Electricity Generation Fuel Mix 2011(%)</t>
  </si>
  <si>
    <t>Motor Gasoline</t>
  </si>
  <si>
    <t>Maryland 2011  Import Share (MWh)</t>
  </si>
  <si>
    <r>
      <rPr>
        <sz val="11"/>
        <color theme="1"/>
        <rFont val="Calibri"/>
      </rPr>
      <t>Commercial Sector N</t>
    </r>
    <r>
      <rPr>
        <vertAlign val="subscript"/>
        <sz val="11"/>
        <color theme="1"/>
        <rFont val="Calibri"/>
      </rPr>
      <t>2</t>
    </r>
    <r>
      <rPr>
        <sz val="11"/>
        <color theme="1"/>
        <rFont val="Calibri"/>
      </rPr>
      <t>O</t>
    </r>
  </si>
  <si>
    <r>
      <rPr>
        <sz val="11"/>
        <color theme="1"/>
        <rFont val="Calibri"/>
      </rPr>
      <t>Residential Sector N</t>
    </r>
    <r>
      <rPr>
        <vertAlign val="subscript"/>
        <sz val="11"/>
        <color theme="1"/>
        <rFont val="Calibri"/>
      </rPr>
      <t>2</t>
    </r>
    <r>
      <rPr>
        <sz val="11"/>
        <color theme="1"/>
        <rFont val="Calibri"/>
      </rPr>
      <t>O</t>
    </r>
  </si>
  <si>
    <r>
      <rPr>
        <b/>
        <sz val="11"/>
        <color theme="1"/>
        <rFont val="Calibri"/>
      </rPr>
      <t>(metric tons N</t>
    </r>
    <r>
      <rPr>
        <b/>
        <vertAlign val="subscript"/>
        <sz val="7"/>
        <color theme="1"/>
        <rFont val="Comic Sans MS"/>
      </rPr>
      <t>2</t>
    </r>
    <r>
      <rPr>
        <b/>
        <sz val="7"/>
        <color theme="1"/>
        <rFont val="Comic Sans MS"/>
      </rPr>
      <t>O/BBtu)</t>
    </r>
  </si>
  <si>
    <r>
      <rPr>
        <b/>
        <sz val="11"/>
        <color theme="1"/>
        <rFont val="Calibri"/>
      </rPr>
      <t>(metric tons N</t>
    </r>
    <r>
      <rPr>
        <b/>
        <vertAlign val="subscript"/>
        <sz val="7"/>
        <color theme="1"/>
        <rFont val="Comic Sans MS"/>
      </rPr>
      <t>2</t>
    </r>
    <r>
      <rPr>
        <b/>
        <sz val="7"/>
        <color theme="1"/>
        <rFont val="Comic Sans MS"/>
      </rPr>
      <t>O)</t>
    </r>
  </si>
  <si>
    <t>(MMTCO2E)</t>
  </si>
  <si>
    <r>
      <rPr>
        <sz val="11"/>
        <color theme="1"/>
        <rFont val="Calibri"/>
      </rPr>
      <t>Imported Electric CO</t>
    </r>
    <r>
      <rPr>
        <vertAlign val="subscript"/>
        <sz val="10"/>
        <color theme="1"/>
        <rFont val="MS Sans Serif"/>
      </rPr>
      <t>2</t>
    </r>
    <r>
      <rPr>
        <sz val="8"/>
        <color theme="1"/>
        <rFont val="Arial"/>
      </rPr>
      <t xml:space="preserve"> Emissions Factors (tons/MWh)</t>
    </r>
  </si>
  <si>
    <r>
      <rPr>
        <sz val="11"/>
        <color theme="1"/>
        <rFont val="Calibri"/>
      </rPr>
      <t>Imported Electric CO</t>
    </r>
    <r>
      <rPr>
        <vertAlign val="subscript"/>
        <sz val="10"/>
        <color theme="1"/>
        <rFont val="MS Sans Serif"/>
      </rPr>
      <t>2</t>
    </r>
    <r>
      <rPr>
        <sz val="8"/>
        <color theme="1"/>
        <rFont val="Arial"/>
      </rPr>
      <t xml:space="preserve"> Emissions (metric tons)</t>
    </r>
  </si>
  <si>
    <r>
      <rPr>
        <b/>
        <sz val="11"/>
        <color theme="1"/>
        <rFont val="Calibri"/>
      </rPr>
      <t>(metric tons N</t>
    </r>
    <r>
      <rPr>
        <b/>
        <vertAlign val="subscript"/>
        <sz val="7"/>
        <color theme="1"/>
        <rFont val="Comic Sans MS"/>
      </rPr>
      <t>2</t>
    </r>
    <r>
      <rPr>
        <b/>
        <sz val="7"/>
        <color theme="1"/>
        <rFont val="Comic Sans MS"/>
      </rPr>
      <t>O/BBtu)</t>
    </r>
  </si>
  <si>
    <r>
      <rPr>
        <b/>
        <sz val="11"/>
        <color theme="1"/>
        <rFont val="Calibri"/>
      </rPr>
      <t>(metric tons N</t>
    </r>
    <r>
      <rPr>
        <b/>
        <vertAlign val="subscript"/>
        <sz val="7"/>
        <color theme="1"/>
        <rFont val="Comic Sans MS"/>
      </rPr>
      <t>2</t>
    </r>
    <r>
      <rPr>
        <b/>
        <sz val="7"/>
        <color theme="1"/>
        <rFont val="Comic Sans MS"/>
      </rPr>
      <t>O)</t>
    </r>
  </si>
  <si>
    <r>
      <rPr>
        <b/>
        <sz val="11"/>
        <color theme="1"/>
        <rFont val="Calibri"/>
      </rPr>
      <t>(MMTCO</t>
    </r>
    <r>
      <rPr>
        <b/>
        <vertAlign val="subscript"/>
        <sz val="7"/>
        <color theme="1"/>
        <rFont val="Comic Sans MS"/>
      </rPr>
      <t>2</t>
    </r>
    <r>
      <rPr>
        <b/>
        <sz val="7"/>
        <color theme="1"/>
        <rFont val="Comic Sans MS"/>
      </rPr>
      <t>E)</t>
    </r>
  </si>
  <si>
    <r>
      <rPr>
        <sz val="11"/>
        <color theme="1"/>
        <rFont val="Calibri"/>
      </rPr>
      <t>Imported Electric CO</t>
    </r>
    <r>
      <rPr>
        <vertAlign val="subscript"/>
        <sz val="10"/>
        <color theme="1"/>
        <rFont val="MS Sans Serif"/>
      </rPr>
      <t>2</t>
    </r>
    <r>
      <rPr>
        <sz val="8"/>
        <color theme="1"/>
        <rFont val="Arial"/>
      </rPr>
      <t xml:space="preserve"> Emissions (MMTCO</t>
    </r>
    <r>
      <rPr>
        <vertAlign val="subscript"/>
        <sz val="10"/>
        <color theme="1"/>
        <rFont val="MS Sans Serif"/>
      </rPr>
      <t>2</t>
    </r>
    <r>
      <rPr>
        <sz val="8"/>
        <color theme="1"/>
        <rFont val="Arial"/>
      </rPr>
      <t>)</t>
    </r>
  </si>
  <si>
    <r>
      <rPr>
        <b/>
        <sz val="11"/>
        <color theme="1"/>
        <rFont val="Calibri"/>
      </rPr>
      <t xml:space="preserve"> Imported Electricity Emissions  (MMTCO</t>
    </r>
    <r>
      <rPr>
        <b/>
        <vertAlign val="subscript"/>
        <sz val="10"/>
        <color theme="1"/>
        <rFont val="MS Sans Serif"/>
      </rPr>
      <t>2</t>
    </r>
    <r>
      <rPr>
        <b/>
        <sz val="10"/>
        <color theme="1"/>
        <rFont val="MS Sans Serif"/>
      </rPr>
      <t>E)</t>
    </r>
  </si>
  <si>
    <r>
      <rPr>
        <sz val="11"/>
        <color theme="1"/>
        <rFont val="Calibri"/>
      </rPr>
      <t>Commercial Sector CH</t>
    </r>
    <r>
      <rPr>
        <vertAlign val="subscript"/>
        <sz val="14"/>
        <color theme="1"/>
        <rFont val="Comic Sans MS"/>
      </rPr>
      <t>4</t>
    </r>
  </si>
  <si>
    <r>
      <rPr>
        <b/>
        <sz val="11"/>
        <color theme="1"/>
        <rFont val="Calibri"/>
      </rPr>
      <t>(metric tons CH</t>
    </r>
    <r>
      <rPr>
        <b/>
        <vertAlign val="subscript"/>
        <sz val="7"/>
        <color theme="1"/>
        <rFont val="Comic Sans MS"/>
      </rPr>
      <t>4</t>
    </r>
    <r>
      <rPr>
        <b/>
        <sz val="7"/>
        <color theme="1"/>
        <rFont val="Comic Sans MS"/>
      </rPr>
      <t xml:space="preserve"> /BBtu)</t>
    </r>
  </si>
  <si>
    <r>
      <rPr>
        <b/>
        <sz val="11"/>
        <color theme="1"/>
        <rFont val="Calibri"/>
      </rPr>
      <t>(metric tons CH</t>
    </r>
    <r>
      <rPr>
        <b/>
        <vertAlign val="subscript"/>
        <sz val="7"/>
        <color theme="1"/>
        <rFont val="Comic Sans MS"/>
      </rPr>
      <t>4</t>
    </r>
    <r>
      <rPr>
        <b/>
        <sz val="7"/>
        <color theme="1"/>
        <rFont val="Comic Sans MS"/>
      </rPr>
      <t>)</t>
    </r>
  </si>
  <si>
    <r>
      <rPr>
        <b/>
        <sz val="11"/>
        <color theme="1"/>
        <rFont val="Calibri"/>
      </rPr>
      <t>(MMTCO</t>
    </r>
    <r>
      <rPr>
        <b/>
        <vertAlign val="subscript"/>
        <sz val="7"/>
        <color theme="1"/>
        <rFont val="Comic Sans MS"/>
      </rPr>
      <t>2</t>
    </r>
    <r>
      <rPr>
        <b/>
        <sz val="7"/>
        <color theme="1"/>
        <rFont val="Comic Sans MS"/>
      </rPr>
      <t>E)</t>
    </r>
  </si>
  <si>
    <r>
      <rPr>
        <sz val="11"/>
        <color theme="1"/>
        <rFont val="Calibri"/>
      </rPr>
      <t>Residential Sector CH</t>
    </r>
    <r>
      <rPr>
        <vertAlign val="subscript"/>
        <sz val="14"/>
        <color theme="1"/>
        <rFont val="Comic Sans MS"/>
      </rPr>
      <t>4</t>
    </r>
  </si>
  <si>
    <t>(metric tons CH4 /BBtu)</t>
  </si>
  <si>
    <r>
      <rPr>
        <b/>
        <sz val="11"/>
        <color theme="1"/>
        <rFont val="Calibri"/>
      </rPr>
      <t>(metric tons CH</t>
    </r>
    <r>
      <rPr>
        <b/>
        <vertAlign val="subscript"/>
        <sz val="7"/>
        <color theme="1"/>
        <rFont val="Comic Sans MS"/>
      </rPr>
      <t>4</t>
    </r>
    <r>
      <rPr>
        <b/>
        <sz val="7"/>
        <color theme="1"/>
        <rFont val="Comic Sans MS"/>
      </rPr>
      <t>)</t>
    </r>
  </si>
  <si>
    <t>Commercial Sector 2011 GHG Emission</t>
  </si>
  <si>
    <r>
      <rPr>
        <b/>
        <sz val="11"/>
        <color theme="1"/>
        <rFont val="Calibri"/>
      </rPr>
      <t>CO</t>
    </r>
    <r>
      <rPr>
        <b/>
        <vertAlign val="subscript"/>
        <sz val="10"/>
        <color theme="1"/>
        <rFont val="Arial"/>
      </rPr>
      <t>2</t>
    </r>
  </si>
  <si>
    <r>
      <rPr>
        <b/>
        <sz val="11"/>
        <color theme="1"/>
        <rFont val="Calibri"/>
      </rPr>
      <t>CH</t>
    </r>
    <r>
      <rPr>
        <b/>
        <vertAlign val="subscript"/>
        <sz val="10"/>
        <color theme="1"/>
        <rFont val="Arial"/>
      </rPr>
      <t>4</t>
    </r>
  </si>
  <si>
    <r>
      <rPr>
        <b/>
        <sz val="11"/>
        <color theme="1"/>
        <rFont val="Calibri"/>
      </rPr>
      <t>N</t>
    </r>
    <r>
      <rPr>
        <b/>
        <vertAlign val="subscript"/>
        <sz val="10"/>
        <color theme="1"/>
        <rFont val="Arial"/>
      </rPr>
      <t>2</t>
    </r>
    <r>
      <rPr>
        <b/>
        <sz val="10"/>
        <color theme="1"/>
        <rFont val="Arial"/>
      </rPr>
      <t>O</t>
    </r>
  </si>
  <si>
    <t>GHG</t>
  </si>
  <si>
    <t xml:space="preserve">Residential Sector 2011 GHG Emissions </t>
  </si>
  <si>
    <r>
      <rPr>
        <b/>
        <sz val="11"/>
        <color theme="1"/>
        <rFont val="Calibri"/>
      </rPr>
      <t>(MMTCO</t>
    </r>
    <r>
      <rPr>
        <b/>
        <vertAlign val="subscript"/>
        <sz val="7"/>
        <color theme="1"/>
        <rFont val="Comic Sans MS"/>
      </rPr>
      <t>2</t>
    </r>
    <r>
      <rPr>
        <b/>
        <sz val="7"/>
        <color theme="1"/>
        <rFont val="Comic Sans MS"/>
      </rPr>
      <t>E)</t>
    </r>
  </si>
  <si>
    <r>
      <rPr>
        <b/>
        <sz val="11"/>
        <color theme="1"/>
        <rFont val="Calibri"/>
      </rPr>
      <t>(MMTCO</t>
    </r>
    <r>
      <rPr>
        <b/>
        <vertAlign val="subscript"/>
        <sz val="7"/>
        <color theme="1"/>
        <rFont val="Comic Sans MS"/>
      </rPr>
      <t>2</t>
    </r>
    <r>
      <rPr>
        <b/>
        <sz val="7"/>
        <color theme="1"/>
        <rFont val="Comic Sans MS"/>
      </rPr>
      <t>E)</t>
    </r>
  </si>
  <si>
    <r>
      <rPr>
        <b/>
        <sz val="11"/>
        <color theme="1"/>
        <rFont val="Calibri"/>
      </rPr>
      <t>(MMTCO</t>
    </r>
    <r>
      <rPr>
        <b/>
        <vertAlign val="subscript"/>
        <sz val="7"/>
        <color theme="1"/>
        <rFont val="Comic Sans MS"/>
      </rPr>
      <t>2</t>
    </r>
    <r>
      <rPr>
        <b/>
        <sz val="7"/>
        <color theme="1"/>
        <rFont val="Comic Sans MS"/>
      </rPr>
      <t>E)</t>
    </r>
  </si>
  <si>
    <r>
      <rPr>
        <b/>
        <sz val="11"/>
        <color theme="1"/>
        <rFont val="Calibri"/>
      </rPr>
      <t>(MMTCO</t>
    </r>
    <r>
      <rPr>
        <b/>
        <vertAlign val="subscript"/>
        <sz val="7"/>
        <color theme="1"/>
        <rFont val="Comic Sans MS"/>
      </rPr>
      <t>2</t>
    </r>
    <r>
      <rPr>
        <b/>
        <sz val="7"/>
        <color theme="1"/>
        <rFont val="Comic Sans MS"/>
      </rPr>
      <t>E)</t>
    </r>
  </si>
  <si>
    <r>
      <rPr>
        <b/>
        <sz val="11"/>
        <color theme="1"/>
        <rFont val="Calibri"/>
      </rPr>
      <t>CO</t>
    </r>
    <r>
      <rPr>
        <b/>
        <vertAlign val="subscript"/>
        <sz val="8"/>
        <color theme="1"/>
        <rFont val="Arial"/>
      </rPr>
      <t>2</t>
    </r>
  </si>
  <si>
    <r>
      <rPr>
        <b/>
        <sz val="11"/>
        <color theme="1"/>
        <rFont val="Calibri"/>
      </rPr>
      <t>N</t>
    </r>
    <r>
      <rPr>
        <b/>
        <vertAlign val="subscript"/>
        <sz val="8"/>
        <color theme="1"/>
        <rFont val="Arial"/>
      </rPr>
      <t>2</t>
    </r>
    <r>
      <rPr>
        <b/>
        <sz val="8"/>
        <color theme="1"/>
        <rFont val="Arial"/>
      </rPr>
      <t>O</t>
    </r>
  </si>
  <si>
    <r>
      <rPr>
        <b/>
        <sz val="11"/>
        <color theme="1"/>
        <rFont val="Calibri"/>
      </rPr>
      <t>CH</t>
    </r>
    <r>
      <rPr>
        <b/>
        <vertAlign val="subscript"/>
        <sz val="8"/>
        <color theme="1"/>
        <rFont val="Arial"/>
      </rPr>
      <t>4</t>
    </r>
  </si>
  <si>
    <r>
      <rPr>
        <b/>
        <sz val="11"/>
        <color theme="1"/>
        <rFont val="Calibri"/>
      </rPr>
      <t>(MMTCO</t>
    </r>
    <r>
      <rPr>
        <b/>
        <vertAlign val="subscript"/>
        <sz val="8"/>
        <color theme="1"/>
        <rFont val="Arial"/>
      </rPr>
      <t>2</t>
    </r>
    <r>
      <rPr>
        <b/>
        <sz val="8"/>
        <color theme="1"/>
        <rFont val="Arial"/>
      </rPr>
      <t>E)</t>
    </r>
  </si>
  <si>
    <r>
      <rPr>
        <b/>
        <sz val="11"/>
        <color theme="1"/>
        <rFont val="Calibri"/>
      </rPr>
      <t>(MMTCO</t>
    </r>
    <r>
      <rPr>
        <b/>
        <vertAlign val="subscript"/>
        <sz val="8"/>
        <color theme="1"/>
        <rFont val="Arial"/>
      </rPr>
      <t>2</t>
    </r>
    <r>
      <rPr>
        <b/>
        <sz val="8"/>
        <color theme="1"/>
        <rFont val="Arial"/>
      </rPr>
      <t>E)</t>
    </r>
  </si>
  <si>
    <r>
      <rPr>
        <b/>
        <sz val="11"/>
        <color theme="1"/>
        <rFont val="Calibri"/>
      </rPr>
      <t>(MMTCO</t>
    </r>
    <r>
      <rPr>
        <b/>
        <vertAlign val="subscript"/>
        <sz val="8"/>
        <color theme="1"/>
        <rFont val="Arial"/>
      </rPr>
      <t>2</t>
    </r>
    <r>
      <rPr>
        <b/>
        <sz val="8"/>
        <color theme="1"/>
        <rFont val="Arial"/>
      </rPr>
      <t>E)</t>
    </r>
  </si>
  <si>
    <r>
      <rPr>
        <b/>
        <sz val="11"/>
        <color theme="1"/>
        <rFont val="Calibri"/>
      </rPr>
      <t>(MMTCO</t>
    </r>
    <r>
      <rPr>
        <b/>
        <vertAlign val="subscript"/>
        <sz val="8"/>
        <color theme="1"/>
        <rFont val="Arial"/>
      </rPr>
      <t>2</t>
    </r>
    <r>
      <rPr>
        <b/>
        <sz val="8"/>
        <color theme="1"/>
        <rFont val="Arial"/>
      </rPr>
      <t>E)</t>
    </r>
  </si>
  <si>
    <t>Industrial Consumption and CO2 Emissions in Maryland</t>
  </si>
  <si>
    <t>FINAL</t>
  </si>
  <si>
    <r>
      <rPr>
        <sz val="11"/>
        <color rgb="FF000000"/>
        <rFont val="Calibri"/>
      </rPr>
      <t>Industrial Sector CO</t>
    </r>
    <r>
      <rPr>
        <sz val="14"/>
        <color rgb="FF000000"/>
        <rFont val="Comic Sans MS"/>
      </rPr>
      <t>2</t>
    </r>
  </si>
  <si>
    <t xml:space="preserve">Non-Energy </t>
  </si>
  <si>
    <t xml:space="preserve">Net combustible </t>
  </si>
  <si>
    <t>Storage Factor (%)</t>
  </si>
  <si>
    <r>
      <rPr>
        <b/>
        <sz val="11"/>
        <color theme="1"/>
        <rFont val="Calibri"/>
      </rPr>
      <t>(MMTCO</t>
    </r>
    <r>
      <rPr>
        <b/>
        <vertAlign val="subscript"/>
        <sz val="7"/>
        <color theme="1"/>
        <rFont val="Comic Sans MS"/>
      </rPr>
      <t>2</t>
    </r>
    <r>
      <rPr>
        <b/>
        <sz val="7"/>
        <color theme="1"/>
        <rFont val="Comic Sans MS"/>
      </rPr>
      <t>E)</t>
    </r>
  </si>
  <si>
    <t>Coking Coal</t>
  </si>
  <si>
    <t>Other Coal</t>
  </si>
  <si>
    <t>Transportation Consumption and GHG Emissions</t>
  </si>
  <si>
    <t>Asphalt and Road Oil</t>
  </si>
  <si>
    <t>Aviation Gasoline Blending Components</t>
  </si>
  <si>
    <t>Activity Data (Consumption)</t>
  </si>
  <si>
    <t xml:space="preserve"> State Energy Data  2011</t>
  </si>
  <si>
    <t>Crude Oil</t>
  </si>
  <si>
    <t>(Thousand Barrels)</t>
  </si>
  <si>
    <t>(Gallons)</t>
  </si>
  <si>
    <t xml:space="preserve">Aviation Gasoline </t>
  </si>
  <si>
    <t>Feedstocks, Naphtha less than 401 F</t>
  </si>
  <si>
    <t xml:space="preserve">Distillate Fuel  Oil </t>
  </si>
  <si>
    <t>Feedstocks, Other Oils greater than 401 F</t>
  </si>
  <si>
    <t xml:space="preserve">Jet Fuel Naphtha </t>
  </si>
  <si>
    <t xml:space="preserve">Jet Fuel Kerosene Type </t>
  </si>
  <si>
    <t>Lubricants</t>
  </si>
  <si>
    <t>Liquidfied Petroleum Gases</t>
  </si>
  <si>
    <t>Motor Gasoline Blending Components</t>
  </si>
  <si>
    <t xml:space="preserve">Lubricant </t>
  </si>
  <si>
    <t>Misc. Petro Products</t>
  </si>
  <si>
    <t>Petroleum Coke</t>
  </si>
  <si>
    <t>Pentanes Plus</t>
  </si>
  <si>
    <t>Ethanol</t>
  </si>
  <si>
    <t>Still Gas</t>
  </si>
  <si>
    <t>Natural Gases -  (Million Cubic Feet)</t>
  </si>
  <si>
    <t>Special Naphthas</t>
  </si>
  <si>
    <t>Residual Fuel Oil</t>
  </si>
  <si>
    <t>Unfinished Oils</t>
  </si>
  <si>
    <t>Waxes</t>
  </si>
  <si>
    <t xml:space="preserve">                                                     Gasoline Fuel Usage</t>
  </si>
  <si>
    <t>Emissions from Natural Gas Activities in MD</t>
  </si>
  <si>
    <t>Source</t>
  </si>
  <si>
    <t>Year</t>
  </si>
  <si>
    <t>Subsource</t>
  </si>
  <si>
    <t>Vehicle / Fuel Type</t>
  </si>
  <si>
    <t>Amount
(gal)</t>
  </si>
  <si>
    <t>Percentage</t>
  </si>
  <si>
    <t>Percentage of NR Gasoline</t>
  </si>
  <si>
    <t>Natural Gas - Production</t>
  </si>
  <si>
    <t>FHWA Data MF-24</t>
  </si>
  <si>
    <t>Farm Equipment</t>
  </si>
  <si>
    <t>Gasoline Tractor</t>
  </si>
  <si>
    <t>Activity Data</t>
  </si>
  <si>
    <r>
      <rPr>
        <b/>
        <sz val="11"/>
        <color theme="1"/>
        <rFont val="Calibri"/>
      </rPr>
      <t>Metric Tons CH</t>
    </r>
    <r>
      <rPr>
        <b/>
        <vertAlign val="subscript"/>
        <sz val="8"/>
        <color theme="1"/>
        <rFont val="Comic Sans MS"/>
      </rPr>
      <t>4</t>
    </r>
  </si>
  <si>
    <r>
      <rPr>
        <sz val="11"/>
        <color theme="1"/>
        <rFont val="Calibri"/>
      </rPr>
      <t>Industrial Sector N</t>
    </r>
    <r>
      <rPr>
        <vertAlign val="subscript"/>
        <sz val="14"/>
        <color theme="1"/>
        <rFont val="Comic Sans MS"/>
      </rPr>
      <t>2</t>
    </r>
    <r>
      <rPr>
        <sz val="14"/>
        <color theme="1"/>
        <rFont val="Comic Sans MS"/>
      </rPr>
      <t>O</t>
    </r>
  </si>
  <si>
    <r>
      <rPr>
        <b/>
        <sz val="11"/>
        <color theme="1"/>
        <rFont val="Calibri"/>
      </rPr>
      <t>MMTCO</t>
    </r>
    <r>
      <rPr>
        <b/>
        <vertAlign val="subscript"/>
        <sz val="8"/>
        <color theme="1"/>
        <rFont val="Comic Sans MS"/>
      </rPr>
      <t>2</t>
    </r>
    <r>
      <rPr>
        <b/>
        <sz val="8"/>
        <color theme="1"/>
        <rFont val="Comic Sans MS"/>
      </rPr>
      <t>E</t>
    </r>
  </si>
  <si>
    <r>
      <rPr>
        <sz val="11"/>
        <color theme="1"/>
        <rFont val="Calibri"/>
      </rPr>
      <t>metric tons CH</t>
    </r>
    <r>
      <rPr>
        <vertAlign val="subscript"/>
        <sz val="8"/>
        <color theme="1"/>
        <rFont val="Comic Sans MS"/>
      </rPr>
      <t>4</t>
    </r>
    <r>
      <rPr>
        <sz val="8"/>
        <color theme="1"/>
        <rFont val="Comic Sans MS"/>
      </rPr>
      <t xml:space="preserve"> per year per activity unit</t>
    </r>
  </si>
  <si>
    <t>Total number of wells</t>
  </si>
  <si>
    <r>
      <rPr>
        <b/>
        <sz val="11"/>
        <color theme="1"/>
        <rFont val="Calibri"/>
      </rPr>
      <t>(metric tons N</t>
    </r>
    <r>
      <rPr>
        <b/>
        <vertAlign val="subscript"/>
        <sz val="7"/>
        <color theme="1"/>
        <rFont val="Comic Sans MS"/>
      </rPr>
      <t>2</t>
    </r>
    <r>
      <rPr>
        <b/>
        <sz val="7"/>
        <color theme="1"/>
        <rFont val="Comic Sans MS"/>
      </rPr>
      <t>O/BBtu)</t>
    </r>
  </si>
  <si>
    <r>
      <rPr>
        <b/>
        <sz val="11"/>
        <color theme="1"/>
        <rFont val="Calibri"/>
      </rPr>
      <t>(metric tons N</t>
    </r>
    <r>
      <rPr>
        <b/>
        <vertAlign val="subscript"/>
        <sz val="7"/>
        <color theme="1"/>
        <rFont val="Comic Sans MS"/>
      </rPr>
      <t>2</t>
    </r>
    <r>
      <rPr>
        <b/>
        <sz val="7"/>
        <color theme="1"/>
        <rFont val="Comic Sans MS"/>
      </rPr>
      <t>O)</t>
    </r>
  </si>
  <si>
    <r>
      <rPr>
        <b/>
        <sz val="11"/>
        <color theme="1"/>
        <rFont val="Calibri"/>
      </rPr>
      <t>(MMTCO</t>
    </r>
    <r>
      <rPr>
        <b/>
        <vertAlign val="subscript"/>
        <sz val="7"/>
        <color theme="1"/>
        <rFont val="Comic Sans MS"/>
      </rPr>
      <t>2</t>
    </r>
    <r>
      <rPr>
        <b/>
        <sz val="7"/>
        <color theme="1"/>
        <rFont val="Comic Sans MS"/>
      </rPr>
      <t>E)</t>
    </r>
  </si>
  <si>
    <t>Construction</t>
  </si>
  <si>
    <t>Gasoline Construction</t>
  </si>
  <si>
    <t>Number of off-shore platforms not in the Gulf of Mexico</t>
  </si>
  <si>
    <t xml:space="preserve">Total  </t>
  </si>
  <si>
    <t>Non-Highway Industrial</t>
  </si>
  <si>
    <t>Gasoline HD Utility</t>
  </si>
  <si>
    <t>Emissions from Mining in MD</t>
  </si>
  <si>
    <t>EPA NonRoad Model Output</t>
  </si>
  <si>
    <t>Gasoline Small Utility</t>
  </si>
  <si>
    <r>
      <rPr>
        <sz val="11"/>
        <color theme="1"/>
        <rFont val="Calibri"/>
      </rPr>
      <t>CH</t>
    </r>
    <r>
      <rPr>
        <vertAlign val="subscript"/>
        <sz val="14"/>
        <color theme="1"/>
        <rFont val="Calibri"/>
      </rPr>
      <t>4</t>
    </r>
    <r>
      <rPr>
        <sz val="14"/>
        <color theme="1"/>
        <rFont val="Calibri"/>
      </rPr>
      <t xml:space="preserve"> from Coal Mining in MD</t>
    </r>
  </si>
  <si>
    <t>Number of Wells from EIA, " Natural Gas Navigator- Maryland Natural Gas Number of Gas and Gas Condensate Wells" acccessed from: http://tonto.eia.doe.gov/dnav/ng/hist/na1170_smd_8a.htm</t>
  </si>
  <si>
    <t>http://www.eia.gov/naturalgas/annual/pdf/table_005.pdf</t>
  </si>
  <si>
    <t>Boat (Marine Gasoline)</t>
  </si>
  <si>
    <t>Gasoline</t>
  </si>
  <si>
    <t>Emissions from:</t>
  </si>
  <si>
    <t>Coal Basin(s)                            (if applicable)</t>
  </si>
  <si>
    <t>Measured Ventilation Emissions
(mcf)</t>
  </si>
  <si>
    <t>Degasification System Emissions
(mcf)</t>
  </si>
  <si>
    <t>Methane Recovered from Degasification Systems and Usef for Energy
(mcf)</t>
  </si>
  <si>
    <r>
      <rPr>
        <sz val="11"/>
        <color theme="1"/>
        <rFont val="Calibri"/>
      </rPr>
      <t>Emission factor from US EP</t>
    </r>
    <r>
      <rPr>
        <sz val="10"/>
        <color theme="1"/>
        <rFont val="Arial"/>
      </rPr>
      <t>A, Emissions Inventory Improvements Program,</t>
    </r>
    <r>
      <rPr>
        <i/>
        <sz val="10"/>
        <color theme="1"/>
        <rFont val="Arial"/>
      </rPr>
      <t xml:space="preserve"> Volume VII: Chpater 5. Methods for Estimating Methane Emissions from Natural Gas and Oil Systems. </t>
    </r>
    <r>
      <rPr>
        <sz val="10"/>
        <color theme="1"/>
        <rFont val="Arial"/>
      </rPr>
      <t>This factor represents emissions not just from wells but also from pneumatic devices, dehydrator vents, Kimray pumps, gas engines, and well clean-ups</t>
    </r>
  </si>
  <si>
    <r>
      <rPr>
        <b/>
        <sz val="11"/>
        <color theme="1"/>
        <rFont val="Calibri"/>
      </rPr>
      <t>Emissions
(mcf CH</t>
    </r>
    <r>
      <rPr>
        <b/>
        <vertAlign val="subscript"/>
        <sz val="7"/>
        <color theme="1"/>
        <rFont val="Calibri"/>
      </rPr>
      <t>4</t>
    </r>
    <r>
      <rPr>
        <b/>
        <sz val="7"/>
        <color theme="1"/>
        <rFont val="Calibri"/>
      </rPr>
      <t>)</t>
    </r>
  </si>
  <si>
    <r>
      <rPr>
        <b/>
        <sz val="11"/>
        <color theme="1"/>
        <rFont val="Calibri"/>
      </rPr>
      <t>Emissions
(MTCH</t>
    </r>
    <r>
      <rPr>
        <b/>
        <vertAlign val="subscript"/>
        <sz val="7"/>
        <color theme="1"/>
        <rFont val="Calibri"/>
      </rPr>
      <t>4</t>
    </r>
    <r>
      <rPr>
        <b/>
        <sz val="7"/>
        <color theme="1"/>
        <rFont val="Calibri"/>
      </rPr>
      <t>)</t>
    </r>
  </si>
  <si>
    <r>
      <rPr>
        <b/>
        <sz val="11"/>
        <color theme="1"/>
        <rFont val="Calibri"/>
      </rPr>
      <t>Emissions
(MTCO</t>
    </r>
    <r>
      <rPr>
        <b/>
        <vertAlign val="subscript"/>
        <sz val="7"/>
        <color theme="1"/>
        <rFont val="Calibri"/>
      </rPr>
      <t>2</t>
    </r>
    <r>
      <rPr>
        <b/>
        <sz val="7"/>
        <color theme="1"/>
        <rFont val="Calibri"/>
      </rPr>
      <t>E)</t>
    </r>
  </si>
  <si>
    <t>Constants</t>
  </si>
  <si>
    <t>MD Comptroller</t>
  </si>
  <si>
    <t>Mines</t>
  </si>
  <si>
    <t>Motor Gasoline (Total Sold)</t>
  </si>
  <si>
    <t>All</t>
  </si>
  <si>
    <t>Natural Gas - Distribution</t>
  </si>
  <si>
    <r>
      <rPr>
        <sz val="11"/>
        <color rgb="FFFF0000"/>
        <rFont val="Calibri"/>
      </rPr>
      <t>grams/ft</t>
    </r>
    <r>
      <rPr>
        <vertAlign val="superscript"/>
        <sz val="11"/>
        <color rgb="FFFF0000"/>
        <rFont val="Calibri"/>
      </rPr>
      <t>3</t>
    </r>
    <r>
      <rPr>
        <sz val="11"/>
        <color rgb="FFFF0000"/>
        <rFont val="Calibri"/>
      </rPr>
      <t xml:space="preserve"> CH</t>
    </r>
    <r>
      <rPr>
        <vertAlign val="subscript"/>
        <sz val="11"/>
        <color rgb="FFFF0000"/>
        <rFont val="Calibri"/>
      </rPr>
      <t>4</t>
    </r>
  </si>
  <si>
    <t>Underground Mines</t>
  </si>
  <si>
    <t>+</t>
  </si>
  <si>
    <t>MOVES Output</t>
  </si>
  <si>
    <t>-</t>
  </si>
  <si>
    <t>Motor Gasoline (On-Road Mobile)</t>
  </si>
  <si>
    <t>=</t>
  </si>
  <si>
    <r>
      <rPr>
        <b/>
        <sz val="11"/>
        <color theme="1"/>
        <rFont val="Calibri"/>
      </rPr>
      <t>Metric Tons CH</t>
    </r>
    <r>
      <rPr>
        <b/>
        <vertAlign val="subscript"/>
        <sz val="7"/>
        <color theme="1"/>
        <rFont val="Comic Sans MS"/>
      </rPr>
      <t>4</t>
    </r>
  </si>
  <si>
    <r>
      <rPr>
        <b/>
        <sz val="11"/>
        <color theme="1"/>
        <rFont val="Calibri"/>
      </rPr>
      <t>MMTCO</t>
    </r>
    <r>
      <rPr>
        <b/>
        <vertAlign val="subscript"/>
        <sz val="7"/>
        <color theme="1"/>
        <rFont val="Comic Sans MS"/>
      </rPr>
      <t>2</t>
    </r>
    <r>
      <rPr>
        <b/>
        <sz val="7"/>
        <color theme="1"/>
        <rFont val="Comic Sans MS"/>
      </rPr>
      <t>E</t>
    </r>
  </si>
  <si>
    <t>Distribution pipeline</t>
  </si>
  <si>
    <t>Motor Gasoline (Non-Road Mobile)</t>
  </si>
  <si>
    <r>
      <rPr>
        <sz val="11"/>
        <color theme="1"/>
        <rFont val="Calibri"/>
      </rPr>
      <t>(metric tons CH</t>
    </r>
    <r>
      <rPr>
        <vertAlign val="subscript"/>
        <sz val="7"/>
        <color theme="1"/>
        <rFont val="Comic Sans MS"/>
      </rPr>
      <t>4</t>
    </r>
    <r>
      <rPr>
        <sz val="7"/>
        <color theme="1"/>
        <rFont val="Comic Sans MS"/>
      </rPr>
      <t xml:space="preserve"> per year per activity unit)</t>
    </r>
  </si>
  <si>
    <t>metric tons/gram</t>
  </si>
  <si>
    <t>Miles of cast iron distribution pipeline</t>
  </si>
  <si>
    <t>Surface Coal Production
('000 short tons)</t>
  </si>
  <si>
    <r>
      <rPr>
        <b/>
        <sz val="11"/>
        <color theme="1"/>
        <rFont val="Calibri"/>
      </rPr>
      <t>Basin-specific EF
(ft</t>
    </r>
    <r>
      <rPr>
        <b/>
        <vertAlign val="superscript"/>
        <sz val="7"/>
        <color theme="1"/>
        <rFont val="Calibri"/>
      </rPr>
      <t>3</t>
    </r>
    <r>
      <rPr>
        <b/>
        <sz val="7"/>
        <color theme="1"/>
        <rFont val="Calibri"/>
      </rPr>
      <t>/short ton)</t>
    </r>
  </si>
  <si>
    <r>
      <rPr>
        <b/>
        <sz val="11"/>
        <color theme="1"/>
        <rFont val="Calibri"/>
      </rPr>
      <t>Emissions
('000 ft</t>
    </r>
    <r>
      <rPr>
        <b/>
        <vertAlign val="superscript"/>
        <sz val="7"/>
        <color theme="1"/>
        <rFont val="Calibri"/>
      </rPr>
      <t>3</t>
    </r>
    <r>
      <rPr>
        <b/>
        <sz val="7"/>
        <color theme="1"/>
        <rFont val="Calibri"/>
      </rPr>
      <t xml:space="preserve"> CH</t>
    </r>
    <r>
      <rPr>
        <b/>
        <vertAlign val="subscript"/>
        <sz val="7"/>
        <color theme="1"/>
        <rFont val="Calibri"/>
      </rPr>
      <t>4</t>
    </r>
    <r>
      <rPr>
        <b/>
        <sz val="7"/>
        <color theme="1"/>
        <rFont val="Calibri"/>
      </rPr>
      <t>)</t>
    </r>
  </si>
  <si>
    <r>
      <rPr>
        <b/>
        <sz val="11"/>
        <color theme="1"/>
        <rFont val="Calibri"/>
      </rPr>
      <t>Emissions
(MTCH</t>
    </r>
    <r>
      <rPr>
        <b/>
        <vertAlign val="subscript"/>
        <sz val="7"/>
        <color theme="1"/>
        <rFont val="Calibri"/>
      </rPr>
      <t>4</t>
    </r>
    <r>
      <rPr>
        <b/>
        <sz val="7"/>
        <color theme="1"/>
        <rFont val="Calibri"/>
      </rPr>
      <t>)</t>
    </r>
  </si>
  <si>
    <r>
      <rPr>
        <b/>
        <sz val="11"/>
        <color theme="1"/>
        <rFont val="Calibri"/>
      </rPr>
      <t>Emissions
(MTCO</t>
    </r>
    <r>
      <rPr>
        <b/>
        <vertAlign val="subscript"/>
        <sz val="7"/>
        <color theme="1"/>
        <rFont val="Calibri"/>
      </rPr>
      <t>2</t>
    </r>
    <r>
      <rPr>
        <b/>
        <sz val="7"/>
        <color theme="1"/>
        <rFont val="Calibri"/>
      </rPr>
      <t>E)</t>
    </r>
  </si>
  <si>
    <t>Surface Mines</t>
  </si>
  <si>
    <t>Northern Appalachian Basin</t>
  </si>
  <si>
    <t>x</t>
  </si>
  <si>
    <t>Miles of unprotected steel distribution pipeline</t>
  </si>
  <si>
    <t xml:space="preserve">                                           Diesel Fuel Usage</t>
  </si>
  <si>
    <t>NA</t>
  </si>
  <si>
    <t>Miles of protected steel distribution pipeline</t>
  </si>
  <si>
    <t>---</t>
  </si>
  <si>
    <t>Miles of plastic distribution pipeline</t>
  </si>
  <si>
    <t>Percentage of NR Diesel</t>
  </si>
  <si>
    <t>EIA Adjusted Distillate Fuel Oil and Kerosene Sales By End-Use</t>
  </si>
  <si>
    <t>Diesel Tractor</t>
  </si>
  <si>
    <t>Post-Mining Activity</t>
  </si>
  <si>
    <t>Coal Production
('000 short tons)</t>
  </si>
  <si>
    <t>Services</t>
  </si>
  <si>
    <r>
      <rPr>
        <b/>
        <sz val="11"/>
        <color theme="1"/>
        <rFont val="Calibri"/>
      </rPr>
      <t>Basin- &amp; Mine-specific EF
(ft</t>
    </r>
    <r>
      <rPr>
        <b/>
        <vertAlign val="superscript"/>
        <sz val="7"/>
        <color theme="1"/>
        <rFont val="Calibri"/>
      </rPr>
      <t>3</t>
    </r>
    <r>
      <rPr>
        <b/>
        <sz val="7"/>
        <color theme="1"/>
        <rFont val="Calibri"/>
      </rPr>
      <t>/short ton)</t>
    </r>
  </si>
  <si>
    <r>
      <rPr>
        <b/>
        <sz val="11"/>
        <color theme="1"/>
        <rFont val="Calibri"/>
      </rPr>
      <t>Emissions
('000 ft</t>
    </r>
    <r>
      <rPr>
        <b/>
        <vertAlign val="superscript"/>
        <sz val="7"/>
        <color theme="1"/>
        <rFont val="Calibri"/>
      </rPr>
      <t>3</t>
    </r>
    <r>
      <rPr>
        <b/>
        <sz val="7"/>
        <color theme="1"/>
        <rFont val="Calibri"/>
      </rPr>
      <t xml:space="preserve"> CH</t>
    </r>
    <r>
      <rPr>
        <b/>
        <vertAlign val="subscript"/>
        <sz val="7"/>
        <color theme="1"/>
        <rFont val="Calibri"/>
      </rPr>
      <t>4</t>
    </r>
    <r>
      <rPr>
        <b/>
        <sz val="7"/>
        <color theme="1"/>
        <rFont val="Calibri"/>
      </rPr>
      <t>)</t>
    </r>
  </si>
  <si>
    <t>Total number of services</t>
  </si>
  <si>
    <r>
      <rPr>
        <b/>
        <sz val="11"/>
        <color theme="1"/>
        <rFont val="Calibri"/>
      </rPr>
      <t>Emissions
(MTCH</t>
    </r>
    <r>
      <rPr>
        <b/>
        <vertAlign val="subscript"/>
        <sz val="7"/>
        <color theme="1"/>
        <rFont val="Calibri"/>
      </rPr>
      <t>4</t>
    </r>
    <r>
      <rPr>
        <b/>
        <sz val="7"/>
        <color theme="1"/>
        <rFont val="Calibri"/>
      </rPr>
      <t>)</t>
    </r>
  </si>
  <si>
    <r>
      <rPr>
        <b/>
        <sz val="11"/>
        <color theme="1"/>
        <rFont val="Calibri"/>
      </rPr>
      <t>Emissions
(MTCO</t>
    </r>
    <r>
      <rPr>
        <b/>
        <vertAlign val="subscript"/>
        <sz val="7"/>
        <color theme="1"/>
        <rFont val="Calibri"/>
      </rPr>
      <t>2</t>
    </r>
    <r>
      <rPr>
        <b/>
        <sz val="7"/>
        <color theme="1"/>
        <rFont val="Calibri"/>
      </rPr>
      <t>E)</t>
    </r>
  </si>
  <si>
    <r>
      <rPr>
        <sz val="11"/>
        <color rgb="FF000000"/>
        <rFont val="Calibri"/>
      </rPr>
      <t>Industrial Sector CH</t>
    </r>
    <r>
      <rPr>
        <vertAlign val="subscript"/>
        <sz val="14"/>
        <color rgb="FF000000"/>
        <rFont val="Comic Sans MS"/>
      </rPr>
      <t>4</t>
    </r>
  </si>
  <si>
    <t>Number of unprotected steel services</t>
  </si>
  <si>
    <t>Diesel Construction</t>
  </si>
  <si>
    <t>Number of protected steel services</t>
  </si>
  <si>
    <t>Diesel HD Utility</t>
  </si>
  <si>
    <t>(metric tons CH4)</t>
  </si>
  <si>
    <t>MDE Survey</t>
  </si>
  <si>
    <t>Locomotive</t>
  </si>
  <si>
    <t>Diesel Fuel</t>
  </si>
  <si>
    <t>Miles of Distribution pipeline from US Department of Transport, Office of Pipeline Safety, "  Distribution and Transmission Annuals data:1990 -2005" . Acess from http://www.phmsa.dot.gov/portal/</t>
  </si>
  <si>
    <t>Boat (Marine)</t>
  </si>
  <si>
    <t>Distillate Fuel Oil**</t>
  </si>
  <si>
    <r>
      <rPr>
        <sz val="11"/>
        <color theme="1"/>
        <rFont val="Calibri"/>
      </rPr>
      <t>All emission factors from US EP</t>
    </r>
    <r>
      <rPr>
        <sz val="10"/>
        <color theme="1"/>
        <rFont val="Arial"/>
      </rPr>
      <t>A, Emissions Inventory Improvements Program,</t>
    </r>
    <r>
      <rPr>
        <i/>
        <sz val="10"/>
        <color theme="1"/>
        <rFont val="Arial"/>
      </rPr>
      <t xml:space="preserve"> Volume VII: Chapter 5. Methods for Estimating Methane Emissions from Natural Gas and Oil Systems. </t>
    </r>
  </si>
  <si>
    <t>EIA State Energy Data</t>
  </si>
  <si>
    <t>Distillate Fuel  Oil (Total Sold)</t>
  </si>
  <si>
    <t>Post-Mining Total</t>
  </si>
  <si>
    <t>Natural Gas - Transmission</t>
  </si>
  <si>
    <t>Motor Diesel (On-Road)</t>
  </si>
  <si>
    <r>
      <rPr>
        <b/>
        <sz val="11"/>
        <color theme="1"/>
        <rFont val="Calibri"/>
      </rPr>
      <t>Metric Tons CH</t>
    </r>
    <r>
      <rPr>
        <b/>
        <vertAlign val="subscript"/>
        <sz val="8"/>
        <color theme="1"/>
        <rFont val="Comic Sans MS"/>
      </rPr>
      <t>4</t>
    </r>
  </si>
  <si>
    <t>Calculated</t>
  </si>
  <si>
    <r>
      <rPr>
        <b/>
        <sz val="11"/>
        <color theme="1"/>
        <rFont val="Calibri"/>
      </rPr>
      <t>MMTCO</t>
    </r>
    <r>
      <rPr>
        <b/>
        <vertAlign val="subscript"/>
        <sz val="8"/>
        <color theme="1"/>
        <rFont val="Comic Sans MS"/>
      </rPr>
      <t>2</t>
    </r>
    <r>
      <rPr>
        <b/>
        <sz val="8"/>
        <color theme="1"/>
        <rFont val="Comic Sans MS"/>
      </rPr>
      <t>E</t>
    </r>
  </si>
  <si>
    <t>Motor Diesel (Non-Road)</t>
  </si>
  <si>
    <t>Total Coal Mining</t>
  </si>
  <si>
    <r>
      <rPr>
        <sz val="11"/>
        <color theme="1"/>
        <rFont val="Calibri"/>
      </rPr>
      <t>metric tons CH</t>
    </r>
    <r>
      <rPr>
        <vertAlign val="subscript"/>
        <sz val="8"/>
        <color theme="1"/>
        <rFont val="Comic Sans MS"/>
      </rPr>
      <t>4</t>
    </r>
    <r>
      <rPr>
        <sz val="8"/>
        <color theme="1"/>
        <rFont val="Comic Sans MS"/>
      </rPr>
      <t xml:space="preserve"> per year per activity unit</t>
    </r>
  </si>
  <si>
    <r>
      <rPr>
        <b/>
        <sz val="11"/>
        <color theme="1"/>
        <rFont val="Calibri"/>
      </rPr>
      <t>(MTCO</t>
    </r>
    <r>
      <rPr>
        <b/>
        <vertAlign val="subscript"/>
        <sz val="7"/>
        <color theme="1"/>
        <rFont val="Calibri"/>
      </rPr>
      <t>2</t>
    </r>
    <r>
      <rPr>
        <b/>
        <sz val="7"/>
        <color theme="1"/>
        <rFont val="Calibri"/>
      </rPr>
      <t>E)</t>
    </r>
  </si>
  <si>
    <t>Miles of transmission pipeline</t>
  </si>
  <si>
    <t>Number of gas transmission compressor stations</t>
  </si>
  <si>
    <t>Diesel (gallons)</t>
  </si>
  <si>
    <t>Number of gas storage compressor stations</t>
  </si>
  <si>
    <t>Maryland Abandoned Coal Mines Emissions Summary</t>
  </si>
  <si>
    <t>Default MD Abandoned Mine Emissions
Gg/Year</t>
  </si>
  <si>
    <t xml:space="preserve">Number of LNG storage compressor stations from EIA, US LNG Markets and Uses, http://www.eia.doe.gov/pub/oil_gas/natural_gas/feature_articles/2003/lng/lng2003.pdf </t>
  </si>
  <si>
    <t>Residual Fuel Oil**</t>
  </si>
  <si>
    <t xml:space="preserve">Mine Status
Percent </t>
  </si>
  <si>
    <t>Miles of transmission pipeline from US Department of Transport, Office of Pipeline Safety, "  Distribution and Transmission Annuals data:1990 -2005" . Acess from http://www.phmsa.dot.gov/portal/</t>
  </si>
  <si>
    <t>Emissions
(MTCE)</t>
  </si>
  <si>
    <r>
      <rPr>
        <b/>
        <sz val="11"/>
        <color theme="1"/>
        <rFont val="Calibri"/>
      </rPr>
      <t>Emissions
(MTCH</t>
    </r>
    <r>
      <rPr>
        <b/>
        <vertAlign val="subscript"/>
        <sz val="7"/>
        <color theme="1"/>
        <rFont val="Calibri"/>
      </rPr>
      <t>4</t>
    </r>
    <r>
      <rPr>
        <b/>
        <sz val="7"/>
        <color theme="1"/>
        <rFont val="Calibri"/>
      </rPr>
      <t>)</t>
    </r>
  </si>
  <si>
    <t>Number of gas transmission compressor stations = miles of transmission pipeline x 0.006 -EIIP, Volume VII: Chapter 5,March 2005</t>
  </si>
  <si>
    <r>
      <rPr>
        <b/>
        <sz val="11"/>
        <color theme="1"/>
        <rFont val="Calibri"/>
      </rPr>
      <t>Emissions
(MTCO</t>
    </r>
    <r>
      <rPr>
        <b/>
        <vertAlign val="subscript"/>
        <sz val="7"/>
        <color theme="1"/>
        <rFont val="Calibri"/>
      </rPr>
      <t>2</t>
    </r>
    <r>
      <rPr>
        <b/>
        <sz val="7"/>
        <color theme="1"/>
        <rFont val="Calibri"/>
      </rPr>
      <t>E)</t>
    </r>
  </si>
  <si>
    <t>Number of gas storage compressor station  = miles of transmission pipeline x 0.0015 -EIIP, Volume VII: Chapter 5,March 2005</t>
  </si>
  <si>
    <t>Vented</t>
  </si>
  <si>
    <r>
      <rPr>
        <sz val="11"/>
        <color theme="1"/>
        <rFont val="Calibri"/>
      </rPr>
      <t>All emission factors from US EP</t>
    </r>
    <r>
      <rPr>
        <sz val="10"/>
        <color theme="1"/>
        <rFont val="Arial"/>
      </rPr>
      <t>A, Emissions Inventory Improvements Program,</t>
    </r>
    <r>
      <rPr>
        <i/>
        <sz val="10"/>
        <color theme="1"/>
        <rFont val="Arial"/>
      </rPr>
      <t xml:space="preserve"> Volume VII: Chapter 5. Methods for Estimating Methane Emissions from Natural Gas and Oil Systems. </t>
    </r>
  </si>
  <si>
    <t>Residual Fuel (gallons)</t>
  </si>
  <si>
    <t>CONSTANTS</t>
  </si>
  <si>
    <t>Sealed</t>
  </si>
  <si>
    <t>Natural Gas - Consumption as Pipeline Fuel</t>
  </si>
  <si>
    <t>Btu/Gallon</t>
  </si>
  <si>
    <t>Flooded</t>
  </si>
  <si>
    <t xml:space="preserve">                         Emission Factors:</t>
  </si>
  <si>
    <t>Industrial Sector GHG</t>
  </si>
  <si>
    <t xml:space="preserve"> Combustion</t>
  </si>
  <si>
    <r>
      <rPr>
        <b/>
        <sz val="11"/>
        <color theme="1"/>
        <rFont val="Calibri"/>
      </rPr>
      <t>CO</t>
    </r>
    <r>
      <rPr>
        <b/>
        <vertAlign val="subscript"/>
        <sz val="10"/>
        <color theme="1"/>
        <rFont val="Arial"/>
      </rPr>
      <t>2</t>
    </r>
    <r>
      <rPr>
        <b/>
        <sz val="10"/>
        <color theme="1"/>
        <rFont val="Arial"/>
      </rPr>
      <t xml:space="preserve"> Emissions</t>
    </r>
  </si>
  <si>
    <r>
      <rPr>
        <b/>
        <sz val="11"/>
        <color theme="1"/>
        <rFont val="Calibri"/>
      </rPr>
      <t>N</t>
    </r>
    <r>
      <rPr>
        <b/>
        <vertAlign val="subscript"/>
        <sz val="10"/>
        <color theme="1"/>
        <rFont val="Arial"/>
      </rPr>
      <t>2</t>
    </r>
    <r>
      <rPr>
        <b/>
        <sz val="10"/>
        <color theme="1"/>
        <rFont val="Arial"/>
      </rPr>
      <t>O Emissions</t>
    </r>
  </si>
  <si>
    <r>
      <rPr>
        <b/>
        <sz val="11"/>
        <color rgb="FF000000"/>
        <rFont val="Calibri"/>
      </rPr>
      <t>CO</t>
    </r>
    <r>
      <rPr>
        <b/>
        <vertAlign val="subscript"/>
        <sz val="8"/>
        <color rgb="FF000000"/>
        <rFont val="Arial"/>
      </rPr>
      <t>2</t>
    </r>
  </si>
  <si>
    <r>
      <rPr>
        <b/>
        <sz val="11"/>
        <color theme="1"/>
        <rFont val="Calibri"/>
      </rPr>
      <t>CH</t>
    </r>
    <r>
      <rPr>
        <b/>
        <vertAlign val="subscript"/>
        <sz val="10"/>
        <color theme="1"/>
        <rFont val="Arial"/>
      </rPr>
      <t>4</t>
    </r>
    <r>
      <rPr>
        <b/>
        <sz val="10"/>
        <color theme="1"/>
        <rFont val="Arial"/>
      </rPr>
      <t xml:space="preserve"> Emissions</t>
    </r>
  </si>
  <si>
    <r>
      <rPr>
        <b/>
        <sz val="11"/>
        <color rgb="FF000000"/>
        <rFont val="Calibri"/>
      </rPr>
      <t>CH</t>
    </r>
    <r>
      <rPr>
        <b/>
        <vertAlign val="subscript"/>
        <sz val="8"/>
        <color rgb="FF000000"/>
        <rFont val="Arial"/>
      </rPr>
      <t>4</t>
    </r>
  </si>
  <si>
    <t>GHG Emissions</t>
  </si>
  <si>
    <r>
      <rPr>
        <b/>
        <sz val="11"/>
        <color rgb="FF000000"/>
        <rFont val="Calibri"/>
      </rPr>
      <t>N</t>
    </r>
    <r>
      <rPr>
        <b/>
        <vertAlign val="subscript"/>
        <sz val="8"/>
        <color rgb="FF000000"/>
        <rFont val="Arial"/>
      </rPr>
      <t>2</t>
    </r>
    <r>
      <rPr>
        <b/>
        <sz val="8"/>
        <color rgb="FF000000"/>
        <rFont val="Arial"/>
      </rPr>
      <t>O</t>
    </r>
  </si>
  <si>
    <t>NG Consumption</t>
  </si>
  <si>
    <t>(Billion Btus)</t>
  </si>
  <si>
    <t>Carbon</t>
  </si>
  <si>
    <r>
      <rPr>
        <b/>
        <sz val="11"/>
        <color theme="1"/>
        <rFont val="Calibri"/>
      </rPr>
      <t>N</t>
    </r>
    <r>
      <rPr>
        <b/>
        <vertAlign val="subscript"/>
        <sz val="10"/>
        <color theme="1"/>
        <rFont val="Arial"/>
      </rPr>
      <t>2</t>
    </r>
    <r>
      <rPr>
        <b/>
        <sz val="10"/>
        <color theme="1"/>
        <rFont val="Arial"/>
      </rPr>
      <t>O</t>
    </r>
  </si>
  <si>
    <t>Maryland Coal Mines Emissions Summary</t>
  </si>
  <si>
    <r>
      <rPr>
        <b/>
        <sz val="11"/>
        <color theme="1"/>
        <rFont val="Calibri"/>
      </rPr>
      <t>CH</t>
    </r>
    <r>
      <rPr>
        <b/>
        <vertAlign val="subscript"/>
        <sz val="10"/>
        <color theme="1"/>
        <rFont val="Arial"/>
      </rPr>
      <t>4</t>
    </r>
  </si>
  <si>
    <r>
      <rPr>
        <sz val="11"/>
        <color theme="1"/>
        <rFont val="Calibri"/>
      </rPr>
      <t>Emissions Data (MMTCO</t>
    </r>
    <r>
      <rPr>
        <vertAlign val="subscript"/>
        <sz val="14"/>
        <color theme="1"/>
        <rFont val="Comic Sans MS"/>
      </rPr>
      <t>2</t>
    </r>
    <r>
      <rPr>
        <sz val="14"/>
        <color theme="1"/>
        <rFont val="Comic Sans MS"/>
      </rPr>
      <t>e)</t>
    </r>
  </si>
  <si>
    <r>
      <rPr>
        <b/>
        <sz val="11"/>
        <color theme="1"/>
        <rFont val="Calibri"/>
      </rPr>
      <t>(MMTCO</t>
    </r>
    <r>
      <rPr>
        <b/>
        <vertAlign val="subscript"/>
        <sz val="10"/>
        <color theme="1"/>
        <rFont val="Arial"/>
      </rPr>
      <t>2</t>
    </r>
    <r>
      <rPr>
        <b/>
        <sz val="10"/>
        <color theme="1"/>
        <rFont val="Arial"/>
      </rPr>
      <t>E)</t>
    </r>
  </si>
  <si>
    <r>
      <rPr>
        <b/>
        <sz val="11"/>
        <color theme="1"/>
        <rFont val="Calibri"/>
      </rPr>
      <t>(MMTCO</t>
    </r>
    <r>
      <rPr>
        <b/>
        <vertAlign val="subscript"/>
        <sz val="10"/>
        <color theme="1"/>
        <rFont val="Arial"/>
      </rPr>
      <t>2</t>
    </r>
    <r>
      <rPr>
        <b/>
        <sz val="10"/>
        <color theme="1"/>
        <rFont val="Arial"/>
      </rPr>
      <t>E)</t>
    </r>
  </si>
  <si>
    <r>
      <rPr>
        <b/>
        <sz val="11"/>
        <color theme="1"/>
        <rFont val="Calibri"/>
      </rPr>
      <t>Emissions (MMTCO</t>
    </r>
    <r>
      <rPr>
        <b/>
        <vertAlign val="subscript"/>
        <sz val="8"/>
        <color theme="1"/>
        <rFont val="Calibri"/>
      </rPr>
      <t>2</t>
    </r>
    <r>
      <rPr>
        <b/>
        <sz val="8"/>
        <color theme="1"/>
        <rFont val="Calibri"/>
      </rPr>
      <t>E)</t>
    </r>
  </si>
  <si>
    <r>
      <rPr>
        <b/>
        <sz val="11"/>
        <color theme="1"/>
        <rFont val="Calibri"/>
      </rPr>
      <t>(MMTCO</t>
    </r>
    <r>
      <rPr>
        <b/>
        <vertAlign val="subscript"/>
        <sz val="10"/>
        <color theme="1"/>
        <rFont val="Arial"/>
      </rPr>
      <t>2</t>
    </r>
    <r>
      <rPr>
        <b/>
        <sz val="10"/>
        <color theme="1"/>
        <rFont val="Arial"/>
      </rPr>
      <t>E)</t>
    </r>
  </si>
  <si>
    <r>
      <rPr>
        <b/>
        <sz val="11"/>
        <color theme="1"/>
        <rFont val="Calibri"/>
      </rPr>
      <t>(MMTCO</t>
    </r>
    <r>
      <rPr>
        <b/>
        <vertAlign val="subscript"/>
        <sz val="7"/>
        <color theme="1"/>
        <rFont val="Comic Sans MS"/>
      </rPr>
      <t>2</t>
    </r>
    <r>
      <rPr>
        <b/>
        <sz val="7"/>
        <color theme="1"/>
        <rFont val="Comic Sans MS"/>
      </rPr>
      <t>E)</t>
    </r>
  </si>
  <si>
    <r>
      <rPr>
        <b/>
        <sz val="11"/>
        <color theme="1"/>
        <rFont val="Calibri"/>
      </rPr>
      <t>(MMTCO</t>
    </r>
    <r>
      <rPr>
        <b/>
        <vertAlign val="subscript"/>
        <sz val="7"/>
        <color theme="1"/>
        <rFont val="Comic Sans MS"/>
      </rPr>
      <t>2</t>
    </r>
    <r>
      <rPr>
        <b/>
        <sz val="7"/>
        <color theme="1"/>
        <rFont val="Comic Sans MS"/>
      </rPr>
      <t>E)</t>
    </r>
  </si>
  <si>
    <t>(lbs/MMBtu)</t>
  </si>
  <si>
    <r>
      <rPr>
        <b/>
        <sz val="11"/>
        <color theme="1"/>
        <rFont val="Calibri"/>
      </rPr>
      <t>(MMTCO</t>
    </r>
    <r>
      <rPr>
        <b/>
        <vertAlign val="subscript"/>
        <sz val="7"/>
        <color theme="1"/>
        <rFont val="Comic Sans MS"/>
      </rPr>
      <t>2</t>
    </r>
    <r>
      <rPr>
        <b/>
        <sz val="7"/>
        <color theme="1"/>
        <rFont val="Comic Sans MS"/>
      </rPr>
      <t>E)</t>
    </r>
  </si>
  <si>
    <t>(Mt/BBtu)</t>
  </si>
  <si>
    <r>
      <rPr>
        <b/>
        <sz val="11"/>
        <color theme="1"/>
        <rFont val="Calibri"/>
      </rPr>
      <t>(MMTCO</t>
    </r>
    <r>
      <rPr>
        <b/>
        <vertAlign val="subscript"/>
        <sz val="7"/>
        <color theme="1"/>
        <rFont val="Comic Sans MS"/>
      </rPr>
      <t>2</t>
    </r>
    <r>
      <rPr>
        <b/>
        <sz val="7"/>
        <color theme="1"/>
        <rFont val="Comic Sans MS"/>
      </rPr>
      <t>E)</t>
    </r>
  </si>
  <si>
    <t>Transportation Sector Emissions: Non-Road Mobile Sources  2011</t>
  </si>
  <si>
    <t>NGPZB (Billion Btus)</t>
  </si>
  <si>
    <t>Abandoned Coal Mines</t>
  </si>
  <si>
    <r>
      <rPr>
        <b/>
        <sz val="11"/>
        <color rgb="FF000000"/>
        <rFont val="Calibri"/>
      </rPr>
      <t>CO</t>
    </r>
    <r>
      <rPr>
        <b/>
        <vertAlign val="subscript"/>
        <sz val="8"/>
        <color rgb="FF000000"/>
        <rFont val="Arial"/>
      </rPr>
      <t>2</t>
    </r>
    <r>
      <rPr>
        <b/>
        <sz val="8"/>
        <color rgb="FF000000"/>
        <rFont val="Arial"/>
      </rPr>
      <t xml:space="preserve"> Emissions</t>
    </r>
  </si>
  <si>
    <r>
      <rPr>
        <b/>
        <sz val="11"/>
        <color rgb="FF000000"/>
        <rFont val="Calibri"/>
      </rPr>
      <t>N</t>
    </r>
    <r>
      <rPr>
        <b/>
        <vertAlign val="subscript"/>
        <sz val="8"/>
        <color rgb="FF000000"/>
        <rFont val="Arial"/>
      </rPr>
      <t>2</t>
    </r>
    <r>
      <rPr>
        <b/>
        <sz val="8"/>
        <color rgb="FF000000"/>
        <rFont val="Arial"/>
      </rPr>
      <t>O Emissions</t>
    </r>
  </si>
  <si>
    <r>
      <rPr>
        <b/>
        <sz val="11"/>
        <color rgb="FF000000"/>
        <rFont val="Calibri"/>
      </rPr>
      <t>CH</t>
    </r>
    <r>
      <rPr>
        <b/>
        <vertAlign val="subscript"/>
        <sz val="8"/>
        <color rgb="FF000000"/>
        <rFont val="Arial"/>
      </rPr>
      <t>4</t>
    </r>
    <r>
      <rPr>
        <b/>
        <sz val="8"/>
        <color rgb="FF000000"/>
        <rFont val="Arial"/>
      </rPr>
      <t xml:space="preserve"> Emissions</t>
    </r>
  </si>
  <si>
    <r>
      <rPr>
        <b/>
        <sz val="11"/>
        <color theme="1"/>
        <rFont val="Calibri"/>
      </rPr>
      <t>CH</t>
    </r>
    <r>
      <rPr>
        <b/>
        <vertAlign val="subscript"/>
        <sz val="8"/>
        <color theme="1"/>
        <rFont val="Arial"/>
      </rPr>
      <t>4</t>
    </r>
    <r>
      <rPr>
        <b/>
        <sz val="8"/>
        <color theme="1"/>
        <rFont val="Arial"/>
      </rPr>
      <t xml:space="preserve"> &amp;</t>
    </r>
  </si>
  <si>
    <t>NGPZB (Million Btus)</t>
  </si>
  <si>
    <r>
      <rPr>
        <b/>
        <sz val="11"/>
        <color theme="1"/>
        <rFont val="Calibri"/>
      </rPr>
      <t>N</t>
    </r>
    <r>
      <rPr>
        <b/>
        <vertAlign val="subscript"/>
        <sz val="8"/>
        <color theme="1"/>
        <rFont val="Arial"/>
      </rPr>
      <t>2</t>
    </r>
    <r>
      <rPr>
        <b/>
        <sz val="8"/>
        <color theme="1"/>
        <rFont val="Arial"/>
      </rPr>
      <t>O</t>
    </r>
  </si>
  <si>
    <t>(gallon)</t>
  </si>
  <si>
    <r>
      <rPr>
        <b/>
        <sz val="11"/>
        <color theme="1"/>
        <rFont val="Calibri"/>
      </rPr>
      <t>Emissions (MTCO</t>
    </r>
    <r>
      <rPr>
        <b/>
        <vertAlign val="subscript"/>
        <sz val="8"/>
        <color theme="1"/>
        <rFont val="Calibri"/>
      </rPr>
      <t>2</t>
    </r>
    <r>
      <rPr>
        <b/>
        <sz val="8"/>
        <color theme="1"/>
        <rFont val="Calibri"/>
      </rPr>
      <t>E)</t>
    </r>
  </si>
  <si>
    <t>(MMTCE)</t>
  </si>
  <si>
    <r>
      <rPr>
        <b/>
        <sz val="11"/>
        <color theme="1"/>
        <rFont val="Calibri"/>
      </rPr>
      <t>(MMTCO</t>
    </r>
    <r>
      <rPr>
        <b/>
        <vertAlign val="subscript"/>
        <sz val="10"/>
        <color theme="1"/>
        <rFont val="Calibri"/>
      </rPr>
      <t>2</t>
    </r>
    <r>
      <rPr>
        <b/>
        <sz val="10"/>
        <color theme="1"/>
        <rFont val="Calibri"/>
      </rPr>
      <t>E)</t>
    </r>
  </si>
  <si>
    <t>Energy Content
(kg/Mbtu)</t>
  </si>
  <si>
    <t xml:space="preserve">Natural Gas as Pipeline Fuel Activity Data (Billion Btu)  was obtained from: http://www.eia.doe.gov/states/sep_fuel/html/csv/fuel_adjust_consum.csv </t>
  </si>
  <si>
    <t>Density
(kg/gallon)</t>
  </si>
  <si>
    <r>
      <rPr>
        <b/>
        <sz val="11"/>
        <color theme="1"/>
        <rFont val="Calibri"/>
      </rPr>
      <t>N</t>
    </r>
    <r>
      <rPr>
        <b/>
        <vertAlign val="subscript"/>
        <sz val="8"/>
        <color theme="1"/>
        <rFont val="Arial"/>
      </rPr>
      <t>2</t>
    </r>
    <r>
      <rPr>
        <b/>
        <sz val="8"/>
        <color theme="1"/>
        <rFont val="Arial"/>
      </rPr>
      <t>O EF
(g/kg fuel)</t>
    </r>
  </si>
  <si>
    <r>
      <rPr>
        <b/>
        <sz val="11"/>
        <color theme="1"/>
        <rFont val="Calibri"/>
      </rPr>
      <t>N</t>
    </r>
    <r>
      <rPr>
        <b/>
        <vertAlign val="subscript"/>
        <sz val="8"/>
        <color theme="1"/>
        <rFont val="Arial"/>
      </rPr>
      <t>2</t>
    </r>
    <r>
      <rPr>
        <b/>
        <sz val="8"/>
        <color theme="1"/>
        <rFont val="Arial"/>
      </rPr>
      <t>O EM
(Gigagrams)</t>
    </r>
  </si>
  <si>
    <r>
      <rPr>
        <b/>
        <sz val="11"/>
        <color theme="1"/>
        <rFont val="Calibri"/>
      </rPr>
      <t>N</t>
    </r>
    <r>
      <rPr>
        <b/>
        <vertAlign val="subscript"/>
        <sz val="8"/>
        <color theme="1"/>
        <rFont val="Arial"/>
      </rPr>
      <t>2</t>
    </r>
    <r>
      <rPr>
        <b/>
        <sz val="8"/>
        <color theme="1"/>
        <rFont val="Arial"/>
      </rPr>
      <t>O
(MTCE)</t>
    </r>
  </si>
  <si>
    <r>
      <rPr>
        <b/>
        <sz val="11"/>
        <color theme="1"/>
        <rFont val="Calibri"/>
      </rPr>
      <t>N</t>
    </r>
    <r>
      <rPr>
        <b/>
        <vertAlign val="subscript"/>
        <sz val="8"/>
        <color theme="1"/>
        <rFont val="Arial"/>
      </rPr>
      <t>2</t>
    </r>
    <r>
      <rPr>
        <b/>
        <sz val="8"/>
        <color theme="1"/>
        <rFont val="Arial"/>
      </rPr>
      <t>O
(MTCO</t>
    </r>
    <r>
      <rPr>
        <b/>
        <vertAlign val="subscript"/>
        <sz val="8"/>
        <color theme="1"/>
        <rFont val="Arial"/>
      </rPr>
      <t>2</t>
    </r>
    <r>
      <rPr>
        <b/>
        <sz val="8"/>
        <color theme="1"/>
        <rFont val="Arial"/>
      </rPr>
      <t>E)</t>
    </r>
  </si>
  <si>
    <t>Number of Gas Producing Wells : http://www.eia.gov/dnav/ng/hist/na1170_smd_8a.htm.</t>
  </si>
  <si>
    <r>
      <rPr>
        <b/>
        <sz val="11"/>
        <color theme="1"/>
        <rFont val="Calibri"/>
      </rPr>
      <t>CH</t>
    </r>
    <r>
      <rPr>
        <b/>
        <vertAlign val="subscript"/>
        <sz val="8"/>
        <color theme="1"/>
        <rFont val="Arial"/>
      </rPr>
      <t>4</t>
    </r>
    <r>
      <rPr>
        <b/>
        <sz val="8"/>
        <color theme="1"/>
        <rFont val="Arial"/>
      </rPr>
      <t xml:space="preserve"> EF
(g/kg fuel)</t>
    </r>
  </si>
  <si>
    <r>
      <rPr>
        <b/>
        <sz val="11"/>
        <color theme="1"/>
        <rFont val="Calibri"/>
      </rPr>
      <t>CH</t>
    </r>
    <r>
      <rPr>
        <b/>
        <vertAlign val="subscript"/>
        <sz val="8"/>
        <color theme="1"/>
        <rFont val="Arial"/>
      </rPr>
      <t>4</t>
    </r>
    <r>
      <rPr>
        <b/>
        <sz val="8"/>
        <color theme="1"/>
        <rFont val="Arial"/>
      </rPr>
      <t xml:space="preserve"> EM
(Gigagrams)</t>
    </r>
  </si>
  <si>
    <r>
      <rPr>
        <b/>
        <sz val="11"/>
        <color theme="1"/>
        <rFont val="Calibri"/>
      </rPr>
      <t>CH</t>
    </r>
    <r>
      <rPr>
        <b/>
        <vertAlign val="subscript"/>
        <sz val="8"/>
        <color theme="1"/>
        <rFont val="Arial"/>
      </rPr>
      <t xml:space="preserve">4
</t>
    </r>
    <r>
      <rPr>
        <b/>
        <sz val="8"/>
        <color theme="1"/>
        <rFont val="Arial"/>
      </rPr>
      <t>MTCE</t>
    </r>
  </si>
  <si>
    <r>
      <rPr>
        <b/>
        <sz val="11"/>
        <color theme="1"/>
        <rFont val="Calibri"/>
      </rPr>
      <t>CH</t>
    </r>
    <r>
      <rPr>
        <b/>
        <vertAlign val="subscript"/>
        <sz val="8"/>
        <color theme="1"/>
        <rFont val="Arial"/>
      </rPr>
      <t xml:space="preserve">4
</t>
    </r>
    <r>
      <rPr>
        <b/>
        <sz val="8"/>
        <color theme="1"/>
        <rFont val="Arial"/>
      </rPr>
      <t>MTCO</t>
    </r>
    <r>
      <rPr>
        <b/>
        <vertAlign val="subscript"/>
        <sz val="8"/>
        <color theme="1"/>
        <rFont val="Arial"/>
      </rPr>
      <t>2</t>
    </r>
    <r>
      <rPr>
        <b/>
        <sz val="8"/>
        <color theme="1"/>
        <rFont val="Arial"/>
      </rPr>
      <t>E</t>
    </r>
  </si>
  <si>
    <r>
      <rPr>
        <b/>
        <sz val="11"/>
        <color theme="1"/>
        <rFont val="Calibri"/>
      </rPr>
      <t>TOTAL
MTCO</t>
    </r>
    <r>
      <rPr>
        <b/>
        <vertAlign val="subscript"/>
        <sz val="8"/>
        <color theme="1"/>
        <rFont val="Arial"/>
      </rPr>
      <t>2</t>
    </r>
    <r>
      <rPr>
        <b/>
        <sz val="8"/>
        <color theme="1"/>
        <rFont val="Arial"/>
      </rPr>
      <t>E</t>
    </r>
  </si>
  <si>
    <t>Aviation Gasoline</t>
  </si>
  <si>
    <r>
      <rPr>
        <b/>
        <sz val="11"/>
        <color theme="1"/>
        <rFont val="Calibri"/>
      </rPr>
      <t>Emissions by Gas (MMTCO</t>
    </r>
    <r>
      <rPr>
        <b/>
        <vertAlign val="subscript"/>
        <sz val="8"/>
        <color theme="1"/>
        <rFont val="Comic Sans MS"/>
      </rPr>
      <t>2</t>
    </r>
    <r>
      <rPr>
        <b/>
        <sz val="8"/>
        <color theme="1"/>
        <rFont val="Comic Sans MS"/>
      </rPr>
      <t>e)</t>
    </r>
  </si>
  <si>
    <t>Emissions (MTCE)</t>
  </si>
  <si>
    <t>Production</t>
  </si>
  <si>
    <t>Transmission</t>
  </si>
  <si>
    <t>Distribution</t>
  </si>
  <si>
    <t>Pipeline Fuel</t>
  </si>
  <si>
    <r>
      <rPr>
        <b/>
        <sz val="11"/>
        <color theme="1"/>
        <rFont val="Calibri"/>
      </rPr>
      <t>Emissions by Gas (MTCH</t>
    </r>
    <r>
      <rPr>
        <b/>
        <vertAlign val="subscript"/>
        <sz val="8"/>
        <color theme="1"/>
        <rFont val="Calibri"/>
      </rPr>
      <t>4</t>
    </r>
    <r>
      <rPr>
        <b/>
        <sz val="8"/>
        <color theme="1"/>
        <rFont val="Calibri"/>
      </rPr>
      <t>)</t>
    </r>
  </si>
  <si>
    <t>Distillate Fuel - Farm</t>
  </si>
  <si>
    <t>Energy Information Administration, U.S. Department of Energy, Annual Coal Report, Table 1.</t>
  </si>
  <si>
    <t>Table 1: Coal Production and Number of Mines by State and Mine Type, 2010</t>
  </si>
  <si>
    <t>Distillate Fuel - Construction</t>
  </si>
  <si>
    <t>http://www.eia.gov/coal/annual/pdf/table1.pdf</t>
  </si>
  <si>
    <t>Office of Surface Mining Reclamation and Enforcement - Annual Evaluation Report.</t>
  </si>
  <si>
    <t>Distillate Fuel - Ind HD Diesel</t>
  </si>
  <si>
    <t>Table 1: Coal Produced for sale, Transfer, Or Use</t>
  </si>
  <si>
    <t>http://odocs.osmre.gov/qdocs.aspx</t>
  </si>
  <si>
    <t>Distillate Fuel - Locomotive</t>
  </si>
  <si>
    <t>Distillate Fuel - Marine</t>
  </si>
  <si>
    <t>Jet Fuel, Kerosene</t>
  </si>
  <si>
    <t>Jet Fuel, Naphtha</t>
  </si>
  <si>
    <t>Motor Gasoline - Farm</t>
  </si>
  <si>
    <t>Motor Gasoline - Construction</t>
  </si>
  <si>
    <t>Motor Gasoline - Ind HD Utility</t>
  </si>
  <si>
    <t>Motor Gasoline - Ind Small Utility</t>
  </si>
  <si>
    <t>Motor Gasoline - Marine</t>
  </si>
  <si>
    <r>
      <rPr>
        <b/>
        <sz val="11"/>
        <color theme="1"/>
        <rFont val="Calibri"/>
      </rPr>
      <t>(MMTCO</t>
    </r>
    <r>
      <rPr>
        <b/>
        <vertAlign val="subscript"/>
        <sz val="10"/>
        <color theme="1"/>
        <rFont val="Calibri"/>
      </rPr>
      <t>2</t>
    </r>
    <r>
      <rPr>
        <b/>
        <sz val="10"/>
        <color theme="1"/>
        <rFont val="Calibri"/>
      </rPr>
      <t>E)</t>
    </r>
  </si>
  <si>
    <t>- (</t>
  </si>
  <si>
    <t>) =</t>
  </si>
  <si>
    <t>International Bunker Fuels</t>
  </si>
  <si>
    <r>
      <rPr>
        <b/>
        <sz val="11"/>
        <color theme="1"/>
        <rFont val="Calibri"/>
      </rPr>
      <t>(MMTCO</t>
    </r>
    <r>
      <rPr>
        <b/>
        <vertAlign val="subscript"/>
        <sz val="10"/>
        <color theme="1"/>
        <rFont val="Calibri"/>
      </rPr>
      <t>2</t>
    </r>
    <r>
      <rPr>
        <b/>
        <sz val="10"/>
        <color theme="1"/>
        <rFont val="Calibri"/>
      </rPr>
      <t>E)</t>
    </r>
  </si>
  <si>
    <r>
      <rPr>
        <sz val="11"/>
        <color theme="1"/>
        <rFont val="Calibri"/>
      </rPr>
      <t>Emissions Data (MMTCO</t>
    </r>
    <r>
      <rPr>
        <vertAlign val="subscript"/>
        <sz val="14"/>
        <color theme="1"/>
        <rFont val="Comic Sans MS"/>
      </rPr>
      <t>2</t>
    </r>
    <r>
      <rPr>
        <sz val="14"/>
        <color theme="1"/>
        <rFont val="Comic Sans MS"/>
      </rPr>
      <t>e)</t>
    </r>
  </si>
  <si>
    <t>Transportation Sector: On-Road Mobile Sources  2011</t>
  </si>
  <si>
    <r>
      <rPr>
        <b/>
        <sz val="11"/>
        <color rgb="FF000000"/>
        <rFont val="Calibri"/>
      </rPr>
      <t>CO</t>
    </r>
    <r>
      <rPr>
        <b/>
        <vertAlign val="subscript"/>
        <sz val="8"/>
        <color rgb="FF000000"/>
        <rFont val="Arial"/>
      </rPr>
      <t>2</t>
    </r>
    <r>
      <rPr>
        <b/>
        <sz val="8"/>
        <color rgb="FF000000"/>
        <rFont val="Arial"/>
      </rPr>
      <t xml:space="preserve"> Emissions</t>
    </r>
  </si>
  <si>
    <r>
      <rPr>
        <b/>
        <sz val="11"/>
        <color rgb="FF000000"/>
        <rFont val="Calibri"/>
      </rPr>
      <t>N</t>
    </r>
    <r>
      <rPr>
        <b/>
        <vertAlign val="subscript"/>
        <sz val="8"/>
        <color rgb="FF000000"/>
        <rFont val="Arial"/>
      </rPr>
      <t>2</t>
    </r>
    <r>
      <rPr>
        <b/>
        <sz val="8"/>
        <color rgb="FF000000"/>
        <rFont val="Arial"/>
      </rPr>
      <t>O Emissions</t>
    </r>
  </si>
  <si>
    <r>
      <rPr>
        <b/>
        <sz val="11"/>
        <color rgb="FF000000"/>
        <rFont val="Calibri"/>
      </rPr>
      <t>CH</t>
    </r>
    <r>
      <rPr>
        <b/>
        <vertAlign val="subscript"/>
        <sz val="8"/>
        <color rgb="FF000000"/>
        <rFont val="Arial"/>
      </rPr>
      <t>4</t>
    </r>
    <r>
      <rPr>
        <b/>
        <sz val="8"/>
        <color rgb="FF000000"/>
        <rFont val="Arial"/>
      </rPr>
      <t xml:space="preserve"> Emissions</t>
    </r>
  </si>
  <si>
    <r>
      <rPr>
        <b/>
        <sz val="11"/>
        <color theme="1"/>
        <rFont val="Calibri"/>
      </rPr>
      <t>CH</t>
    </r>
    <r>
      <rPr>
        <b/>
        <vertAlign val="subscript"/>
        <sz val="8"/>
        <color theme="1"/>
        <rFont val="Arial"/>
      </rPr>
      <t>4</t>
    </r>
    <r>
      <rPr>
        <b/>
        <sz val="8"/>
        <color theme="1"/>
        <rFont val="Arial"/>
      </rPr>
      <t xml:space="preserve"> &amp;</t>
    </r>
  </si>
  <si>
    <r>
      <rPr>
        <b/>
        <sz val="11"/>
        <color theme="1"/>
        <rFont val="Calibri"/>
      </rPr>
      <t>N</t>
    </r>
    <r>
      <rPr>
        <b/>
        <vertAlign val="subscript"/>
        <sz val="8"/>
        <color theme="1"/>
        <rFont val="Arial"/>
      </rPr>
      <t>2</t>
    </r>
    <r>
      <rPr>
        <b/>
        <sz val="8"/>
        <color theme="1"/>
        <rFont val="Arial"/>
      </rPr>
      <t>O</t>
    </r>
  </si>
  <si>
    <r>
      <rPr>
        <b/>
        <sz val="11"/>
        <color theme="1"/>
        <rFont val="Calibri"/>
      </rPr>
      <t>(MMTCO</t>
    </r>
    <r>
      <rPr>
        <b/>
        <vertAlign val="subscript"/>
        <sz val="10"/>
        <color theme="1"/>
        <rFont val="Calibri"/>
      </rPr>
      <t>2</t>
    </r>
    <r>
      <rPr>
        <b/>
        <sz val="10"/>
        <color theme="1"/>
        <rFont val="Calibri"/>
      </rPr>
      <t>E)</t>
    </r>
  </si>
  <si>
    <t>Energy Content
kg/MBtu</t>
  </si>
  <si>
    <t>Density
kg/gallon</t>
  </si>
  <si>
    <r>
      <rPr>
        <b/>
        <sz val="11"/>
        <color theme="1"/>
        <rFont val="Calibri"/>
      </rPr>
      <t>N</t>
    </r>
    <r>
      <rPr>
        <b/>
        <vertAlign val="subscript"/>
        <sz val="8"/>
        <color theme="1"/>
        <rFont val="Arial"/>
      </rPr>
      <t>2</t>
    </r>
    <r>
      <rPr>
        <b/>
        <sz val="8"/>
        <color theme="1"/>
        <rFont val="Arial"/>
      </rPr>
      <t>O EF
g/kg fuel</t>
    </r>
  </si>
  <si>
    <r>
      <rPr>
        <b/>
        <sz val="11"/>
        <color theme="1"/>
        <rFont val="Calibri"/>
      </rPr>
      <t>N</t>
    </r>
    <r>
      <rPr>
        <b/>
        <vertAlign val="subscript"/>
        <sz val="8"/>
        <color theme="1"/>
        <rFont val="Arial"/>
      </rPr>
      <t>2</t>
    </r>
    <r>
      <rPr>
        <b/>
        <sz val="8"/>
        <color theme="1"/>
        <rFont val="Arial"/>
      </rPr>
      <t>O EM
Gigagrams</t>
    </r>
  </si>
  <si>
    <r>
      <rPr>
        <b/>
        <sz val="11"/>
        <color theme="1"/>
        <rFont val="Calibri"/>
      </rPr>
      <t>N</t>
    </r>
    <r>
      <rPr>
        <b/>
        <vertAlign val="subscript"/>
        <sz val="8"/>
        <color theme="1"/>
        <rFont val="Arial"/>
      </rPr>
      <t>2</t>
    </r>
    <r>
      <rPr>
        <b/>
        <sz val="8"/>
        <color theme="1"/>
        <rFont val="Arial"/>
      </rPr>
      <t>O
MTCE</t>
    </r>
  </si>
  <si>
    <r>
      <rPr>
        <b/>
        <sz val="11"/>
        <color theme="1"/>
        <rFont val="Calibri"/>
      </rPr>
      <t>N</t>
    </r>
    <r>
      <rPr>
        <b/>
        <vertAlign val="subscript"/>
        <sz val="8"/>
        <color theme="1"/>
        <rFont val="Arial"/>
      </rPr>
      <t>2</t>
    </r>
    <r>
      <rPr>
        <b/>
        <sz val="8"/>
        <color theme="1"/>
        <rFont val="Arial"/>
      </rPr>
      <t>O
MTCO</t>
    </r>
    <r>
      <rPr>
        <b/>
        <vertAlign val="subscript"/>
        <sz val="8"/>
        <color theme="1"/>
        <rFont val="Arial"/>
      </rPr>
      <t>2</t>
    </r>
    <r>
      <rPr>
        <b/>
        <sz val="8"/>
        <color theme="1"/>
        <rFont val="Arial"/>
      </rPr>
      <t>E</t>
    </r>
  </si>
  <si>
    <r>
      <rPr>
        <b/>
        <sz val="11"/>
        <color theme="1"/>
        <rFont val="Calibri"/>
      </rPr>
      <t>CH</t>
    </r>
    <r>
      <rPr>
        <b/>
        <vertAlign val="subscript"/>
        <sz val="8"/>
        <color theme="1"/>
        <rFont val="Arial"/>
      </rPr>
      <t>4</t>
    </r>
    <r>
      <rPr>
        <b/>
        <sz val="8"/>
        <color theme="1"/>
        <rFont val="Arial"/>
      </rPr>
      <t xml:space="preserve"> EF
g/kg fuel</t>
    </r>
  </si>
  <si>
    <r>
      <rPr>
        <b/>
        <sz val="11"/>
        <color theme="1"/>
        <rFont val="Calibri"/>
      </rPr>
      <t>CH</t>
    </r>
    <r>
      <rPr>
        <b/>
        <vertAlign val="subscript"/>
        <sz val="8"/>
        <color theme="1"/>
        <rFont val="Arial"/>
      </rPr>
      <t>4</t>
    </r>
    <r>
      <rPr>
        <b/>
        <sz val="8"/>
        <color theme="1"/>
        <rFont val="Arial"/>
      </rPr>
      <t xml:space="preserve"> EM
Gigagrams</t>
    </r>
  </si>
  <si>
    <r>
      <rPr>
        <b/>
        <sz val="11"/>
        <color theme="1"/>
        <rFont val="Calibri"/>
      </rPr>
      <t>CH</t>
    </r>
    <r>
      <rPr>
        <b/>
        <vertAlign val="subscript"/>
        <sz val="8"/>
        <color theme="1"/>
        <rFont val="Arial"/>
      </rPr>
      <t xml:space="preserve">4
</t>
    </r>
    <r>
      <rPr>
        <b/>
        <sz val="8"/>
        <color theme="1"/>
        <rFont val="Arial"/>
      </rPr>
      <t>MTCE</t>
    </r>
  </si>
  <si>
    <r>
      <rPr>
        <b/>
        <sz val="11"/>
        <color theme="1"/>
        <rFont val="Calibri"/>
      </rPr>
      <t>CH</t>
    </r>
    <r>
      <rPr>
        <b/>
        <vertAlign val="subscript"/>
        <sz val="8"/>
        <color theme="1"/>
        <rFont val="Arial"/>
      </rPr>
      <t xml:space="preserve">4
</t>
    </r>
    <r>
      <rPr>
        <b/>
        <sz val="8"/>
        <color theme="1"/>
        <rFont val="Arial"/>
      </rPr>
      <t>MTCO</t>
    </r>
    <r>
      <rPr>
        <b/>
        <vertAlign val="subscript"/>
        <sz val="8"/>
        <color theme="1"/>
        <rFont val="Arial"/>
      </rPr>
      <t>2</t>
    </r>
    <r>
      <rPr>
        <b/>
        <sz val="8"/>
        <color theme="1"/>
        <rFont val="Arial"/>
      </rPr>
      <t>E</t>
    </r>
  </si>
  <si>
    <r>
      <rPr>
        <b/>
        <sz val="11"/>
        <color theme="1"/>
        <rFont val="Calibri"/>
      </rPr>
      <t>TOTAL
MTCO</t>
    </r>
    <r>
      <rPr>
        <b/>
        <vertAlign val="subscript"/>
        <sz val="8"/>
        <color theme="1"/>
        <rFont val="Arial"/>
      </rPr>
      <t>2</t>
    </r>
    <r>
      <rPr>
        <b/>
        <sz val="8"/>
        <color theme="1"/>
        <rFont val="Arial"/>
      </rPr>
      <t>E</t>
    </r>
  </si>
  <si>
    <t>Motor Diesel  (On-Road)</t>
  </si>
  <si>
    <t>Motor Gasoline (On Road)</t>
  </si>
  <si>
    <t>Cement Industry Production Emissions</t>
  </si>
  <si>
    <t>EPA- Mandatory GHG Rule Reporting Methodology used in Emission Certification Reports.</t>
  </si>
  <si>
    <t>% Biomass</t>
  </si>
  <si>
    <r>
      <rPr>
        <b/>
        <sz val="11"/>
        <color theme="1"/>
        <rFont val="Calibri"/>
      </rPr>
      <t>CO</t>
    </r>
    <r>
      <rPr>
        <b/>
        <vertAlign val="subscript"/>
        <sz val="8"/>
        <color theme="1"/>
        <rFont val="Arial"/>
      </rPr>
      <t>2</t>
    </r>
    <r>
      <rPr>
        <b/>
        <sz val="8"/>
        <color theme="1"/>
        <rFont val="Arial"/>
      </rPr>
      <t xml:space="preserve"> Emissions (metric tons)</t>
    </r>
  </si>
  <si>
    <r>
      <rPr>
        <b/>
        <sz val="11"/>
        <color theme="1"/>
        <rFont val="Calibri"/>
      </rPr>
      <t>CH</t>
    </r>
    <r>
      <rPr>
        <b/>
        <vertAlign val="subscript"/>
        <sz val="8"/>
        <color theme="1"/>
        <rFont val="Arial"/>
      </rPr>
      <t>4</t>
    </r>
    <r>
      <rPr>
        <b/>
        <sz val="8"/>
        <color theme="1"/>
        <rFont val="Arial"/>
      </rPr>
      <t xml:space="preserve"> Emissions (metric tons CH</t>
    </r>
    <r>
      <rPr>
        <b/>
        <vertAlign val="subscript"/>
        <sz val="8"/>
        <color theme="1"/>
        <rFont val="Arial"/>
      </rPr>
      <t>4</t>
    </r>
    <r>
      <rPr>
        <b/>
        <sz val="8"/>
        <color theme="1"/>
        <rFont val="Arial"/>
      </rPr>
      <t>)</t>
    </r>
  </si>
  <si>
    <r>
      <rPr>
        <b/>
        <sz val="11"/>
        <color theme="1"/>
        <rFont val="Calibri"/>
      </rPr>
      <t>N</t>
    </r>
    <r>
      <rPr>
        <b/>
        <vertAlign val="subscript"/>
        <sz val="8"/>
        <color theme="1"/>
        <rFont val="Arial"/>
      </rPr>
      <t>2</t>
    </r>
    <r>
      <rPr>
        <b/>
        <sz val="8"/>
        <color theme="1"/>
        <rFont val="Arial"/>
      </rPr>
      <t>O Emissions (metric tons CH</t>
    </r>
    <r>
      <rPr>
        <b/>
        <vertAlign val="subscript"/>
        <sz val="8"/>
        <color theme="1"/>
        <rFont val="Arial"/>
      </rPr>
      <t>4</t>
    </r>
    <r>
      <rPr>
        <b/>
        <sz val="8"/>
        <color theme="1"/>
        <rFont val="Arial"/>
      </rPr>
      <t>)</t>
    </r>
  </si>
  <si>
    <t>(A)</t>
  </si>
  <si>
    <t xml:space="preserve"> Lehigh Kiln System </t>
  </si>
  <si>
    <t xml:space="preserve"> -Coal</t>
  </si>
  <si>
    <t>metric  tons</t>
  </si>
  <si>
    <t xml:space="preserve"> - DBS (Preheater/Precalciner Kiln)</t>
  </si>
  <si>
    <t xml:space="preserve"> - #2 Oil</t>
  </si>
  <si>
    <t>Gallons</t>
  </si>
  <si>
    <t xml:space="preserve"> - Fly Ash</t>
  </si>
  <si>
    <t>metric tons</t>
  </si>
  <si>
    <t>Kiln Fossil Fuel Combustion (Calculation)</t>
  </si>
  <si>
    <r>
      <rPr>
        <b/>
        <sz val="11"/>
        <color theme="1"/>
        <rFont val="Calibri"/>
      </rPr>
      <t>Kiln System Total CO</t>
    </r>
    <r>
      <rPr>
        <b/>
        <vertAlign val="subscript"/>
        <sz val="8"/>
        <color theme="1"/>
        <rFont val="Arial"/>
      </rPr>
      <t>2</t>
    </r>
    <r>
      <rPr>
        <b/>
        <sz val="8"/>
        <color theme="1"/>
        <rFont val="Arial"/>
      </rPr>
      <t xml:space="preserve"> (CEM Measured)</t>
    </r>
  </si>
  <si>
    <r>
      <rPr>
        <b/>
        <sz val="11"/>
        <color theme="1"/>
        <rFont val="Calibri"/>
      </rPr>
      <t>Cement Production-Process CO</t>
    </r>
    <r>
      <rPr>
        <b/>
        <vertAlign val="subscript"/>
        <sz val="8"/>
        <color theme="1"/>
        <rFont val="Arial"/>
      </rPr>
      <t xml:space="preserve">2 </t>
    </r>
    <r>
      <rPr>
        <b/>
        <sz val="8"/>
        <color theme="1"/>
        <rFont val="Arial"/>
      </rPr>
      <t>(metric tons)</t>
    </r>
    <r>
      <rPr>
        <b/>
        <vertAlign val="subscript"/>
        <sz val="8"/>
        <color theme="1"/>
        <rFont val="Arial"/>
      </rPr>
      <t xml:space="preserve">  </t>
    </r>
    <r>
      <rPr>
        <b/>
        <sz val="8"/>
        <color theme="1"/>
        <rFont val="Arial"/>
      </rPr>
      <t>= Kiln System Total CO</t>
    </r>
    <r>
      <rPr>
        <b/>
        <vertAlign val="subscript"/>
        <sz val="8"/>
        <color theme="1"/>
        <rFont val="Arial"/>
      </rPr>
      <t>2</t>
    </r>
    <r>
      <rPr>
        <b/>
        <sz val="8"/>
        <color theme="1"/>
        <rFont val="Arial"/>
      </rPr>
      <t xml:space="preserve"> - Kiln Fossil Fuel Combustion CO</t>
    </r>
    <r>
      <rPr>
        <b/>
        <vertAlign val="subscript"/>
        <sz val="8"/>
        <color theme="1"/>
        <rFont val="Arial"/>
      </rPr>
      <t>2</t>
    </r>
  </si>
  <si>
    <t>Non Kiln</t>
  </si>
  <si>
    <t xml:space="preserve"> Finish Mill (#2 Oil)</t>
  </si>
  <si>
    <r>
      <rPr>
        <b/>
        <sz val="11"/>
        <color theme="1"/>
        <rFont val="Calibri"/>
      </rPr>
      <t>Total Facility CO</t>
    </r>
    <r>
      <rPr>
        <b/>
        <vertAlign val="subscript"/>
        <sz val="8"/>
        <color theme="1"/>
        <rFont val="Arial"/>
      </rPr>
      <t>2</t>
    </r>
    <r>
      <rPr>
        <b/>
        <sz val="8"/>
        <color theme="1"/>
        <rFont val="Arial"/>
      </rPr>
      <t>= Kiln System CO</t>
    </r>
    <r>
      <rPr>
        <b/>
        <vertAlign val="subscript"/>
        <sz val="8"/>
        <color theme="1"/>
        <rFont val="Arial"/>
      </rPr>
      <t>2</t>
    </r>
    <r>
      <rPr>
        <b/>
        <sz val="8"/>
        <color theme="1"/>
        <rFont val="Arial"/>
      </rPr>
      <t xml:space="preserve"> + Non-Kiln CO</t>
    </r>
    <r>
      <rPr>
        <b/>
        <vertAlign val="subscript"/>
        <sz val="8"/>
        <color theme="1"/>
        <rFont val="Arial"/>
      </rPr>
      <t>2</t>
    </r>
  </si>
  <si>
    <t>Emissions (short tons)</t>
  </si>
  <si>
    <t>Kiln Fossil Fuel Combustion (short tons)</t>
  </si>
  <si>
    <t>Limestone and Dolomite Use</t>
  </si>
  <si>
    <t>Consumption
(Metric Tons)</t>
  </si>
  <si>
    <r>
      <rPr>
        <b/>
        <sz val="11"/>
        <color theme="1"/>
        <rFont val="Calibri"/>
      </rPr>
      <t>Kiln System Total CO</t>
    </r>
    <r>
      <rPr>
        <b/>
        <vertAlign val="subscript"/>
        <sz val="8"/>
        <color theme="1"/>
        <rFont val="Arial"/>
      </rPr>
      <t>2</t>
    </r>
    <r>
      <rPr>
        <b/>
        <sz val="8"/>
        <color theme="1"/>
        <rFont val="Arial"/>
      </rPr>
      <t xml:space="preserve"> (CEM Measured) (short tons)</t>
    </r>
  </si>
  <si>
    <r>
      <rPr>
        <b/>
        <sz val="11"/>
        <color theme="1"/>
        <rFont val="Calibri"/>
      </rPr>
      <t>Emission Factor
(t CO</t>
    </r>
    <r>
      <rPr>
        <b/>
        <vertAlign val="subscript"/>
        <sz val="9"/>
        <color theme="1"/>
        <rFont val="Calibri"/>
      </rPr>
      <t>2</t>
    </r>
    <r>
      <rPr>
        <b/>
        <sz val="9"/>
        <color theme="1"/>
        <rFont val="Calibri"/>
      </rPr>
      <t>/t production)</t>
    </r>
  </si>
  <si>
    <r>
      <rPr>
        <b/>
        <sz val="11"/>
        <color theme="1"/>
        <rFont val="Calibri"/>
      </rPr>
      <t>Emissions
(MTCO</t>
    </r>
    <r>
      <rPr>
        <b/>
        <vertAlign val="subscript"/>
        <sz val="9"/>
        <color theme="1"/>
        <rFont val="Calibri"/>
      </rPr>
      <t>2</t>
    </r>
    <r>
      <rPr>
        <b/>
        <sz val="9"/>
        <color theme="1"/>
        <rFont val="Calibri"/>
      </rPr>
      <t>E)</t>
    </r>
  </si>
  <si>
    <t>Limestone</t>
  </si>
  <si>
    <r>
      <rPr>
        <b/>
        <sz val="11"/>
        <color theme="1"/>
        <rFont val="Calibri"/>
      </rPr>
      <t>Cement Production-Process CO</t>
    </r>
    <r>
      <rPr>
        <b/>
        <vertAlign val="subscript"/>
        <sz val="8"/>
        <color theme="1"/>
        <rFont val="Arial"/>
      </rPr>
      <t xml:space="preserve">2 </t>
    </r>
    <r>
      <rPr>
        <b/>
        <sz val="8"/>
        <color theme="1"/>
        <rFont val="Arial"/>
      </rPr>
      <t>(short tons)</t>
    </r>
    <r>
      <rPr>
        <b/>
        <vertAlign val="subscript"/>
        <sz val="8"/>
        <color theme="1"/>
        <rFont val="Arial"/>
      </rPr>
      <t xml:space="preserve">  </t>
    </r>
    <r>
      <rPr>
        <b/>
        <sz val="8"/>
        <color theme="1"/>
        <rFont val="Arial"/>
      </rPr>
      <t>= Kiln System Total CO</t>
    </r>
    <r>
      <rPr>
        <b/>
        <vertAlign val="subscript"/>
        <sz val="8"/>
        <color theme="1"/>
        <rFont val="Arial"/>
      </rPr>
      <t>2</t>
    </r>
    <r>
      <rPr>
        <b/>
        <sz val="8"/>
        <color theme="1"/>
        <rFont val="Arial"/>
      </rPr>
      <t xml:space="preserve"> - Kiln Fossil Fuel Combustion CO</t>
    </r>
    <r>
      <rPr>
        <b/>
        <vertAlign val="subscript"/>
        <sz val="8"/>
        <color theme="1"/>
        <rFont val="Arial"/>
      </rPr>
      <t>2</t>
    </r>
  </si>
  <si>
    <r>
      <rPr>
        <b/>
        <sz val="11"/>
        <color theme="1"/>
        <rFont val="Calibri"/>
      </rPr>
      <t>Total Facility CO</t>
    </r>
    <r>
      <rPr>
        <b/>
        <vertAlign val="subscript"/>
        <sz val="8"/>
        <color theme="1"/>
        <rFont val="Arial"/>
      </rPr>
      <t>2</t>
    </r>
    <r>
      <rPr>
        <b/>
        <sz val="8"/>
        <color theme="1"/>
        <rFont val="Arial"/>
      </rPr>
      <t xml:space="preserve"> (short tons)</t>
    </r>
    <r>
      <rPr>
        <b/>
        <vertAlign val="subscript"/>
        <sz val="8"/>
        <color theme="1"/>
        <rFont val="Arial"/>
      </rPr>
      <t xml:space="preserve"> </t>
    </r>
    <r>
      <rPr>
        <b/>
        <sz val="8"/>
        <color theme="1"/>
        <rFont val="Arial"/>
      </rPr>
      <t>= Kiln System CO</t>
    </r>
    <r>
      <rPr>
        <b/>
        <vertAlign val="subscript"/>
        <sz val="8"/>
        <color theme="1"/>
        <rFont val="Arial"/>
      </rPr>
      <t>2</t>
    </r>
    <r>
      <rPr>
        <b/>
        <sz val="8"/>
        <color theme="1"/>
        <rFont val="Arial"/>
      </rPr>
      <t xml:space="preserve"> + Non-Kiln CO</t>
    </r>
    <r>
      <rPr>
        <b/>
        <vertAlign val="subscript"/>
        <sz val="8"/>
        <color theme="1"/>
        <rFont val="Arial"/>
      </rPr>
      <t>2</t>
    </r>
  </si>
  <si>
    <t>Dolomite</t>
  </si>
  <si>
    <t>Magesium Production from Dolomite</t>
  </si>
  <si>
    <t>(B)</t>
  </si>
  <si>
    <t>Holcim Kiln 2011</t>
  </si>
  <si>
    <t>Soda Ash Use</t>
  </si>
  <si>
    <r>
      <rPr>
        <b/>
        <sz val="11"/>
        <color theme="1"/>
        <rFont val="Calibri"/>
      </rPr>
      <t>CO</t>
    </r>
    <r>
      <rPr>
        <b/>
        <vertAlign val="subscript"/>
        <sz val="8"/>
        <color theme="1"/>
        <rFont val="Arial"/>
      </rPr>
      <t>2</t>
    </r>
    <r>
      <rPr>
        <b/>
        <sz val="8"/>
        <color theme="1"/>
        <rFont val="Arial"/>
      </rPr>
      <t xml:space="preserve"> Emissions (metric tons)</t>
    </r>
  </si>
  <si>
    <r>
      <rPr>
        <b/>
        <sz val="11"/>
        <color theme="1"/>
        <rFont val="Calibri"/>
      </rPr>
      <t>CH</t>
    </r>
    <r>
      <rPr>
        <b/>
        <vertAlign val="subscript"/>
        <sz val="8"/>
        <color theme="1"/>
        <rFont val="Arial"/>
      </rPr>
      <t>4</t>
    </r>
    <r>
      <rPr>
        <b/>
        <sz val="8"/>
        <color theme="1"/>
        <rFont val="Arial"/>
      </rPr>
      <t xml:space="preserve"> Emissions (metric tons CH</t>
    </r>
    <r>
      <rPr>
        <b/>
        <vertAlign val="subscript"/>
        <sz val="8"/>
        <color theme="1"/>
        <rFont val="Arial"/>
      </rPr>
      <t>4</t>
    </r>
    <r>
      <rPr>
        <b/>
        <sz val="8"/>
        <color theme="1"/>
        <rFont val="Arial"/>
      </rPr>
      <t>)</t>
    </r>
  </si>
  <si>
    <r>
      <rPr>
        <b/>
        <sz val="11"/>
        <color theme="1"/>
        <rFont val="Calibri"/>
      </rPr>
      <t>N</t>
    </r>
    <r>
      <rPr>
        <b/>
        <vertAlign val="subscript"/>
        <sz val="8"/>
        <color theme="1"/>
        <rFont val="Arial"/>
      </rPr>
      <t>2</t>
    </r>
    <r>
      <rPr>
        <b/>
        <sz val="8"/>
        <color theme="1"/>
        <rFont val="Arial"/>
      </rPr>
      <t>O  Emissions   (metric tons N</t>
    </r>
    <r>
      <rPr>
        <b/>
        <vertAlign val="subscript"/>
        <sz val="8"/>
        <color theme="1"/>
        <rFont val="Arial"/>
      </rPr>
      <t>2</t>
    </r>
    <r>
      <rPr>
        <b/>
        <sz val="8"/>
        <color theme="1"/>
        <rFont val="Arial"/>
      </rPr>
      <t>O)</t>
    </r>
  </si>
  <si>
    <t>Manufacture and Consumption
(Metric tons)</t>
  </si>
  <si>
    <t>Kiln System</t>
  </si>
  <si>
    <r>
      <rPr>
        <b/>
        <sz val="11"/>
        <color theme="1"/>
        <rFont val="Calibri"/>
      </rPr>
      <t>Emission Factor
(t CO</t>
    </r>
    <r>
      <rPr>
        <b/>
        <vertAlign val="subscript"/>
        <sz val="9"/>
        <color theme="1"/>
        <rFont val="Calibri"/>
      </rPr>
      <t>2</t>
    </r>
    <r>
      <rPr>
        <b/>
        <sz val="9"/>
        <color theme="1"/>
        <rFont val="Calibri"/>
      </rPr>
      <t>/t production)</t>
    </r>
  </si>
  <si>
    <r>
      <rPr>
        <b/>
        <sz val="11"/>
        <color theme="1"/>
        <rFont val="Calibri"/>
      </rPr>
      <t>Emissions
(MTCO</t>
    </r>
    <r>
      <rPr>
        <b/>
        <vertAlign val="subscript"/>
        <sz val="9"/>
        <color theme="1"/>
        <rFont val="Calibri"/>
      </rPr>
      <t>2</t>
    </r>
    <r>
      <rPr>
        <b/>
        <sz val="9"/>
        <color theme="1"/>
        <rFont val="Calibri"/>
      </rPr>
      <t>E)</t>
    </r>
  </si>
  <si>
    <t>Manufacture</t>
  </si>
  <si>
    <t>short  tons</t>
  </si>
  <si>
    <t xml:space="preserve"> - Tire</t>
  </si>
  <si>
    <r>
      <rPr>
        <b/>
        <sz val="11"/>
        <color theme="1"/>
        <rFont val="Calibri"/>
      </rPr>
      <t>Kiln Fossil Fuel Alone CO</t>
    </r>
    <r>
      <rPr>
        <b/>
        <vertAlign val="subscript"/>
        <sz val="8"/>
        <color theme="1"/>
        <rFont val="Arial"/>
      </rPr>
      <t>2</t>
    </r>
    <r>
      <rPr>
        <b/>
        <sz val="8"/>
        <color theme="1"/>
        <rFont val="Arial"/>
      </rPr>
      <t xml:space="preserve"> (Calculation)</t>
    </r>
  </si>
  <si>
    <t>Ammonia Production and Urea Consumption</t>
  </si>
  <si>
    <t>Production &amp; Consumption
(Metric Tons)</t>
  </si>
  <si>
    <r>
      <rPr>
        <b/>
        <sz val="11"/>
        <color theme="1"/>
        <rFont val="Calibri"/>
      </rPr>
      <t>Emission Factor
(mt CO</t>
    </r>
    <r>
      <rPr>
        <b/>
        <vertAlign val="subscript"/>
        <sz val="9"/>
        <color theme="1"/>
        <rFont val="Calibri"/>
      </rPr>
      <t>2</t>
    </r>
    <r>
      <rPr>
        <b/>
        <sz val="9"/>
        <color theme="1"/>
        <rFont val="Calibri"/>
      </rPr>
      <t>/mt activity)</t>
    </r>
  </si>
  <si>
    <t>Subract emissions from Urea</t>
  </si>
  <si>
    <t xml:space="preserve">Non Kiln </t>
  </si>
  <si>
    <r>
      <rPr>
        <b/>
        <sz val="11"/>
        <color theme="1"/>
        <rFont val="Calibri"/>
      </rPr>
      <t>Emissions
(MTCO</t>
    </r>
    <r>
      <rPr>
        <b/>
        <vertAlign val="subscript"/>
        <sz val="9"/>
        <color theme="1"/>
        <rFont val="Calibri"/>
      </rPr>
      <t>2</t>
    </r>
    <r>
      <rPr>
        <b/>
        <sz val="9"/>
        <color theme="1"/>
        <rFont val="Calibri"/>
      </rPr>
      <t>E)</t>
    </r>
  </si>
  <si>
    <t>Raw Meal - # 2 Oil</t>
  </si>
  <si>
    <t xml:space="preserve">Ammonia Production </t>
  </si>
  <si>
    <r>
      <rPr>
        <b/>
        <sz val="11"/>
        <color theme="1"/>
        <rFont val="Calibri"/>
      </rPr>
      <t>Kiln System Total CO</t>
    </r>
    <r>
      <rPr>
        <b/>
        <vertAlign val="subscript"/>
        <sz val="8"/>
        <color theme="1"/>
        <rFont val="Arial"/>
      </rPr>
      <t>2</t>
    </r>
    <r>
      <rPr>
        <b/>
        <sz val="8"/>
        <color theme="1"/>
        <rFont val="Arial"/>
      </rPr>
      <t xml:space="preserve"> (CEM Measured).</t>
    </r>
  </si>
  <si>
    <t>Iron &amp; Steel Industry Production Emissions</t>
  </si>
  <si>
    <r>
      <rPr>
        <b/>
        <sz val="11"/>
        <color theme="1"/>
        <rFont val="Calibri"/>
      </rPr>
      <t>Kiln Fossil Fuel Alone CO</t>
    </r>
    <r>
      <rPr>
        <b/>
        <vertAlign val="subscript"/>
        <sz val="8"/>
        <color theme="1"/>
        <rFont val="Arial"/>
      </rPr>
      <t>2</t>
    </r>
    <r>
      <rPr>
        <b/>
        <sz val="8"/>
        <color theme="1"/>
        <rFont val="Arial"/>
      </rPr>
      <t xml:space="preserve"> (Calculation)</t>
    </r>
  </si>
  <si>
    <t>Urea Consumption</t>
  </si>
  <si>
    <t xml:space="preserve">   =</t>
  </si>
  <si>
    <r>
      <rPr>
        <b/>
        <sz val="11"/>
        <color theme="1"/>
        <rFont val="Calibri"/>
      </rPr>
      <t>Cement Process CO</t>
    </r>
    <r>
      <rPr>
        <b/>
        <vertAlign val="subscript"/>
        <sz val="8"/>
        <color theme="1"/>
        <rFont val="Arial"/>
      </rPr>
      <t xml:space="preserve">2 </t>
    </r>
    <r>
      <rPr>
        <b/>
        <sz val="8"/>
        <color theme="1"/>
        <rFont val="Arial"/>
      </rPr>
      <t>(metric tons)</t>
    </r>
    <r>
      <rPr>
        <b/>
        <vertAlign val="subscript"/>
        <sz val="8"/>
        <color theme="1"/>
        <rFont val="Arial"/>
      </rPr>
      <t xml:space="preserve"> </t>
    </r>
    <r>
      <rPr>
        <b/>
        <sz val="8"/>
        <color theme="1"/>
        <rFont val="Arial"/>
      </rPr>
      <t xml:space="preserve"> = (Total Kiln CO</t>
    </r>
    <r>
      <rPr>
        <b/>
        <vertAlign val="subscript"/>
        <sz val="8"/>
        <color theme="1"/>
        <rFont val="Arial"/>
      </rPr>
      <t>2</t>
    </r>
    <r>
      <rPr>
        <b/>
        <sz val="8"/>
        <color theme="1"/>
        <rFont val="Arial"/>
      </rPr>
      <t>)  - (Kiln Fossil Fuel Alone CO</t>
    </r>
    <r>
      <rPr>
        <b/>
        <vertAlign val="subscript"/>
        <sz val="8"/>
        <color theme="1"/>
        <rFont val="Arial"/>
      </rPr>
      <t>2</t>
    </r>
    <r>
      <rPr>
        <b/>
        <sz val="8"/>
        <color theme="1"/>
        <rFont val="Arial"/>
      </rPr>
      <t>)</t>
    </r>
  </si>
  <si>
    <r>
      <rPr>
        <b/>
        <sz val="11"/>
        <color theme="1"/>
        <rFont val="Calibri"/>
      </rPr>
      <t>CO</t>
    </r>
    <r>
      <rPr>
        <b/>
        <vertAlign val="subscript"/>
        <sz val="10"/>
        <color theme="1"/>
        <rFont val="Arial"/>
      </rPr>
      <t>2</t>
    </r>
    <r>
      <rPr>
        <b/>
        <sz val="10"/>
        <color theme="1"/>
        <rFont val="Arial"/>
      </rPr>
      <t xml:space="preserve"> Emissions (metric tons)</t>
    </r>
  </si>
  <si>
    <r>
      <rPr>
        <b/>
        <sz val="11"/>
        <color theme="1"/>
        <rFont val="Calibri"/>
      </rPr>
      <t>CO</t>
    </r>
    <r>
      <rPr>
        <b/>
        <vertAlign val="subscript"/>
        <sz val="10"/>
        <color theme="1"/>
        <rFont val="Arial"/>
      </rPr>
      <t>2</t>
    </r>
    <r>
      <rPr>
        <b/>
        <sz val="10"/>
        <color theme="1"/>
        <rFont val="Arial"/>
      </rPr>
      <t xml:space="preserve"> Emissions (short tons)</t>
    </r>
  </si>
  <si>
    <r>
      <rPr>
        <sz val="11"/>
        <color theme="1"/>
        <rFont val="Calibri"/>
      </rPr>
      <t>CO</t>
    </r>
    <r>
      <rPr>
        <vertAlign val="subscript"/>
        <sz val="10"/>
        <color theme="1"/>
        <rFont val="Arial"/>
      </rPr>
      <t>2</t>
    </r>
  </si>
  <si>
    <r>
      <rPr>
        <b/>
        <sz val="11"/>
        <color theme="1"/>
        <rFont val="Calibri"/>
      </rPr>
      <t>Total Facility CO</t>
    </r>
    <r>
      <rPr>
        <b/>
        <vertAlign val="subscript"/>
        <sz val="8"/>
        <color theme="1"/>
        <rFont val="Arial"/>
      </rPr>
      <t>2</t>
    </r>
    <r>
      <rPr>
        <b/>
        <sz val="8"/>
        <color theme="1"/>
        <rFont val="Arial"/>
      </rPr>
      <t xml:space="preserve"> Emission = (Kiln System Total CO</t>
    </r>
    <r>
      <rPr>
        <b/>
        <vertAlign val="subscript"/>
        <sz val="8"/>
        <color theme="1"/>
        <rFont val="Arial"/>
      </rPr>
      <t>2</t>
    </r>
    <r>
      <rPr>
        <b/>
        <sz val="8"/>
        <color theme="1"/>
        <rFont val="Arial"/>
      </rPr>
      <t>) + (Non Kiln CO</t>
    </r>
    <r>
      <rPr>
        <b/>
        <vertAlign val="subscript"/>
        <sz val="8"/>
        <color theme="1"/>
        <rFont val="Arial"/>
      </rPr>
      <t>2</t>
    </r>
    <r>
      <rPr>
        <b/>
        <sz val="8"/>
        <color theme="1"/>
        <rFont val="Arial"/>
      </rPr>
      <t>)</t>
    </r>
  </si>
  <si>
    <t>State Population</t>
  </si>
  <si>
    <t>Bleeders</t>
  </si>
  <si>
    <r>
      <rPr>
        <sz val="11"/>
        <color theme="1"/>
        <rFont val="Calibri"/>
      </rPr>
      <t>CH</t>
    </r>
    <r>
      <rPr>
        <vertAlign val="subscript"/>
        <sz val="10"/>
        <color theme="1"/>
        <rFont val="Arial"/>
      </rPr>
      <t>4</t>
    </r>
  </si>
  <si>
    <r>
      <rPr>
        <b/>
        <sz val="11"/>
        <color theme="1"/>
        <rFont val="Calibri"/>
      </rPr>
      <t>Kiln System Total CO</t>
    </r>
    <r>
      <rPr>
        <b/>
        <vertAlign val="subscript"/>
        <sz val="8"/>
        <color theme="1"/>
        <rFont val="Arial"/>
      </rPr>
      <t>2</t>
    </r>
    <r>
      <rPr>
        <b/>
        <sz val="8"/>
        <color theme="1"/>
        <rFont val="Arial"/>
      </rPr>
      <t xml:space="preserve"> (CEM Measured) (short tons)</t>
    </r>
  </si>
  <si>
    <r>
      <rPr>
        <sz val="11"/>
        <color theme="1"/>
        <rFont val="Calibri"/>
      </rPr>
      <t>N</t>
    </r>
    <r>
      <rPr>
        <vertAlign val="subscript"/>
        <sz val="10"/>
        <color theme="1"/>
        <rFont val="Arial"/>
      </rPr>
      <t>2</t>
    </r>
    <r>
      <rPr>
        <sz val="8"/>
        <color theme="1"/>
        <rFont val="Arial"/>
      </rPr>
      <t>O</t>
    </r>
  </si>
  <si>
    <t>Electric Power Transmission &amp; Distribution (T&amp;D)</t>
  </si>
  <si>
    <r>
      <rPr>
        <b/>
        <sz val="11"/>
        <color theme="1"/>
        <rFont val="Calibri"/>
      </rPr>
      <t>SF</t>
    </r>
    <r>
      <rPr>
        <b/>
        <vertAlign val="subscript"/>
        <sz val="9"/>
        <color theme="1"/>
        <rFont val="Calibri"/>
      </rPr>
      <t>6</t>
    </r>
    <r>
      <rPr>
        <b/>
        <sz val="9"/>
        <color theme="1"/>
        <rFont val="Calibri"/>
      </rPr>
      <t xml:space="preserve"> Consumption
(Metric Tons)</t>
    </r>
  </si>
  <si>
    <r>
      <rPr>
        <b/>
        <sz val="11"/>
        <color theme="1"/>
        <rFont val="Calibri"/>
      </rPr>
      <t>Emission Factor
(t SF</t>
    </r>
    <r>
      <rPr>
        <b/>
        <vertAlign val="subscript"/>
        <sz val="9"/>
        <color theme="1"/>
        <rFont val="Calibri"/>
      </rPr>
      <t>6</t>
    </r>
    <r>
      <rPr>
        <b/>
        <sz val="9"/>
        <color theme="1"/>
        <rFont val="Calibri"/>
      </rPr>
      <t>/t Consumption)</t>
    </r>
  </si>
  <si>
    <r>
      <rPr>
        <sz val="11"/>
        <color theme="1"/>
        <rFont val="Calibri"/>
      </rPr>
      <t>CO</t>
    </r>
    <r>
      <rPr>
        <vertAlign val="subscript"/>
        <sz val="10"/>
        <color theme="1"/>
        <rFont val="Arial"/>
      </rPr>
      <t>2</t>
    </r>
  </si>
  <si>
    <r>
      <rPr>
        <b/>
        <sz val="11"/>
        <color theme="1"/>
        <rFont val="Calibri"/>
      </rPr>
      <t>Emissions
(Metric Tons SF</t>
    </r>
    <r>
      <rPr>
        <b/>
        <vertAlign val="subscript"/>
        <sz val="9"/>
        <color theme="1"/>
        <rFont val="Calibri"/>
      </rPr>
      <t>6</t>
    </r>
    <r>
      <rPr>
        <b/>
        <sz val="9"/>
        <color theme="1"/>
        <rFont val="Calibri"/>
      </rPr>
      <t>)</t>
    </r>
  </si>
  <si>
    <r>
      <rPr>
        <b/>
        <sz val="11"/>
        <color theme="1"/>
        <rFont val="Calibri"/>
      </rPr>
      <t>Emissions
(MTCO</t>
    </r>
    <r>
      <rPr>
        <b/>
        <vertAlign val="subscript"/>
        <sz val="9"/>
        <color theme="1"/>
        <rFont val="Calibri"/>
      </rPr>
      <t>2</t>
    </r>
    <r>
      <rPr>
        <b/>
        <sz val="9"/>
        <color theme="1"/>
        <rFont val="Calibri"/>
      </rPr>
      <t>E)</t>
    </r>
  </si>
  <si>
    <r>
      <rPr>
        <b/>
        <sz val="11"/>
        <color theme="1"/>
        <rFont val="Calibri"/>
      </rPr>
      <t>Kiln Fossil Fuel Alone CO</t>
    </r>
    <r>
      <rPr>
        <b/>
        <vertAlign val="subscript"/>
        <sz val="8"/>
        <color theme="1"/>
        <rFont val="Arial"/>
      </rPr>
      <t>2</t>
    </r>
    <r>
      <rPr>
        <b/>
        <sz val="8"/>
        <color theme="1"/>
        <rFont val="Arial"/>
      </rPr>
      <t xml:space="preserve"> (Calculated) (short tons)</t>
    </r>
  </si>
  <si>
    <t>L Blast Furnace</t>
  </si>
  <si>
    <r>
      <rPr>
        <sz val="11"/>
        <color theme="1"/>
        <rFont val="Calibri"/>
      </rPr>
      <t>CH</t>
    </r>
    <r>
      <rPr>
        <vertAlign val="subscript"/>
        <sz val="10"/>
        <color theme="1"/>
        <rFont val="Arial"/>
      </rPr>
      <t>4</t>
    </r>
  </si>
  <si>
    <r>
      <rPr>
        <b/>
        <sz val="11"/>
        <color theme="1"/>
        <rFont val="Calibri"/>
      </rPr>
      <t>Cement Process CO</t>
    </r>
    <r>
      <rPr>
        <b/>
        <vertAlign val="subscript"/>
        <sz val="8"/>
        <color theme="1"/>
        <rFont val="Arial"/>
      </rPr>
      <t>2</t>
    </r>
    <r>
      <rPr>
        <b/>
        <sz val="8"/>
        <color theme="1"/>
        <rFont val="Arial"/>
      </rPr>
      <t xml:space="preserve"> (short tons) = (Total Kiln CO</t>
    </r>
    <r>
      <rPr>
        <b/>
        <vertAlign val="subscript"/>
        <sz val="8"/>
        <color theme="1"/>
        <rFont val="Arial"/>
      </rPr>
      <t>2</t>
    </r>
    <r>
      <rPr>
        <b/>
        <sz val="8"/>
        <color theme="1"/>
        <rFont val="Arial"/>
      </rPr>
      <t>)  - (Kiln Fossil Fuel Alone CO</t>
    </r>
    <r>
      <rPr>
        <b/>
        <vertAlign val="subscript"/>
        <sz val="8"/>
        <color theme="1"/>
        <rFont val="Arial"/>
      </rPr>
      <t>2</t>
    </r>
    <r>
      <rPr>
        <b/>
        <sz val="8"/>
        <color theme="1"/>
        <rFont val="Arial"/>
      </rPr>
      <t>)</t>
    </r>
  </si>
  <si>
    <r>
      <rPr>
        <sz val="11"/>
        <color theme="1"/>
        <rFont val="Calibri"/>
      </rPr>
      <t>N</t>
    </r>
    <r>
      <rPr>
        <vertAlign val="subscript"/>
        <sz val="10"/>
        <color theme="1"/>
        <rFont val="Arial"/>
      </rPr>
      <t>2</t>
    </r>
    <r>
      <rPr>
        <sz val="8"/>
        <color theme="1"/>
        <rFont val="Arial"/>
      </rPr>
      <t>O</t>
    </r>
  </si>
  <si>
    <t>Sinter Plant</t>
  </si>
  <si>
    <r>
      <rPr>
        <b/>
        <sz val="11"/>
        <color theme="1"/>
        <rFont val="Calibri"/>
      </rPr>
      <t>Total Facility CO</t>
    </r>
    <r>
      <rPr>
        <b/>
        <vertAlign val="subscript"/>
        <sz val="8"/>
        <color theme="1"/>
        <rFont val="Arial"/>
      </rPr>
      <t>2</t>
    </r>
    <r>
      <rPr>
        <b/>
        <sz val="8"/>
        <color theme="1"/>
        <rFont val="Arial"/>
      </rPr>
      <t xml:space="preserve"> Emission(short tons) = (Kiln System Total CO</t>
    </r>
    <r>
      <rPr>
        <b/>
        <vertAlign val="subscript"/>
        <sz val="8"/>
        <color theme="1"/>
        <rFont val="Arial"/>
      </rPr>
      <t>2</t>
    </r>
    <r>
      <rPr>
        <b/>
        <sz val="8"/>
        <color theme="1"/>
        <rFont val="Arial"/>
      </rPr>
      <t>) + (Non Kiln CO</t>
    </r>
    <r>
      <rPr>
        <b/>
        <vertAlign val="subscript"/>
        <sz val="8"/>
        <color theme="1"/>
        <rFont val="Arial"/>
      </rPr>
      <t>2</t>
    </r>
    <r>
      <rPr>
        <b/>
        <sz val="8"/>
        <color theme="1"/>
        <rFont val="Arial"/>
      </rPr>
      <t>)</t>
    </r>
  </si>
  <si>
    <r>
      <rPr>
        <sz val="11"/>
        <color theme="1"/>
        <rFont val="Calibri"/>
      </rPr>
      <t>CO</t>
    </r>
    <r>
      <rPr>
        <vertAlign val="subscript"/>
        <sz val="10"/>
        <color theme="1"/>
        <rFont val="Arial"/>
      </rPr>
      <t>2</t>
    </r>
  </si>
  <si>
    <t>Aluminum Production (EastAlCo Shut Down)</t>
  </si>
  <si>
    <t>Production
(Metric Tons)</t>
  </si>
  <si>
    <t>Emission Factor
(t CE/t Production)</t>
  </si>
  <si>
    <r>
      <rPr>
        <b/>
        <sz val="11"/>
        <color theme="1"/>
        <rFont val="Calibri"/>
      </rPr>
      <t>Emissions
(MTCO</t>
    </r>
    <r>
      <rPr>
        <b/>
        <vertAlign val="subscript"/>
        <sz val="9"/>
        <color theme="1"/>
        <rFont val="Calibri"/>
      </rPr>
      <t>2</t>
    </r>
    <r>
      <rPr>
        <b/>
        <sz val="9"/>
        <color theme="1"/>
        <rFont val="Calibri"/>
      </rPr>
      <t>E)</t>
    </r>
  </si>
  <si>
    <t>BOF</t>
  </si>
  <si>
    <r>
      <rPr>
        <sz val="11"/>
        <color theme="1"/>
        <rFont val="Calibri"/>
      </rPr>
      <t>CO</t>
    </r>
    <r>
      <rPr>
        <vertAlign val="subscript"/>
        <sz val="10"/>
        <color theme="1"/>
        <rFont val="Arial"/>
      </rPr>
      <t>2</t>
    </r>
  </si>
  <si>
    <t>(A) +(B)</t>
  </si>
  <si>
    <r>
      <rPr>
        <b/>
        <sz val="11"/>
        <color theme="1"/>
        <rFont val="Calibri"/>
      </rPr>
      <t>MD Summmary Cement Process CO</t>
    </r>
    <r>
      <rPr>
        <b/>
        <vertAlign val="subscript"/>
        <sz val="8"/>
        <color theme="1"/>
        <rFont val="Arial"/>
      </rPr>
      <t>2</t>
    </r>
    <r>
      <rPr>
        <b/>
        <sz val="8"/>
        <color theme="1"/>
        <rFont val="Arial"/>
      </rPr>
      <t xml:space="preserve"> Emissions (short tons) </t>
    </r>
  </si>
  <si>
    <r>
      <rPr>
        <sz val="11"/>
        <color theme="1"/>
        <rFont val="Calibri"/>
      </rPr>
      <t>CO</t>
    </r>
    <r>
      <rPr>
        <vertAlign val="subscript"/>
        <sz val="10"/>
        <color theme="1"/>
        <rFont val="Arial"/>
      </rPr>
      <t>2</t>
    </r>
  </si>
  <si>
    <r>
      <rPr>
        <b/>
        <sz val="11"/>
        <color theme="1"/>
        <rFont val="Calibri"/>
      </rPr>
      <t>MD Summmary Cement Process CO</t>
    </r>
    <r>
      <rPr>
        <b/>
        <vertAlign val="subscript"/>
        <sz val="8"/>
        <color theme="1"/>
        <rFont val="Arial"/>
      </rPr>
      <t>2</t>
    </r>
    <r>
      <rPr>
        <b/>
        <sz val="8"/>
        <color theme="1"/>
        <rFont val="Arial"/>
      </rPr>
      <t xml:space="preserve"> Emissions (metric tons) </t>
    </r>
  </si>
  <si>
    <r>
      <rPr>
        <sz val="11"/>
        <color theme="1"/>
        <rFont val="Calibri"/>
      </rPr>
      <t>CH</t>
    </r>
    <r>
      <rPr>
        <vertAlign val="subscript"/>
        <sz val="10"/>
        <color theme="1"/>
        <rFont val="Arial"/>
      </rPr>
      <t>4</t>
    </r>
  </si>
  <si>
    <r>
      <rPr>
        <b/>
        <sz val="11"/>
        <color theme="1"/>
        <rFont val="Calibri"/>
      </rPr>
      <t>MD Summmary Cement Process CO</t>
    </r>
    <r>
      <rPr>
        <b/>
        <vertAlign val="subscript"/>
        <sz val="8"/>
        <color theme="1"/>
        <rFont val="Arial"/>
      </rPr>
      <t>2</t>
    </r>
    <r>
      <rPr>
        <b/>
        <sz val="8"/>
        <color theme="1"/>
        <rFont val="Arial"/>
      </rPr>
      <t xml:space="preserve"> Emissions (MMTCO</t>
    </r>
    <r>
      <rPr>
        <b/>
        <vertAlign val="subscript"/>
        <sz val="8"/>
        <color theme="1"/>
        <rFont val="Arial"/>
      </rPr>
      <t>2</t>
    </r>
    <r>
      <rPr>
        <b/>
        <sz val="8"/>
        <color theme="1"/>
        <rFont val="Arial"/>
      </rPr>
      <t xml:space="preserve">E) </t>
    </r>
  </si>
  <si>
    <r>
      <rPr>
        <sz val="11"/>
        <color theme="1"/>
        <rFont val="Calibri"/>
      </rPr>
      <t>N</t>
    </r>
    <r>
      <rPr>
        <vertAlign val="subscript"/>
        <sz val="10"/>
        <color theme="1"/>
        <rFont val="Arial"/>
      </rPr>
      <t>2</t>
    </r>
    <r>
      <rPr>
        <sz val="8"/>
        <color theme="1"/>
        <rFont val="Arial"/>
      </rPr>
      <t>O</t>
    </r>
  </si>
  <si>
    <t>Carbon Dioxide Emissions</t>
  </si>
  <si>
    <t>Lime Manufacture</t>
  </si>
  <si>
    <t>Soda Ash</t>
  </si>
  <si>
    <t>Ammonia &amp; Urea</t>
  </si>
  <si>
    <t>Iron &amp; Steel Production</t>
  </si>
  <si>
    <t>Nitrous Oxide Emissions</t>
  </si>
  <si>
    <t>Nitric Acid Production</t>
  </si>
  <si>
    <t>Adipic Acid Production</t>
  </si>
  <si>
    <t>HFC, PFC, and SF6 Emissions</t>
  </si>
  <si>
    <t>Magnesium Production</t>
  </si>
  <si>
    <t>Electric Power Transmission and Distribution Systems</t>
  </si>
  <si>
    <t>HCFC-22 Production</t>
  </si>
  <si>
    <t>Total Emissions</t>
  </si>
  <si>
    <t>Agricultural Emissions in Maryland</t>
  </si>
  <si>
    <t>Production &amp; Consumption</t>
  </si>
  <si>
    <t>Subract emissions</t>
  </si>
  <si>
    <t>(Metric Tons)</t>
  </si>
  <si>
    <r>
      <rPr>
        <b/>
        <sz val="11"/>
        <color theme="1"/>
        <rFont val="Calibri"/>
      </rPr>
      <t>(mt CO</t>
    </r>
    <r>
      <rPr>
        <b/>
        <vertAlign val="subscript"/>
        <sz val="10"/>
        <color theme="1"/>
        <rFont val="Times New Roman"/>
      </rPr>
      <t>2</t>
    </r>
    <r>
      <rPr>
        <b/>
        <sz val="10"/>
        <color theme="1"/>
        <rFont val="Times New Roman"/>
      </rPr>
      <t>/mt activity)</t>
    </r>
  </si>
  <si>
    <t xml:space="preserve"> from Urea</t>
  </si>
  <si>
    <r>
      <rPr>
        <b/>
        <sz val="11"/>
        <color theme="1"/>
        <rFont val="Calibri"/>
      </rPr>
      <t>(MTCO</t>
    </r>
    <r>
      <rPr>
        <b/>
        <vertAlign val="subscript"/>
        <sz val="10"/>
        <color theme="1"/>
        <rFont val="Calibri"/>
      </rPr>
      <t>2</t>
    </r>
    <r>
      <rPr>
        <b/>
        <sz val="10"/>
        <color theme="1"/>
        <rFont val="Calibri"/>
      </rPr>
      <t>E)</t>
    </r>
  </si>
  <si>
    <r>
      <rPr>
        <b/>
        <sz val="11"/>
        <color theme="1"/>
        <rFont val="Calibri"/>
      </rPr>
      <t>(MMTCO</t>
    </r>
    <r>
      <rPr>
        <b/>
        <vertAlign val="subscript"/>
        <sz val="10"/>
        <color theme="1"/>
        <rFont val="Calibri"/>
      </rPr>
      <t>2</t>
    </r>
    <r>
      <rPr>
        <b/>
        <sz val="10"/>
        <color theme="1"/>
        <rFont val="Calibri"/>
      </rPr>
      <t>E)</t>
    </r>
  </si>
  <si>
    <t>CO2 from Urea Fertilization in Maryland</t>
  </si>
  <si>
    <t>Enteric Fermentation Emissions</t>
  </si>
  <si>
    <t>Total Urea Applied to Soil</t>
  </si>
  <si>
    <t>(Ton C/Ton urea)</t>
  </si>
  <si>
    <t>(MTCO2E)</t>
  </si>
  <si>
    <t>Number of Animals
('000 head)</t>
  </si>
  <si>
    <r>
      <rPr>
        <b/>
        <sz val="11"/>
        <color theme="1"/>
        <rFont val="Calibri"/>
      </rPr>
      <t>Emission Factor
(kg CH</t>
    </r>
    <r>
      <rPr>
        <b/>
        <vertAlign val="subscript"/>
        <sz val="7"/>
        <color theme="1"/>
        <rFont val="Arial"/>
      </rPr>
      <t>4</t>
    </r>
    <r>
      <rPr>
        <b/>
        <sz val="7"/>
        <color theme="1"/>
        <rFont val="Arial"/>
      </rPr>
      <t>/head)</t>
    </r>
  </si>
  <si>
    <r>
      <rPr>
        <b/>
        <sz val="11"/>
        <color theme="1"/>
        <rFont val="Calibri"/>
      </rPr>
      <t>Emissions
(kg CH</t>
    </r>
    <r>
      <rPr>
        <b/>
        <vertAlign val="subscript"/>
        <sz val="7"/>
        <color theme="1"/>
        <rFont val="Arial"/>
      </rPr>
      <t>4</t>
    </r>
    <r>
      <rPr>
        <b/>
        <sz val="7"/>
        <color theme="1"/>
        <rFont val="Arial"/>
      </rPr>
      <t>)</t>
    </r>
  </si>
  <si>
    <r>
      <rPr>
        <b/>
        <sz val="11"/>
        <color theme="1"/>
        <rFont val="Calibri"/>
      </rPr>
      <t>Emissions
(MMTCH</t>
    </r>
    <r>
      <rPr>
        <b/>
        <vertAlign val="subscript"/>
        <sz val="7"/>
        <color theme="1"/>
        <rFont val="Arial"/>
      </rPr>
      <t>4</t>
    </r>
    <r>
      <rPr>
        <b/>
        <sz val="7"/>
        <color theme="1"/>
        <rFont val="Arial"/>
      </rPr>
      <t>)</t>
    </r>
  </si>
  <si>
    <t>Emissions
(MMTCE)</t>
  </si>
  <si>
    <r>
      <rPr>
        <b/>
        <sz val="11"/>
        <color theme="1"/>
        <rFont val="Calibri"/>
      </rPr>
      <t>Emissions
(MMTCO</t>
    </r>
    <r>
      <rPr>
        <b/>
        <vertAlign val="subscript"/>
        <sz val="7"/>
        <color theme="1"/>
        <rFont val="Arial"/>
      </rPr>
      <t>2</t>
    </r>
    <r>
      <rPr>
        <b/>
        <sz val="7"/>
        <color theme="1"/>
        <rFont val="Arial"/>
      </rPr>
      <t>E)</t>
    </r>
  </si>
  <si>
    <t>Dairy Cattle</t>
  </si>
  <si>
    <t>Dairy Cows</t>
  </si>
  <si>
    <t>Emissions from Liming of Soils are calculated by summing carbon emissions from the application of both limestone and dolomite to soil. The masses of limestone and dolomite are multiplied by their carbon emission factors, converted to million metric tons carbon dioxide equivalent, and then summed. For more information, please refer to the Agriculture Chapter of the User's Guide.</t>
  </si>
  <si>
    <t>CO2 from Liming of Agric Soils in Maryland</t>
  </si>
  <si>
    <t>Total Applied to Soil</t>
  </si>
  <si>
    <t>Total Carbon Dioxide Emissions</t>
  </si>
  <si>
    <t>('000 Metric Tons)</t>
  </si>
  <si>
    <t>(Ton C/Ton limestone)</t>
  </si>
  <si>
    <t>Dairy Replacement Heifers</t>
  </si>
  <si>
    <t xml:space="preserve">   Replacements 0-12 mos.</t>
  </si>
  <si>
    <t xml:space="preserve">   Replacements 12-24 mos.</t>
  </si>
  <si>
    <t>Beef Cattle</t>
  </si>
  <si>
    <t>Beef Cows</t>
  </si>
  <si>
    <t>Beef Replacement Heifers</t>
  </si>
  <si>
    <t>Heifer Stockers</t>
  </si>
  <si>
    <t>Steer Stockers</t>
  </si>
  <si>
    <t>Feedlot Heifers</t>
  </si>
  <si>
    <t>Feedlot Steer</t>
  </si>
  <si>
    <t>Bulls</t>
  </si>
  <si>
    <t>Sheep</t>
  </si>
  <si>
    <t>Goats</t>
  </si>
  <si>
    <t>Swine</t>
  </si>
  <si>
    <t>Horses</t>
  </si>
  <si>
    <t>TOTAL</t>
  </si>
  <si>
    <t>Manure Management Methane Emissions</t>
  </si>
  <si>
    <t>Number of Animals ('000 head)</t>
  </si>
  <si>
    <t>Typical Animal Mass (TAM) (kg)</t>
  </si>
  <si>
    <t>Volatile Solids (VS)  [kg VS/1000 kg animal mass/day]</t>
  </si>
  <si>
    <t>Total VS (kg/yr)</t>
  </si>
  <si>
    <r>
      <rPr>
        <b/>
        <sz val="11"/>
        <color theme="1"/>
        <rFont val="Calibri"/>
      </rPr>
      <t>Max Pot. Emissions (m</t>
    </r>
    <r>
      <rPr>
        <b/>
        <vertAlign val="superscript"/>
        <sz val="7"/>
        <color theme="1"/>
        <rFont val="Comic Sans MS"/>
      </rPr>
      <t>3</t>
    </r>
    <r>
      <rPr>
        <b/>
        <sz val="7"/>
        <color theme="1"/>
        <rFont val="Comic Sans MS"/>
      </rPr>
      <t xml:space="preserve"> CH</t>
    </r>
    <r>
      <rPr>
        <b/>
        <vertAlign val="subscript"/>
        <sz val="7"/>
        <color theme="1"/>
        <rFont val="Comic Sans MS"/>
      </rPr>
      <t>4</t>
    </r>
    <r>
      <rPr>
        <b/>
        <sz val="7"/>
        <color theme="1"/>
        <rFont val="Comic Sans MS"/>
      </rPr>
      <t>/ kg VS)</t>
    </r>
  </si>
  <si>
    <t>Weighted MCF</t>
  </si>
  <si>
    <r>
      <rPr>
        <b/>
        <sz val="11"/>
        <color theme="1"/>
        <rFont val="Calibri"/>
      </rPr>
      <t>Emissions      (m</t>
    </r>
    <r>
      <rPr>
        <b/>
        <vertAlign val="superscript"/>
        <sz val="7"/>
        <color theme="1"/>
        <rFont val="Comic Sans MS"/>
      </rPr>
      <t>3</t>
    </r>
    <r>
      <rPr>
        <b/>
        <sz val="7"/>
        <color theme="1"/>
        <rFont val="Comic Sans MS"/>
      </rPr>
      <t xml:space="preserve"> CH</t>
    </r>
    <r>
      <rPr>
        <b/>
        <vertAlign val="subscript"/>
        <sz val="7"/>
        <color theme="1"/>
        <rFont val="Comic Sans MS"/>
      </rPr>
      <t>4</t>
    </r>
    <r>
      <rPr>
        <b/>
        <sz val="7"/>
        <color theme="1"/>
        <rFont val="Comic Sans MS"/>
      </rPr>
      <t>)</t>
    </r>
  </si>
  <si>
    <r>
      <rPr>
        <b/>
        <sz val="11"/>
        <color theme="1"/>
        <rFont val="Calibri"/>
      </rPr>
      <t>Emissions (Metric Tons CH</t>
    </r>
    <r>
      <rPr>
        <b/>
        <vertAlign val="subscript"/>
        <sz val="7"/>
        <color theme="1"/>
        <rFont val="Comic Sans MS"/>
      </rPr>
      <t>4</t>
    </r>
    <r>
      <rPr>
        <b/>
        <sz val="7"/>
        <color theme="1"/>
        <rFont val="Comic Sans MS"/>
      </rPr>
      <t>)</t>
    </r>
  </si>
  <si>
    <r>
      <rPr>
        <b/>
        <sz val="11"/>
        <color theme="1"/>
        <rFont val="Calibri"/>
      </rPr>
      <t>Emissions (MMTCH</t>
    </r>
    <r>
      <rPr>
        <b/>
        <vertAlign val="subscript"/>
        <sz val="7"/>
        <color theme="1"/>
        <rFont val="Comic Sans MS"/>
      </rPr>
      <t>4</t>
    </r>
    <r>
      <rPr>
        <b/>
        <sz val="7"/>
        <color theme="1"/>
        <rFont val="Comic Sans MS"/>
      </rPr>
      <t>)</t>
    </r>
  </si>
  <si>
    <t>Emissions (MMTCE)</t>
  </si>
  <si>
    <r>
      <rPr>
        <b/>
        <sz val="11"/>
        <color theme="1"/>
        <rFont val="Calibri"/>
      </rPr>
      <t>Emissions  (MMTCO</t>
    </r>
    <r>
      <rPr>
        <b/>
        <vertAlign val="subscript"/>
        <sz val="7"/>
        <color theme="1"/>
        <rFont val="Arial"/>
      </rPr>
      <t>2</t>
    </r>
    <r>
      <rPr>
        <b/>
        <sz val="7"/>
        <color theme="1"/>
        <rFont val="Arial"/>
      </rPr>
      <t>E)</t>
    </r>
  </si>
  <si>
    <t>Incinerator Emissions</t>
  </si>
  <si>
    <t>Harford</t>
  </si>
  <si>
    <t xml:space="preserve">MD Summary </t>
  </si>
  <si>
    <t>Wheelabrator Baltimore</t>
  </si>
  <si>
    <t>Montgomery</t>
  </si>
  <si>
    <t>Fort Detrick</t>
  </si>
  <si>
    <t>Incinerator #1</t>
  </si>
  <si>
    <t>Incinerator #4</t>
  </si>
  <si>
    <t>Incinerator #5</t>
  </si>
  <si>
    <t>Incinerator #6</t>
  </si>
  <si>
    <t>MSW Processed (tons)</t>
  </si>
  <si>
    <t>MSW HHV (mmbtu/short tons)</t>
  </si>
  <si>
    <t>EPA factor</t>
  </si>
  <si>
    <t>MSW Heat Input (mmbtu)</t>
  </si>
  <si>
    <t>Calves</t>
  </si>
  <si>
    <r>
      <rPr>
        <sz val="11"/>
        <color theme="1"/>
        <rFont val="Calibri"/>
      </rPr>
      <t>CO</t>
    </r>
    <r>
      <rPr>
        <vertAlign val="subscript"/>
        <sz val="8"/>
        <color theme="1"/>
        <rFont val="Arial"/>
      </rPr>
      <t>2</t>
    </r>
    <r>
      <rPr>
        <sz val="8"/>
        <color theme="1"/>
        <rFont val="Arial"/>
      </rPr>
      <t xml:space="preserve"> Emission Factor-(kg CO</t>
    </r>
    <r>
      <rPr>
        <vertAlign val="subscript"/>
        <sz val="8"/>
        <color theme="1"/>
        <rFont val="Arial"/>
      </rPr>
      <t>2</t>
    </r>
    <r>
      <rPr>
        <sz val="8"/>
        <color theme="1"/>
        <rFont val="Arial"/>
      </rPr>
      <t>/mmbtu)</t>
    </r>
  </si>
  <si>
    <r>
      <rPr>
        <sz val="11"/>
        <color theme="1"/>
        <rFont val="Calibri"/>
      </rPr>
      <t>CO</t>
    </r>
    <r>
      <rPr>
        <vertAlign val="subscript"/>
        <sz val="8"/>
        <color theme="1"/>
        <rFont val="Arial"/>
      </rPr>
      <t>2</t>
    </r>
    <r>
      <rPr>
        <sz val="8"/>
        <color theme="1"/>
        <rFont val="Arial"/>
      </rPr>
      <t xml:space="preserve"> Emission Factor-(kg CO</t>
    </r>
    <r>
      <rPr>
        <vertAlign val="subscript"/>
        <sz val="8"/>
        <color theme="1"/>
        <rFont val="Arial"/>
      </rPr>
      <t>2</t>
    </r>
    <r>
      <rPr>
        <sz val="8"/>
        <color theme="1"/>
        <rFont val="Arial"/>
      </rPr>
      <t>/mmbtu)</t>
    </r>
  </si>
  <si>
    <r>
      <rPr>
        <sz val="11"/>
        <color theme="1"/>
        <rFont val="Calibri"/>
      </rPr>
      <t>CO</t>
    </r>
    <r>
      <rPr>
        <vertAlign val="subscript"/>
        <sz val="8"/>
        <color theme="1"/>
        <rFont val="Arial"/>
      </rPr>
      <t>2</t>
    </r>
    <r>
      <rPr>
        <sz val="8"/>
        <color theme="1"/>
        <rFont val="Arial"/>
      </rPr>
      <t xml:space="preserve"> Emission Factor-(kg CO</t>
    </r>
    <r>
      <rPr>
        <vertAlign val="subscript"/>
        <sz val="8"/>
        <color theme="1"/>
        <rFont val="Arial"/>
      </rPr>
      <t>2</t>
    </r>
    <r>
      <rPr>
        <sz val="8"/>
        <color theme="1"/>
        <rFont val="Arial"/>
      </rPr>
      <t>/mmbtu)</t>
    </r>
  </si>
  <si>
    <r>
      <rPr>
        <sz val="11"/>
        <color theme="1"/>
        <rFont val="Calibri"/>
      </rPr>
      <t>CO</t>
    </r>
    <r>
      <rPr>
        <vertAlign val="subscript"/>
        <sz val="8"/>
        <color theme="1"/>
        <rFont val="Arial"/>
      </rPr>
      <t>2</t>
    </r>
    <r>
      <rPr>
        <sz val="8"/>
        <color theme="1"/>
        <rFont val="Arial"/>
      </rPr>
      <t xml:space="preserve"> Emission Factor-(kg CO</t>
    </r>
    <r>
      <rPr>
        <vertAlign val="subscript"/>
        <sz val="8"/>
        <color theme="1"/>
        <rFont val="Arial"/>
      </rPr>
      <t>2</t>
    </r>
    <r>
      <rPr>
        <sz val="8"/>
        <color theme="1"/>
        <rFont val="Arial"/>
      </rPr>
      <t>/mmbtu)</t>
    </r>
  </si>
  <si>
    <r>
      <rPr>
        <sz val="11"/>
        <color theme="1"/>
        <rFont val="Calibri"/>
      </rPr>
      <t>CO</t>
    </r>
    <r>
      <rPr>
        <vertAlign val="subscript"/>
        <sz val="8"/>
        <color theme="1"/>
        <rFont val="Arial"/>
      </rPr>
      <t>2</t>
    </r>
    <r>
      <rPr>
        <sz val="8"/>
        <color theme="1"/>
        <rFont val="Arial"/>
      </rPr>
      <t xml:space="preserve"> Emission Factor-(kg CO</t>
    </r>
    <r>
      <rPr>
        <vertAlign val="subscript"/>
        <sz val="8"/>
        <color theme="1"/>
        <rFont val="Arial"/>
      </rPr>
      <t>2</t>
    </r>
    <r>
      <rPr>
        <sz val="8"/>
        <color theme="1"/>
        <rFont val="Arial"/>
      </rPr>
      <t>/mmbtu)</t>
    </r>
  </si>
  <si>
    <r>
      <rPr>
        <sz val="11"/>
        <color theme="1"/>
        <rFont val="Calibri"/>
      </rPr>
      <t>CO</t>
    </r>
    <r>
      <rPr>
        <vertAlign val="subscript"/>
        <sz val="8"/>
        <color theme="1"/>
        <rFont val="Arial"/>
      </rPr>
      <t>2</t>
    </r>
    <r>
      <rPr>
        <sz val="8"/>
        <color theme="1"/>
        <rFont val="Arial"/>
      </rPr>
      <t xml:space="preserve"> Emission (kg CO</t>
    </r>
    <r>
      <rPr>
        <vertAlign val="subscript"/>
        <sz val="8"/>
        <color theme="1"/>
        <rFont val="Arial"/>
      </rPr>
      <t>2</t>
    </r>
    <r>
      <rPr>
        <sz val="8"/>
        <color theme="1"/>
        <rFont val="Arial"/>
      </rPr>
      <t>)</t>
    </r>
  </si>
  <si>
    <r>
      <rPr>
        <sz val="11"/>
        <color theme="1"/>
        <rFont val="Calibri"/>
      </rPr>
      <t>CO</t>
    </r>
    <r>
      <rPr>
        <vertAlign val="subscript"/>
        <sz val="8"/>
        <color theme="1"/>
        <rFont val="Arial"/>
      </rPr>
      <t>2</t>
    </r>
    <r>
      <rPr>
        <sz val="8"/>
        <color theme="1"/>
        <rFont val="Arial"/>
      </rPr>
      <t xml:space="preserve"> Emission (kg CO</t>
    </r>
    <r>
      <rPr>
        <vertAlign val="subscript"/>
        <sz val="8"/>
        <color theme="1"/>
        <rFont val="Arial"/>
      </rPr>
      <t>2</t>
    </r>
    <r>
      <rPr>
        <sz val="8"/>
        <color theme="1"/>
        <rFont val="Arial"/>
      </rPr>
      <t>)</t>
    </r>
  </si>
  <si>
    <r>
      <rPr>
        <sz val="11"/>
        <color theme="1"/>
        <rFont val="Calibri"/>
      </rPr>
      <t>CO</t>
    </r>
    <r>
      <rPr>
        <vertAlign val="subscript"/>
        <sz val="8"/>
        <color theme="1"/>
        <rFont val="Arial"/>
      </rPr>
      <t>2</t>
    </r>
    <r>
      <rPr>
        <sz val="8"/>
        <color theme="1"/>
        <rFont val="Arial"/>
      </rPr>
      <t xml:space="preserve"> Emission (kg CO</t>
    </r>
    <r>
      <rPr>
        <vertAlign val="subscript"/>
        <sz val="8"/>
        <color theme="1"/>
        <rFont val="Arial"/>
      </rPr>
      <t>2</t>
    </r>
    <r>
      <rPr>
        <sz val="8"/>
        <color theme="1"/>
        <rFont val="Arial"/>
      </rPr>
      <t>)</t>
    </r>
  </si>
  <si>
    <r>
      <rPr>
        <sz val="11"/>
        <color theme="1"/>
        <rFont val="Calibri"/>
      </rPr>
      <t>CO</t>
    </r>
    <r>
      <rPr>
        <vertAlign val="subscript"/>
        <sz val="8"/>
        <color theme="1"/>
        <rFont val="Arial"/>
      </rPr>
      <t>2</t>
    </r>
    <r>
      <rPr>
        <sz val="8"/>
        <color theme="1"/>
        <rFont val="Arial"/>
      </rPr>
      <t xml:space="preserve"> Emission (kg CO</t>
    </r>
    <r>
      <rPr>
        <vertAlign val="subscript"/>
        <sz val="8"/>
        <color theme="1"/>
        <rFont val="Arial"/>
      </rPr>
      <t>2</t>
    </r>
    <r>
      <rPr>
        <sz val="8"/>
        <color theme="1"/>
        <rFont val="Arial"/>
      </rPr>
      <t>)</t>
    </r>
  </si>
  <si>
    <r>
      <rPr>
        <sz val="11"/>
        <color theme="1"/>
        <rFont val="Calibri"/>
      </rPr>
      <t>CO</t>
    </r>
    <r>
      <rPr>
        <vertAlign val="subscript"/>
        <sz val="8"/>
        <color theme="1"/>
        <rFont val="Arial"/>
      </rPr>
      <t>2</t>
    </r>
    <r>
      <rPr>
        <sz val="8"/>
        <color theme="1"/>
        <rFont val="Arial"/>
      </rPr>
      <t xml:space="preserve"> Emission (kg CO</t>
    </r>
    <r>
      <rPr>
        <vertAlign val="subscript"/>
        <sz val="8"/>
        <color theme="1"/>
        <rFont val="Arial"/>
      </rPr>
      <t>2</t>
    </r>
    <r>
      <rPr>
        <sz val="8"/>
        <color theme="1"/>
        <rFont val="Arial"/>
      </rPr>
      <t>)</t>
    </r>
  </si>
  <si>
    <r>
      <rPr>
        <sz val="11"/>
        <color theme="1"/>
        <rFont val="Calibri"/>
      </rPr>
      <t>CO</t>
    </r>
    <r>
      <rPr>
        <vertAlign val="subscript"/>
        <sz val="8"/>
        <color theme="1"/>
        <rFont val="Arial"/>
      </rPr>
      <t>2</t>
    </r>
    <r>
      <rPr>
        <sz val="8"/>
        <color theme="1"/>
        <rFont val="Arial"/>
      </rPr>
      <t xml:space="preserve"> Emission (short tons CO</t>
    </r>
    <r>
      <rPr>
        <vertAlign val="subscript"/>
        <sz val="8"/>
        <color theme="1"/>
        <rFont val="Arial"/>
      </rPr>
      <t>2</t>
    </r>
    <r>
      <rPr>
        <sz val="8"/>
        <color theme="1"/>
        <rFont val="Arial"/>
      </rPr>
      <t>)</t>
    </r>
  </si>
  <si>
    <r>
      <rPr>
        <sz val="11"/>
        <color theme="1"/>
        <rFont val="Calibri"/>
      </rPr>
      <t>CO</t>
    </r>
    <r>
      <rPr>
        <vertAlign val="subscript"/>
        <sz val="8"/>
        <color theme="1"/>
        <rFont val="Arial"/>
      </rPr>
      <t>2</t>
    </r>
    <r>
      <rPr>
        <sz val="8"/>
        <color theme="1"/>
        <rFont val="Arial"/>
      </rPr>
      <t xml:space="preserve"> Emission (short tons CO</t>
    </r>
    <r>
      <rPr>
        <vertAlign val="subscript"/>
        <sz val="8"/>
        <color theme="1"/>
        <rFont val="Arial"/>
      </rPr>
      <t>2</t>
    </r>
    <r>
      <rPr>
        <sz val="8"/>
        <color theme="1"/>
        <rFont val="Arial"/>
      </rPr>
      <t>)</t>
    </r>
  </si>
  <si>
    <r>
      <rPr>
        <sz val="11"/>
        <color theme="1"/>
        <rFont val="Calibri"/>
      </rPr>
      <t>CO</t>
    </r>
    <r>
      <rPr>
        <vertAlign val="subscript"/>
        <sz val="8"/>
        <color theme="1"/>
        <rFont val="Arial"/>
      </rPr>
      <t>2</t>
    </r>
    <r>
      <rPr>
        <sz val="8"/>
        <color theme="1"/>
        <rFont val="Arial"/>
      </rPr>
      <t xml:space="preserve"> Emission (short tons CO</t>
    </r>
    <r>
      <rPr>
        <vertAlign val="subscript"/>
        <sz val="8"/>
        <color theme="1"/>
        <rFont val="Arial"/>
      </rPr>
      <t>2</t>
    </r>
    <r>
      <rPr>
        <sz val="8"/>
        <color theme="1"/>
        <rFont val="Arial"/>
      </rPr>
      <t>)</t>
    </r>
  </si>
  <si>
    <r>
      <rPr>
        <sz val="11"/>
        <color theme="1"/>
        <rFont val="Calibri"/>
      </rPr>
      <t>CO</t>
    </r>
    <r>
      <rPr>
        <vertAlign val="subscript"/>
        <sz val="8"/>
        <color theme="1"/>
        <rFont val="Arial"/>
      </rPr>
      <t>2</t>
    </r>
    <r>
      <rPr>
        <sz val="8"/>
        <color theme="1"/>
        <rFont val="Arial"/>
      </rPr>
      <t xml:space="preserve"> Emission (short tons CO</t>
    </r>
    <r>
      <rPr>
        <vertAlign val="subscript"/>
        <sz val="8"/>
        <color theme="1"/>
        <rFont val="Arial"/>
      </rPr>
      <t>2</t>
    </r>
    <r>
      <rPr>
        <sz val="8"/>
        <color theme="1"/>
        <rFont val="Arial"/>
      </rPr>
      <t>)</t>
    </r>
  </si>
  <si>
    <r>
      <rPr>
        <sz val="11"/>
        <color theme="1"/>
        <rFont val="Calibri"/>
      </rPr>
      <t>CO</t>
    </r>
    <r>
      <rPr>
        <vertAlign val="subscript"/>
        <sz val="8"/>
        <color theme="1"/>
        <rFont val="Arial"/>
      </rPr>
      <t>2</t>
    </r>
    <r>
      <rPr>
        <sz val="8"/>
        <color theme="1"/>
        <rFont val="Arial"/>
      </rPr>
      <t xml:space="preserve"> Emission Estimate (short tons CO</t>
    </r>
    <r>
      <rPr>
        <vertAlign val="subscript"/>
        <sz val="8"/>
        <color theme="1"/>
        <rFont val="Arial"/>
      </rPr>
      <t>2</t>
    </r>
    <r>
      <rPr>
        <sz val="8"/>
        <color theme="1"/>
        <rFont val="Arial"/>
      </rPr>
      <t>)</t>
    </r>
  </si>
  <si>
    <r>
      <rPr>
        <sz val="11"/>
        <color theme="1"/>
        <rFont val="Calibri"/>
      </rPr>
      <t>CO</t>
    </r>
    <r>
      <rPr>
        <vertAlign val="subscript"/>
        <sz val="8"/>
        <color theme="1"/>
        <rFont val="Arial"/>
      </rPr>
      <t>2</t>
    </r>
    <r>
      <rPr>
        <sz val="8"/>
        <color theme="1"/>
        <rFont val="Arial"/>
      </rPr>
      <t xml:space="preserve"> Emission (metric tons CO</t>
    </r>
    <r>
      <rPr>
        <vertAlign val="subscript"/>
        <sz val="8"/>
        <color theme="1"/>
        <rFont val="Arial"/>
      </rPr>
      <t>2</t>
    </r>
    <r>
      <rPr>
        <sz val="8"/>
        <color theme="1"/>
        <rFont val="Arial"/>
      </rPr>
      <t>)</t>
    </r>
  </si>
  <si>
    <r>
      <rPr>
        <sz val="11"/>
        <color theme="1"/>
        <rFont val="Calibri"/>
      </rPr>
      <t>CO</t>
    </r>
    <r>
      <rPr>
        <vertAlign val="subscript"/>
        <sz val="8"/>
        <color theme="1"/>
        <rFont val="Arial"/>
      </rPr>
      <t>2</t>
    </r>
    <r>
      <rPr>
        <sz val="8"/>
        <color theme="1"/>
        <rFont val="Arial"/>
      </rPr>
      <t xml:space="preserve"> Emission (metric tons CO</t>
    </r>
    <r>
      <rPr>
        <vertAlign val="subscript"/>
        <sz val="8"/>
        <color theme="1"/>
        <rFont val="Arial"/>
      </rPr>
      <t>2</t>
    </r>
    <r>
      <rPr>
        <sz val="8"/>
        <color theme="1"/>
        <rFont val="Arial"/>
      </rPr>
      <t>)</t>
    </r>
  </si>
  <si>
    <t>CEM/ECR</t>
  </si>
  <si>
    <r>
      <rPr>
        <sz val="11"/>
        <color theme="1"/>
        <rFont val="Calibri"/>
      </rPr>
      <t>CO</t>
    </r>
    <r>
      <rPr>
        <vertAlign val="subscript"/>
        <sz val="8"/>
        <color theme="1"/>
        <rFont val="Arial"/>
      </rPr>
      <t>2</t>
    </r>
    <r>
      <rPr>
        <sz val="8"/>
        <color theme="1"/>
        <rFont val="Arial"/>
      </rPr>
      <t xml:space="preserve"> Emission (metric tons CO</t>
    </r>
    <r>
      <rPr>
        <vertAlign val="subscript"/>
        <sz val="8"/>
        <color theme="1"/>
        <rFont val="Arial"/>
      </rPr>
      <t>2</t>
    </r>
    <r>
      <rPr>
        <sz val="8"/>
        <color theme="1"/>
        <rFont val="Arial"/>
      </rPr>
      <t>)</t>
    </r>
  </si>
  <si>
    <r>
      <rPr>
        <sz val="11"/>
        <color theme="1"/>
        <rFont val="Calibri"/>
      </rPr>
      <t>CO</t>
    </r>
    <r>
      <rPr>
        <vertAlign val="subscript"/>
        <sz val="8"/>
        <color theme="1"/>
        <rFont val="Arial"/>
      </rPr>
      <t>2</t>
    </r>
    <r>
      <rPr>
        <sz val="8"/>
        <color theme="1"/>
        <rFont val="Arial"/>
      </rPr>
      <t xml:space="preserve"> Emission (metric tons CO</t>
    </r>
    <r>
      <rPr>
        <vertAlign val="subscript"/>
        <sz val="8"/>
        <color theme="1"/>
        <rFont val="Arial"/>
      </rPr>
      <t>2</t>
    </r>
    <r>
      <rPr>
        <sz val="8"/>
        <color theme="1"/>
        <rFont val="Arial"/>
      </rPr>
      <t>)</t>
    </r>
  </si>
  <si>
    <t>Breeding Swine</t>
  </si>
  <si>
    <r>
      <rPr>
        <sz val="11"/>
        <color theme="1"/>
        <rFont val="Calibri"/>
      </rPr>
      <t>CO</t>
    </r>
    <r>
      <rPr>
        <vertAlign val="subscript"/>
        <sz val="8"/>
        <color theme="1"/>
        <rFont val="Arial"/>
      </rPr>
      <t>2</t>
    </r>
    <r>
      <rPr>
        <sz val="8"/>
        <color theme="1"/>
        <rFont val="Arial"/>
      </rPr>
      <t xml:space="preserve"> Emission (short tons CO</t>
    </r>
    <r>
      <rPr>
        <vertAlign val="subscript"/>
        <sz val="8"/>
        <color theme="1"/>
        <rFont val="Arial"/>
      </rPr>
      <t>2</t>
    </r>
    <r>
      <rPr>
        <sz val="8"/>
        <color theme="1"/>
        <rFont val="Arial"/>
      </rPr>
      <t>)</t>
    </r>
  </si>
  <si>
    <r>
      <rPr>
        <sz val="11"/>
        <color theme="1"/>
        <rFont val="Calibri"/>
      </rPr>
      <t>CO</t>
    </r>
    <r>
      <rPr>
        <vertAlign val="subscript"/>
        <sz val="8"/>
        <color theme="1"/>
        <rFont val="Arial"/>
      </rPr>
      <t>2</t>
    </r>
    <r>
      <rPr>
        <sz val="8"/>
        <color theme="1"/>
        <rFont val="Arial"/>
      </rPr>
      <t xml:space="preserve"> Emission (short tons CO</t>
    </r>
    <r>
      <rPr>
        <vertAlign val="subscript"/>
        <sz val="8"/>
        <color theme="1"/>
        <rFont val="Arial"/>
      </rPr>
      <t>2</t>
    </r>
    <r>
      <rPr>
        <sz val="8"/>
        <color theme="1"/>
        <rFont val="Arial"/>
      </rPr>
      <t>)</t>
    </r>
  </si>
  <si>
    <r>
      <rPr>
        <sz val="11"/>
        <color theme="1"/>
        <rFont val="Calibri"/>
      </rPr>
      <t>CO</t>
    </r>
    <r>
      <rPr>
        <vertAlign val="subscript"/>
        <sz val="8"/>
        <color theme="1"/>
        <rFont val="Arial"/>
      </rPr>
      <t>2</t>
    </r>
    <r>
      <rPr>
        <sz val="8"/>
        <color theme="1"/>
        <rFont val="Arial"/>
      </rPr>
      <t xml:space="preserve"> Emission (short tons CO</t>
    </r>
    <r>
      <rPr>
        <vertAlign val="subscript"/>
        <sz val="8"/>
        <color theme="1"/>
        <rFont val="Arial"/>
      </rPr>
      <t>2</t>
    </r>
    <r>
      <rPr>
        <sz val="8"/>
        <color theme="1"/>
        <rFont val="Arial"/>
      </rPr>
      <t>)</t>
    </r>
  </si>
  <si>
    <r>
      <rPr>
        <sz val="11"/>
        <color theme="1"/>
        <rFont val="Calibri"/>
      </rPr>
      <t>CO</t>
    </r>
    <r>
      <rPr>
        <vertAlign val="subscript"/>
        <sz val="8"/>
        <color theme="1"/>
        <rFont val="Arial"/>
      </rPr>
      <t>2</t>
    </r>
    <r>
      <rPr>
        <sz val="8"/>
        <color theme="1"/>
        <rFont val="Arial"/>
      </rPr>
      <t xml:space="preserve"> Emission (short tons CO</t>
    </r>
    <r>
      <rPr>
        <vertAlign val="subscript"/>
        <sz val="8"/>
        <color theme="1"/>
        <rFont val="Arial"/>
      </rPr>
      <t>2</t>
    </r>
    <r>
      <rPr>
        <sz val="8"/>
        <color theme="1"/>
        <rFont val="Arial"/>
      </rPr>
      <t>)</t>
    </r>
  </si>
  <si>
    <r>
      <rPr>
        <sz val="11"/>
        <color theme="1"/>
        <rFont val="Calibri"/>
      </rPr>
      <t>CO</t>
    </r>
    <r>
      <rPr>
        <vertAlign val="subscript"/>
        <sz val="8"/>
        <color theme="1"/>
        <rFont val="Arial"/>
      </rPr>
      <t>2</t>
    </r>
    <r>
      <rPr>
        <sz val="8"/>
        <color theme="1"/>
        <rFont val="Arial"/>
      </rPr>
      <t xml:space="preserve"> Emission CEM Readings (short tons CO</t>
    </r>
    <r>
      <rPr>
        <vertAlign val="subscript"/>
        <sz val="8"/>
        <color theme="1"/>
        <rFont val="Arial"/>
      </rPr>
      <t>2</t>
    </r>
    <r>
      <rPr>
        <sz val="8"/>
        <color theme="1"/>
        <rFont val="Arial"/>
      </rPr>
      <t>)</t>
    </r>
  </si>
  <si>
    <r>
      <rPr>
        <sz val="11"/>
        <color theme="1"/>
        <rFont val="Calibri"/>
      </rPr>
      <t>CH</t>
    </r>
    <r>
      <rPr>
        <vertAlign val="subscript"/>
        <sz val="8"/>
        <color theme="1"/>
        <rFont val="Arial"/>
      </rPr>
      <t>4</t>
    </r>
    <r>
      <rPr>
        <sz val="8"/>
        <color theme="1"/>
        <rFont val="Arial"/>
      </rPr>
      <t xml:space="preserve"> Emission Factor (kg/mmbtu)</t>
    </r>
  </si>
  <si>
    <r>
      <rPr>
        <sz val="11"/>
        <color theme="1"/>
        <rFont val="Calibri"/>
      </rPr>
      <t>CH</t>
    </r>
    <r>
      <rPr>
        <vertAlign val="subscript"/>
        <sz val="8"/>
        <color theme="1"/>
        <rFont val="Arial"/>
      </rPr>
      <t>4</t>
    </r>
    <r>
      <rPr>
        <sz val="8"/>
        <color theme="1"/>
        <rFont val="Arial"/>
      </rPr>
      <t xml:space="preserve"> Emission Factor (kg/mmbtu)</t>
    </r>
  </si>
  <si>
    <r>
      <rPr>
        <sz val="11"/>
        <color theme="1"/>
        <rFont val="Calibri"/>
      </rPr>
      <t>CH</t>
    </r>
    <r>
      <rPr>
        <vertAlign val="subscript"/>
        <sz val="8"/>
        <color theme="1"/>
        <rFont val="Arial"/>
      </rPr>
      <t>4</t>
    </r>
    <r>
      <rPr>
        <sz val="8"/>
        <color theme="1"/>
        <rFont val="Arial"/>
      </rPr>
      <t xml:space="preserve"> Emission Factor (kg/mmbtu)</t>
    </r>
  </si>
  <si>
    <r>
      <rPr>
        <sz val="11"/>
        <color theme="1"/>
        <rFont val="Calibri"/>
      </rPr>
      <t>CH</t>
    </r>
    <r>
      <rPr>
        <vertAlign val="subscript"/>
        <sz val="8"/>
        <color theme="1"/>
        <rFont val="Arial"/>
      </rPr>
      <t>4</t>
    </r>
    <r>
      <rPr>
        <sz val="8"/>
        <color theme="1"/>
        <rFont val="Arial"/>
      </rPr>
      <t xml:space="preserve"> Emission Factor (kg/mmbtu)</t>
    </r>
  </si>
  <si>
    <r>
      <rPr>
        <sz val="11"/>
        <color theme="1"/>
        <rFont val="Calibri"/>
      </rPr>
      <t>CH</t>
    </r>
    <r>
      <rPr>
        <vertAlign val="subscript"/>
        <sz val="8"/>
        <color theme="1"/>
        <rFont val="Arial"/>
      </rPr>
      <t>4</t>
    </r>
    <r>
      <rPr>
        <sz val="8"/>
        <color theme="1"/>
        <rFont val="Arial"/>
      </rPr>
      <t xml:space="preserve"> Emission Factor (kg/mmbtu)</t>
    </r>
  </si>
  <si>
    <r>
      <rPr>
        <sz val="11"/>
        <color theme="1"/>
        <rFont val="Calibri"/>
      </rPr>
      <t>CH</t>
    </r>
    <r>
      <rPr>
        <vertAlign val="subscript"/>
        <sz val="8"/>
        <color theme="1"/>
        <rFont val="Arial"/>
      </rPr>
      <t>4</t>
    </r>
    <r>
      <rPr>
        <sz val="8"/>
        <color theme="1"/>
        <rFont val="Arial"/>
      </rPr>
      <t xml:space="preserve"> Emissions (kg)</t>
    </r>
  </si>
  <si>
    <t>Market Under 60 lbs</t>
  </si>
  <si>
    <r>
      <rPr>
        <sz val="11"/>
        <color theme="1"/>
        <rFont val="Calibri"/>
      </rPr>
      <t>CH</t>
    </r>
    <r>
      <rPr>
        <vertAlign val="subscript"/>
        <sz val="8"/>
        <color theme="1"/>
        <rFont val="Arial"/>
      </rPr>
      <t>4</t>
    </r>
    <r>
      <rPr>
        <sz val="8"/>
        <color theme="1"/>
        <rFont val="Arial"/>
      </rPr>
      <t xml:space="preserve"> Emissions (kg)</t>
    </r>
  </si>
  <si>
    <r>
      <rPr>
        <sz val="11"/>
        <color theme="1"/>
        <rFont val="Calibri"/>
      </rPr>
      <t>CH</t>
    </r>
    <r>
      <rPr>
        <vertAlign val="subscript"/>
        <sz val="8"/>
        <color theme="1"/>
        <rFont val="Arial"/>
      </rPr>
      <t>4</t>
    </r>
    <r>
      <rPr>
        <sz val="8"/>
        <color theme="1"/>
        <rFont val="Arial"/>
      </rPr>
      <t xml:space="preserve"> Emissions (kg)</t>
    </r>
  </si>
  <si>
    <r>
      <rPr>
        <sz val="11"/>
        <color theme="1"/>
        <rFont val="Calibri"/>
      </rPr>
      <t>CH</t>
    </r>
    <r>
      <rPr>
        <vertAlign val="subscript"/>
        <sz val="8"/>
        <color theme="1"/>
        <rFont val="Arial"/>
      </rPr>
      <t>4</t>
    </r>
    <r>
      <rPr>
        <sz val="8"/>
        <color theme="1"/>
        <rFont val="Arial"/>
      </rPr>
      <t xml:space="preserve"> Emissions (kg)</t>
    </r>
  </si>
  <si>
    <r>
      <rPr>
        <sz val="11"/>
        <color theme="1"/>
        <rFont val="Calibri"/>
      </rPr>
      <t>CH</t>
    </r>
    <r>
      <rPr>
        <vertAlign val="subscript"/>
        <sz val="8"/>
        <color theme="1"/>
        <rFont val="Arial"/>
      </rPr>
      <t>4</t>
    </r>
    <r>
      <rPr>
        <sz val="8"/>
        <color theme="1"/>
        <rFont val="Arial"/>
      </rPr>
      <t xml:space="preserve"> Emissions (kg)</t>
    </r>
  </si>
  <si>
    <t>Market 60-119 lbs</t>
  </si>
  <si>
    <r>
      <rPr>
        <sz val="11"/>
        <color theme="1"/>
        <rFont val="Calibri"/>
      </rPr>
      <t>CH</t>
    </r>
    <r>
      <rPr>
        <vertAlign val="subscript"/>
        <sz val="8"/>
        <color theme="1"/>
        <rFont val="Arial"/>
      </rPr>
      <t>4</t>
    </r>
    <r>
      <rPr>
        <sz val="8"/>
        <color theme="1"/>
        <rFont val="Arial"/>
      </rPr>
      <t xml:space="preserve"> Emissions (short tons)</t>
    </r>
  </si>
  <si>
    <r>
      <rPr>
        <sz val="11"/>
        <color theme="1"/>
        <rFont val="Calibri"/>
      </rPr>
      <t>CH</t>
    </r>
    <r>
      <rPr>
        <vertAlign val="subscript"/>
        <sz val="8"/>
        <color theme="1"/>
        <rFont val="Arial"/>
      </rPr>
      <t>4</t>
    </r>
    <r>
      <rPr>
        <sz val="8"/>
        <color theme="1"/>
        <rFont val="Arial"/>
      </rPr>
      <t xml:space="preserve"> Emissions (short tons)</t>
    </r>
  </si>
  <si>
    <r>
      <rPr>
        <sz val="11"/>
        <color theme="1"/>
        <rFont val="Calibri"/>
      </rPr>
      <t>CH</t>
    </r>
    <r>
      <rPr>
        <vertAlign val="subscript"/>
        <sz val="8"/>
        <color theme="1"/>
        <rFont val="Arial"/>
      </rPr>
      <t>4</t>
    </r>
    <r>
      <rPr>
        <sz val="8"/>
        <color theme="1"/>
        <rFont val="Arial"/>
      </rPr>
      <t xml:space="preserve"> Emissions (short tons)</t>
    </r>
  </si>
  <si>
    <t>Market 120-179 lbs</t>
  </si>
  <si>
    <r>
      <rPr>
        <sz val="11"/>
        <color theme="1"/>
        <rFont val="Calibri"/>
      </rPr>
      <t>CH</t>
    </r>
    <r>
      <rPr>
        <vertAlign val="subscript"/>
        <sz val="8"/>
        <color theme="1"/>
        <rFont val="Arial"/>
      </rPr>
      <t>4</t>
    </r>
    <r>
      <rPr>
        <sz val="8"/>
        <color theme="1"/>
        <rFont val="Arial"/>
      </rPr>
      <t xml:space="preserve"> Emissions (short tons)</t>
    </r>
  </si>
  <si>
    <r>
      <rPr>
        <sz val="11"/>
        <color theme="1"/>
        <rFont val="Calibri"/>
      </rPr>
      <t>CH</t>
    </r>
    <r>
      <rPr>
        <vertAlign val="subscript"/>
        <sz val="8"/>
        <color theme="1"/>
        <rFont val="Arial"/>
      </rPr>
      <t>4</t>
    </r>
    <r>
      <rPr>
        <sz val="8"/>
        <color theme="1"/>
        <rFont val="Arial"/>
      </rPr>
      <t xml:space="preserve"> Emissions (short tons)</t>
    </r>
  </si>
  <si>
    <t>Market over 180 lbs</t>
  </si>
  <si>
    <r>
      <rPr>
        <sz val="11"/>
        <color theme="1"/>
        <rFont val="Calibri"/>
      </rPr>
      <t>CH</t>
    </r>
    <r>
      <rPr>
        <vertAlign val="subscript"/>
        <sz val="8"/>
        <color theme="1"/>
        <rFont val="Arial"/>
      </rPr>
      <t>4</t>
    </r>
    <r>
      <rPr>
        <sz val="8"/>
        <color theme="1"/>
        <rFont val="Arial"/>
      </rPr>
      <t xml:space="preserve"> Emissions (short tons)</t>
    </r>
  </si>
  <si>
    <r>
      <rPr>
        <sz val="11"/>
        <color theme="1"/>
        <rFont val="Calibri"/>
      </rPr>
      <t>CH</t>
    </r>
    <r>
      <rPr>
        <vertAlign val="subscript"/>
        <sz val="8"/>
        <color theme="1"/>
        <rFont val="Arial"/>
      </rPr>
      <t>4</t>
    </r>
    <r>
      <rPr>
        <sz val="8"/>
        <color theme="1"/>
        <rFont val="Arial"/>
      </rPr>
      <t xml:space="preserve"> Emissions (short tons)</t>
    </r>
  </si>
  <si>
    <t>Poultry</t>
  </si>
  <si>
    <r>
      <rPr>
        <sz val="11"/>
        <color theme="1"/>
        <rFont val="Calibri"/>
      </rPr>
      <t>CH</t>
    </r>
    <r>
      <rPr>
        <vertAlign val="subscript"/>
        <sz val="8"/>
        <color theme="1"/>
        <rFont val="Arial"/>
      </rPr>
      <t>4</t>
    </r>
    <r>
      <rPr>
        <sz val="8"/>
        <color theme="1"/>
        <rFont val="Arial"/>
      </rPr>
      <t xml:space="preserve"> Emissions (short tons)</t>
    </r>
  </si>
  <si>
    <t>Layers</t>
  </si>
  <si>
    <r>
      <rPr>
        <sz val="11"/>
        <color theme="1"/>
        <rFont val="Calibri"/>
      </rPr>
      <t>CH</t>
    </r>
    <r>
      <rPr>
        <vertAlign val="subscript"/>
        <sz val="8"/>
        <color theme="1"/>
        <rFont val="Arial"/>
      </rPr>
      <t>4</t>
    </r>
    <r>
      <rPr>
        <sz val="8"/>
        <color theme="1"/>
        <rFont val="Arial"/>
      </rPr>
      <t xml:space="preserve"> Emissions (short tons)</t>
    </r>
  </si>
  <si>
    <r>
      <rPr>
        <sz val="11"/>
        <color theme="1"/>
        <rFont val="Calibri"/>
      </rPr>
      <t>CH</t>
    </r>
    <r>
      <rPr>
        <sz val="8"/>
        <color theme="1"/>
        <rFont val="Arial"/>
      </rPr>
      <t>4 Emissions (short tons CO2e)</t>
    </r>
  </si>
  <si>
    <t>Hens &gt; 1 yr</t>
  </si>
  <si>
    <r>
      <rPr>
        <sz val="11"/>
        <color theme="1"/>
        <rFont val="Calibri"/>
      </rPr>
      <t>N</t>
    </r>
    <r>
      <rPr>
        <vertAlign val="subscript"/>
        <sz val="8"/>
        <color theme="1"/>
        <rFont val="Arial"/>
      </rPr>
      <t>2</t>
    </r>
    <r>
      <rPr>
        <sz val="8"/>
        <color theme="1"/>
        <rFont val="Arial"/>
      </rPr>
      <t>O Emission Factor (kg/mmbtu)</t>
    </r>
  </si>
  <si>
    <r>
      <rPr>
        <sz val="11"/>
        <color theme="1"/>
        <rFont val="Calibri"/>
      </rPr>
      <t>N</t>
    </r>
    <r>
      <rPr>
        <vertAlign val="subscript"/>
        <sz val="8"/>
        <color theme="1"/>
        <rFont val="Arial"/>
      </rPr>
      <t>2</t>
    </r>
    <r>
      <rPr>
        <sz val="8"/>
        <color theme="1"/>
        <rFont val="Arial"/>
      </rPr>
      <t>O Emission Factor (kg/mmbtu)</t>
    </r>
  </si>
  <si>
    <r>
      <rPr>
        <sz val="11"/>
        <color theme="1"/>
        <rFont val="Calibri"/>
      </rPr>
      <t>N</t>
    </r>
    <r>
      <rPr>
        <vertAlign val="subscript"/>
        <sz val="8"/>
        <color theme="1"/>
        <rFont val="Arial"/>
      </rPr>
      <t>2</t>
    </r>
    <r>
      <rPr>
        <sz val="8"/>
        <color theme="1"/>
        <rFont val="Arial"/>
      </rPr>
      <t>O Emission Factor (kg/mmbtu)</t>
    </r>
  </si>
  <si>
    <r>
      <rPr>
        <sz val="11"/>
        <color theme="1"/>
        <rFont val="Calibri"/>
      </rPr>
      <t>N</t>
    </r>
    <r>
      <rPr>
        <vertAlign val="subscript"/>
        <sz val="8"/>
        <color theme="1"/>
        <rFont val="Arial"/>
      </rPr>
      <t>2</t>
    </r>
    <r>
      <rPr>
        <sz val="8"/>
        <color theme="1"/>
        <rFont val="Arial"/>
      </rPr>
      <t>O Emission Factor (kg/mmbtu)</t>
    </r>
  </si>
  <si>
    <r>
      <rPr>
        <sz val="11"/>
        <color theme="1"/>
        <rFont val="Calibri"/>
      </rPr>
      <t>N</t>
    </r>
    <r>
      <rPr>
        <vertAlign val="subscript"/>
        <sz val="8"/>
        <color theme="1"/>
        <rFont val="Arial"/>
      </rPr>
      <t>2</t>
    </r>
    <r>
      <rPr>
        <sz val="8"/>
        <color theme="1"/>
        <rFont val="Arial"/>
      </rPr>
      <t>O Emission Factor (kg/mmbtu)</t>
    </r>
  </si>
  <si>
    <r>
      <rPr>
        <sz val="11"/>
        <color theme="1"/>
        <rFont val="Calibri"/>
      </rPr>
      <t>N</t>
    </r>
    <r>
      <rPr>
        <vertAlign val="subscript"/>
        <sz val="8"/>
        <color theme="1"/>
        <rFont val="Arial"/>
      </rPr>
      <t>2</t>
    </r>
    <r>
      <rPr>
        <sz val="8"/>
        <color theme="1"/>
        <rFont val="Arial"/>
      </rPr>
      <t>O Emissions (kg)</t>
    </r>
  </si>
  <si>
    <r>
      <rPr>
        <sz val="11"/>
        <color theme="1"/>
        <rFont val="Calibri"/>
      </rPr>
      <t>N</t>
    </r>
    <r>
      <rPr>
        <vertAlign val="subscript"/>
        <sz val="8"/>
        <color theme="1"/>
        <rFont val="Arial"/>
      </rPr>
      <t>2</t>
    </r>
    <r>
      <rPr>
        <sz val="8"/>
        <color theme="1"/>
        <rFont val="Arial"/>
      </rPr>
      <t>O Emissions (kg)</t>
    </r>
  </si>
  <si>
    <r>
      <rPr>
        <sz val="11"/>
        <color theme="1"/>
        <rFont val="Calibri"/>
      </rPr>
      <t>N</t>
    </r>
    <r>
      <rPr>
        <vertAlign val="subscript"/>
        <sz val="8"/>
        <color theme="1"/>
        <rFont val="Arial"/>
      </rPr>
      <t>2</t>
    </r>
    <r>
      <rPr>
        <sz val="8"/>
        <color theme="1"/>
        <rFont val="Arial"/>
      </rPr>
      <t>O Emissions (kg)</t>
    </r>
  </si>
  <si>
    <r>
      <rPr>
        <sz val="11"/>
        <color theme="1"/>
        <rFont val="Calibri"/>
      </rPr>
      <t>N</t>
    </r>
    <r>
      <rPr>
        <vertAlign val="subscript"/>
        <sz val="8"/>
        <color theme="1"/>
        <rFont val="Arial"/>
      </rPr>
      <t>2</t>
    </r>
    <r>
      <rPr>
        <sz val="8"/>
        <color theme="1"/>
        <rFont val="Arial"/>
      </rPr>
      <t>O Emissions (kg)</t>
    </r>
  </si>
  <si>
    <r>
      <rPr>
        <sz val="11"/>
        <color theme="1"/>
        <rFont val="Calibri"/>
      </rPr>
      <t>N</t>
    </r>
    <r>
      <rPr>
        <vertAlign val="subscript"/>
        <sz val="8"/>
        <color theme="1"/>
        <rFont val="Arial"/>
      </rPr>
      <t>2</t>
    </r>
    <r>
      <rPr>
        <sz val="8"/>
        <color theme="1"/>
        <rFont val="Arial"/>
      </rPr>
      <t>O Emissions (kg)</t>
    </r>
  </si>
  <si>
    <r>
      <rPr>
        <sz val="11"/>
        <color theme="1"/>
        <rFont val="Calibri"/>
      </rPr>
      <t>N</t>
    </r>
    <r>
      <rPr>
        <vertAlign val="subscript"/>
        <sz val="8"/>
        <color theme="1"/>
        <rFont val="Arial"/>
      </rPr>
      <t>2</t>
    </r>
    <r>
      <rPr>
        <sz val="8"/>
        <color theme="1"/>
        <rFont val="Arial"/>
      </rPr>
      <t>O Emissions (short tons)</t>
    </r>
  </si>
  <si>
    <t>Pullets</t>
  </si>
  <si>
    <r>
      <rPr>
        <sz val="11"/>
        <color theme="1"/>
        <rFont val="Calibri"/>
      </rPr>
      <t>N</t>
    </r>
    <r>
      <rPr>
        <vertAlign val="subscript"/>
        <sz val="8"/>
        <color theme="1"/>
        <rFont val="Arial"/>
      </rPr>
      <t>2</t>
    </r>
    <r>
      <rPr>
        <sz val="8"/>
        <color theme="1"/>
        <rFont val="Arial"/>
      </rPr>
      <t>O Emissions (short tons)</t>
    </r>
  </si>
  <si>
    <r>
      <rPr>
        <sz val="11"/>
        <color theme="1"/>
        <rFont val="Calibri"/>
      </rPr>
      <t>N</t>
    </r>
    <r>
      <rPr>
        <vertAlign val="subscript"/>
        <sz val="8"/>
        <color theme="1"/>
        <rFont val="Arial"/>
      </rPr>
      <t>2</t>
    </r>
    <r>
      <rPr>
        <sz val="8"/>
        <color theme="1"/>
        <rFont val="Arial"/>
      </rPr>
      <t>O Emissions (short tons)</t>
    </r>
  </si>
  <si>
    <t>Chickens</t>
  </si>
  <si>
    <r>
      <rPr>
        <sz val="11"/>
        <color theme="1"/>
        <rFont val="Calibri"/>
      </rPr>
      <t>N</t>
    </r>
    <r>
      <rPr>
        <vertAlign val="subscript"/>
        <sz val="8"/>
        <color theme="1"/>
        <rFont val="Arial"/>
      </rPr>
      <t>2</t>
    </r>
    <r>
      <rPr>
        <sz val="8"/>
        <color theme="1"/>
        <rFont val="Arial"/>
      </rPr>
      <t>O Emissions (short tons)</t>
    </r>
  </si>
  <si>
    <r>
      <rPr>
        <sz val="11"/>
        <color theme="1"/>
        <rFont val="Calibri"/>
      </rPr>
      <t>N</t>
    </r>
    <r>
      <rPr>
        <vertAlign val="subscript"/>
        <sz val="8"/>
        <color theme="1"/>
        <rFont val="Arial"/>
      </rPr>
      <t>2</t>
    </r>
    <r>
      <rPr>
        <sz val="8"/>
        <color theme="1"/>
        <rFont val="Arial"/>
      </rPr>
      <t>O Emissions (short tons)</t>
    </r>
  </si>
  <si>
    <t>Broilers</t>
  </si>
  <si>
    <r>
      <rPr>
        <sz val="11"/>
        <color theme="1"/>
        <rFont val="Calibri"/>
      </rPr>
      <t>N</t>
    </r>
    <r>
      <rPr>
        <vertAlign val="subscript"/>
        <sz val="8"/>
        <color theme="1"/>
        <rFont val="Arial"/>
      </rPr>
      <t>2</t>
    </r>
    <r>
      <rPr>
        <sz val="8"/>
        <color theme="1"/>
        <rFont val="Arial"/>
      </rPr>
      <t>O Emissions (short tons)</t>
    </r>
  </si>
  <si>
    <r>
      <rPr>
        <sz val="11"/>
        <color theme="1"/>
        <rFont val="Calibri"/>
      </rPr>
      <t>N</t>
    </r>
    <r>
      <rPr>
        <vertAlign val="subscript"/>
        <sz val="8"/>
        <color theme="1"/>
        <rFont val="Arial"/>
      </rPr>
      <t>2</t>
    </r>
    <r>
      <rPr>
        <sz val="8"/>
        <color theme="1"/>
        <rFont val="Arial"/>
      </rPr>
      <t>O Emissions (short tons)</t>
    </r>
  </si>
  <si>
    <t>Turkeys</t>
  </si>
  <si>
    <r>
      <rPr>
        <sz val="11"/>
        <color theme="1"/>
        <rFont val="Calibri"/>
      </rPr>
      <t>N</t>
    </r>
    <r>
      <rPr>
        <vertAlign val="subscript"/>
        <sz val="8"/>
        <color theme="1"/>
        <rFont val="Arial"/>
      </rPr>
      <t>2</t>
    </r>
    <r>
      <rPr>
        <sz val="8"/>
        <color theme="1"/>
        <rFont val="Arial"/>
      </rPr>
      <t>O Emissions (short tons)</t>
    </r>
  </si>
  <si>
    <r>
      <rPr>
        <sz val="11"/>
        <color theme="1"/>
        <rFont val="Calibri"/>
      </rPr>
      <t>N</t>
    </r>
    <r>
      <rPr>
        <vertAlign val="subscript"/>
        <sz val="8"/>
        <color theme="1"/>
        <rFont val="Arial"/>
      </rPr>
      <t>2</t>
    </r>
    <r>
      <rPr>
        <sz val="8"/>
        <color theme="1"/>
        <rFont val="Arial"/>
      </rPr>
      <t>O Emissions (short tons)</t>
    </r>
  </si>
  <si>
    <r>
      <rPr>
        <sz val="11"/>
        <color theme="1"/>
        <rFont val="Calibri"/>
      </rPr>
      <t>N</t>
    </r>
    <r>
      <rPr>
        <sz val="8"/>
        <color theme="1"/>
        <rFont val="Arial"/>
      </rPr>
      <t>2O Emissions (short tons CO2e)</t>
    </r>
  </si>
  <si>
    <t>Sheep on Feed</t>
  </si>
  <si>
    <t>Sheep Not on Feed</t>
  </si>
  <si>
    <t>Landfill Emissions</t>
  </si>
  <si>
    <t>Uncontrolled Landfills</t>
  </si>
  <si>
    <t>Flared Landfills</t>
  </si>
  <si>
    <t>LFTGE Landfills</t>
  </si>
  <si>
    <t>County</t>
  </si>
  <si>
    <t>Facility Name</t>
  </si>
  <si>
    <t>TOTAL Landfill Capacity (Million tons)</t>
  </si>
  <si>
    <t>Correct Capacity (MegaGrams)</t>
  </si>
  <si>
    <t>Average Acceptance / Yearly Disposal (tons/yr)</t>
  </si>
  <si>
    <t>Average Acceptance / Yearly Disposal ( Mg/yr)</t>
  </si>
  <si>
    <t>Year Opened</t>
  </si>
  <si>
    <t>Year Closed</t>
  </si>
  <si>
    <r>
      <rPr>
        <b/>
        <sz val="11"/>
        <color theme="1"/>
        <rFont val="Calibri"/>
      </rPr>
      <t>CO</t>
    </r>
    <r>
      <rPr>
        <b/>
        <vertAlign val="subscript"/>
        <sz val="11"/>
        <color theme="1"/>
        <rFont val="Calibri"/>
      </rPr>
      <t>2</t>
    </r>
    <r>
      <rPr>
        <b/>
        <sz val="11"/>
        <color theme="1"/>
        <rFont val="Calibri"/>
      </rPr>
      <t xml:space="preserve"> Generation (short tons) LandGEM 3.0</t>
    </r>
  </si>
  <si>
    <r>
      <rPr>
        <b/>
        <sz val="11"/>
        <color theme="1"/>
        <rFont val="Calibri"/>
      </rPr>
      <t>CH</t>
    </r>
    <r>
      <rPr>
        <b/>
        <vertAlign val="subscript"/>
        <sz val="11"/>
        <color theme="1"/>
        <rFont val="Calibri"/>
      </rPr>
      <t>4</t>
    </r>
    <r>
      <rPr>
        <b/>
        <sz val="11"/>
        <color theme="1"/>
        <rFont val="Calibri"/>
      </rPr>
      <t xml:space="preserve"> Generation (short tons/yr) LandGEM 3.0</t>
    </r>
  </si>
  <si>
    <r>
      <rPr>
        <b/>
        <sz val="11"/>
        <color theme="1"/>
        <rFont val="Calibri"/>
      </rPr>
      <t xml:space="preserve"> CH</t>
    </r>
    <r>
      <rPr>
        <b/>
        <vertAlign val="subscript"/>
        <sz val="11"/>
        <color theme="1"/>
        <rFont val="Calibri"/>
      </rPr>
      <t>4</t>
    </r>
    <r>
      <rPr>
        <b/>
        <sz val="11"/>
        <color theme="1"/>
        <rFont val="Calibri"/>
      </rPr>
      <t xml:space="preserve"> Collection Efficiency (%)</t>
    </r>
  </si>
  <si>
    <r>
      <rPr>
        <b/>
        <sz val="11"/>
        <color theme="1"/>
        <rFont val="Calibri"/>
      </rPr>
      <t>CH</t>
    </r>
    <r>
      <rPr>
        <vertAlign val="subscript"/>
        <sz val="11"/>
        <color theme="1"/>
        <rFont val="Calibri"/>
      </rPr>
      <t>4</t>
    </r>
    <r>
      <rPr>
        <b/>
        <sz val="11"/>
        <color theme="1"/>
        <rFont val="Calibri"/>
      </rPr>
      <t xml:space="preserve"> Collected (tons)</t>
    </r>
  </si>
  <si>
    <t>Flare Control Efficeincy (%)</t>
  </si>
  <si>
    <r>
      <rPr>
        <b/>
        <sz val="11"/>
        <color theme="1"/>
        <rFont val="Calibri"/>
      </rPr>
      <t>Amount of CH</t>
    </r>
    <r>
      <rPr>
        <b/>
        <vertAlign val="subscript"/>
        <sz val="11"/>
        <color theme="1"/>
        <rFont val="Calibri"/>
      </rPr>
      <t>4</t>
    </r>
    <r>
      <rPr>
        <b/>
        <sz val="11"/>
        <color theme="1"/>
        <rFont val="Calibri"/>
      </rPr>
      <t xml:space="preserve"> Flared ,tons</t>
    </r>
  </si>
  <si>
    <r>
      <rPr>
        <b/>
        <sz val="11"/>
        <color theme="1"/>
        <rFont val="Calibri"/>
      </rPr>
      <t>CO</t>
    </r>
    <r>
      <rPr>
        <b/>
        <vertAlign val="subscript"/>
        <sz val="11"/>
        <color theme="1"/>
        <rFont val="Calibri"/>
      </rPr>
      <t>2</t>
    </r>
    <r>
      <rPr>
        <b/>
        <sz val="11"/>
        <color theme="1"/>
        <rFont val="Calibri"/>
      </rPr>
      <t xml:space="preserve"> Generated from CH4 Combustion, tons</t>
    </r>
  </si>
  <si>
    <r>
      <rPr>
        <b/>
        <sz val="11"/>
        <color theme="1"/>
        <rFont val="Calibri"/>
      </rPr>
      <t>Uncombusted CH</t>
    </r>
    <r>
      <rPr>
        <b/>
        <vertAlign val="subscript"/>
        <sz val="11"/>
        <color theme="1"/>
        <rFont val="Calibri"/>
      </rPr>
      <t xml:space="preserve">4 </t>
    </r>
    <r>
      <rPr>
        <b/>
        <sz val="11"/>
        <color theme="1"/>
        <rFont val="Calibri"/>
      </rPr>
      <t xml:space="preserve"> (Flare Emission, tons)  </t>
    </r>
  </si>
  <si>
    <r>
      <rPr>
        <b/>
        <sz val="11"/>
        <color theme="1"/>
        <rFont val="Calibri"/>
      </rPr>
      <t>Uncollected Landfill  CH</t>
    </r>
    <r>
      <rPr>
        <b/>
        <vertAlign val="subscript"/>
        <sz val="11"/>
        <color theme="1"/>
        <rFont val="Calibri"/>
      </rPr>
      <t>4</t>
    </r>
  </si>
  <si>
    <t>Surface Oxidation %</t>
  </si>
  <si>
    <r>
      <rPr>
        <b/>
        <sz val="11"/>
        <color theme="1"/>
        <rFont val="Calibri"/>
      </rPr>
      <t>CH</t>
    </r>
    <r>
      <rPr>
        <b/>
        <vertAlign val="subscript"/>
        <sz val="11"/>
        <color theme="1"/>
        <rFont val="Calibri"/>
      </rPr>
      <t>4</t>
    </r>
    <r>
      <rPr>
        <b/>
        <sz val="11"/>
        <color theme="1"/>
        <rFont val="Calibri"/>
      </rPr>
      <t xml:space="preserve">  Removed By Surface Oxidation (tons)</t>
    </r>
  </si>
  <si>
    <r>
      <rPr>
        <b/>
        <sz val="11"/>
        <color theme="1"/>
        <rFont val="Calibri"/>
      </rPr>
      <t>Fugitive Landfill CH</t>
    </r>
    <r>
      <rPr>
        <b/>
        <vertAlign val="subscript"/>
        <sz val="11"/>
        <color theme="1"/>
        <rFont val="Calibri"/>
      </rPr>
      <t>4</t>
    </r>
    <r>
      <rPr>
        <b/>
        <sz val="11"/>
        <color theme="1"/>
        <rFont val="Calibri"/>
      </rPr>
      <t xml:space="preserve"> Emission (tons)</t>
    </r>
  </si>
  <si>
    <t>Total CH4 Emissions (tons)</t>
  </si>
  <si>
    <t>Tolat GHG Emissions (tons)</t>
  </si>
  <si>
    <r>
      <rPr>
        <sz val="11"/>
        <color theme="1"/>
        <rFont val="Calibri"/>
      </rPr>
      <t>Manure Management N</t>
    </r>
    <r>
      <rPr>
        <vertAlign val="subscript"/>
        <sz val="12"/>
        <color theme="1"/>
        <rFont val="Comic Sans MS"/>
      </rPr>
      <t>2</t>
    </r>
    <r>
      <rPr>
        <sz val="12"/>
        <color theme="1"/>
        <rFont val="Comic Sans MS"/>
      </rPr>
      <t>0 Emissions</t>
    </r>
  </si>
  <si>
    <t>Allegany</t>
  </si>
  <si>
    <t>Mountainview Municipal Landfill</t>
  </si>
  <si>
    <t>Total K-Nitrogen Excreted
(kg)</t>
  </si>
  <si>
    <t>Unvolatilized N from Manure in Anaerobic Lagoons and Liquid Systems
(kg)</t>
  </si>
  <si>
    <t>Unvolatilized N from Manure in Solid Storage, Drylot &amp; Other Systems
(kg)</t>
  </si>
  <si>
    <r>
      <rPr>
        <b/>
        <sz val="11"/>
        <color theme="1"/>
        <rFont val="Calibri"/>
      </rPr>
      <t>Emissions from Anaerobic Lagoons and Liquid Systems
(kg N</t>
    </r>
    <r>
      <rPr>
        <b/>
        <vertAlign val="subscript"/>
        <sz val="11"/>
        <color theme="1"/>
        <rFont val="Calibri"/>
      </rPr>
      <t>2</t>
    </r>
    <r>
      <rPr>
        <b/>
        <sz val="11"/>
        <color theme="1"/>
        <rFont val="Calibri"/>
      </rPr>
      <t>O-N)</t>
    </r>
  </si>
  <si>
    <r>
      <rPr>
        <b/>
        <sz val="11"/>
        <color theme="1"/>
        <rFont val="Calibri"/>
      </rPr>
      <t>Emissions from Solid Storage, Drylot, &amp; Other Systems
(kg N</t>
    </r>
    <r>
      <rPr>
        <b/>
        <vertAlign val="subscript"/>
        <sz val="11"/>
        <color theme="1"/>
        <rFont val="Calibri"/>
      </rPr>
      <t>2</t>
    </r>
    <r>
      <rPr>
        <b/>
        <sz val="11"/>
        <color theme="1"/>
        <rFont val="Calibri"/>
      </rPr>
      <t>O-N)</t>
    </r>
  </si>
  <si>
    <r>
      <rPr>
        <b/>
        <sz val="11"/>
        <color theme="1"/>
        <rFont val="Calibri"/>
      </rPr>
      <t>Total N</t>
    </r>
    <r>
      <rPr>
        <b/>
        <vertAlign val="subscript"/>
        <sz val="7"/>
        <color theme="1"/>
        <rFont val="Arial"/>
      </rPr>
      <t>2</t>
    </r>
    <r>
      <rPr>
        <b/>
        <sz val="7"/>
        <color theme="1"/>
        <rFont val="Arial"/>
      </rPr>
      <t>O Emissions
(kg N</t>
    </r>
    <r>
      <rPr>
        <b/>
        <vertAlign val="subscript"/>
        <sz val="7"/>
        <color theme="1"/>
        <rFont val="Arial"/>
      </rPr>
      <t>2</t>
    </r>
    <r>
      <rPr>
        <b/>
        <sz val="7"/>
        <color theme="1"/>
        <rFont val="Arial"/>
      </rPr>
      <t>O)</t>
    </r>
  </si>
  <si>
    <r>
      <rPr>
        <b/>
        <sz val="11"/>
        <color theme="1"/>
        <rFont val="Calibri"/>
      </rPr>
      <t>Emissions
(MMTCO</t>
    </r>
    <r>
      <rPr>
        <b/>
        <vertAlign val="subscript"/>
        <sz val="7"/>
        <color theme="1"/>
        <rFont val="Arial"/>
      </rPr>
      <t>2</t>
    </r>
    <r>
      <rPr>
        <b/>
        <sz val="7"/>
        <color theme="1"/>
        <rFont val="Arial"/>
      </rPr>
      <t>E)</t>
    </r>
  </si>
  <si>
    <t>Dairy</t>
  </si>
  <si>
    <t>Maryland Wastewater Emissions Summary</t>
  </si>
  <si>
    <t>Vale Summit</t>
  </si>
  <si>
    <t>Maryland Municipal Wastewater Methane Emissions</t>
  </si>
  <si>
    <t xml:space="preserve"> </t>
  </si>
  <si>
    <r>
      <rPr>
        <b/>
        <sz val="11"/>
        <color theme="1"/>
        <rFont val="Arial Narrow"/>
      </rPr>
      <t>Per Capita BOD</t>
    </r>
    <r>
      <rPr>
        <b/>
        <vertAlign val="subscript"/>
        <sz val="11"/>
        <color theme="1"/>
        <rFont val="Arial Narrow"/>
      </rPr>
      <t xml:space="preserve">5
</t>
    </r>
    <r>
      <rPr>
        <b/>
        <sz val="11"/>
        <color theme="1"/>
        <rFont val="Arial Narrow"/>
      </rPr>
      <t>(kg/day)</t>
    </r>
  </si>
  <si>
    <t>Anne Arundel</t>
  </si>
  <si>
    <t>Annapolis</t>
  </si>
  <si>
    <t>Days per Year
(days)</t>
  </si>
  <si>
    <t>Unit Conversion
(metric tons/kg)</t>
  </si>
  <si>
    <r>
      <rPr>
        <b/>
        <sz val="11"/>
        <color theme="1"/>
        <rFont val="Arial Narrow"/>
      </rPr>
      <t>Emission Factor
(Gg CH</t>
    </r>
    <r>
      <rPr>
        <b/>
        <vertAlign val="subscript"/>
        <sz val="11"/>
        <color theme="1"/>
        <rFont val="Arial Narrow"/>
      </rPr>
      <t>4</t>
    </r>
    <r>
      <rPr>
        <b/>
        <sz val="11"/>
        <color theme="1"/>
        <rFont val="Arial Narrow"/>
      </rPr>
      <t>/Gg BOD</t>
    </r>
    <r>
      <rPr>
        <b/>
        <vertAlign val="subscript"/>
        <sz val="11"/>
        <color theme="1"/>
        <rFont val="Arial Narrow"/>
      </rPr>
      <t>5</t>
    </r>
    <r>
      <rPr>
        <b/>
        <sz val="11"/>
        <color theme="1"/>
        <rFont val="Arial Narrow"/>
      </rPr>
      <t>)</t>
    </r>
  </si>
  <si>
    <r>
      <rPr>
        <b/>
        <sz val="11"/>
        <color theme="1"/>
        <rFont val="Arial Narrow"/>
      </rPr>
      <t>WW BOD</t>
    </r>
    <r>
      <rPr>
        <b/>
        <vertAlign val="subscript"/>
        <sz val="11"/>
        <color theme="1"/>
        <rFont val="Arial Narrow"/>
      </rPr>
      <t>5</t>
    </r>
    <r>
      <rPr>
        <b/>
        <sz val="11"/>
        <color theme="1"/>
        <rFont val="Arial Narrow"/>
      </rPr>
      <t xml:space="preserve"> anaerobically digested
(percent)</t>
    </r>
  </si>
  <si>
    <r>
      <rPr>
        <b/>
        <sz val="11"/>
        <color theme="1"/>
        <rFont val="Arial Narrow"/>
      </rPr>
      <t>Emissions
(metric tons CH</t>
    </r>
    <r>
      <rPr>
        <b/>
        <vertAlign val="subscript"/>
        <sz val="11"/>
        <color theme="1"/>
        <rFont val="Arial Narrow"/>
      </rPr>
      <t>4</t>
    </r>
    <r>
      <rPr>
        <b/>
        <sz val="11"/>
        <color theme="1"/>
        <rFont val="Arial Narrow"/>
      </rPr>
      <t>)</t>
    </r>
  </si>
  <si>
    <r>
      <rPr>
        <b/>
        <sz val="11"/>
        <color theme="1"/>
        <rFont val="Arial Narrow"/>
      </rPr>
      <t>CH</t>
    </r>
    <r>
      <rPr>
        <b/>
        <vertAlign val="subscript"/>
        <sz val="11"/>
        <color theme="1"/>
        <rFont val="Arial Narrow"/>
      </rPr>
      <t xml:space="preserve">4 </t>
    </r>
    <r>
      <rPr>
        <b/>
        <sz val="11"/>
        <color theme="1"/>
        <rFont val="Arial Narrow"/>
      </rPr>
      <t>GWP
(CO</t>
    </r>
    <r>
      <rPr>
        <b/>
        <vertAlign val="subscript"/>
        <sz val="11"/>
        <color theme="1"/>
        <rFont val="Arial Narrow"/>
      </rPr>
      <t>2</t>
    </r>
    <r>
      <rPr>
        <b/>
        <sz val="11"/>
        <color theme="1"/>
        <rFont val="Arial Narrow"/>
      </rPr>
      <t xml:space="preserve"> Eq.)</t>
    </r>
  </si>
  <si>
    <t>Unit Conversion
(MMT/MT)</t>
  </si>
  <si>
    <r>
      <rPr>
        <b/>
        <sz val="11"/>
        <color theme="1"/>
        <rFont val="Arial Narrow"/>
      </rPr>
      <t>C/CO</t>
    </r>
    <r>
      <rPr>
        <b/>
        <vertAlign val="subscript"/>
        <sz val="11"/>
        <color theme="1"/>
        <rFont val="Arial Narrow"/>
      </rPr>
      <t>2</t>
    </r>
  </si>
  <si>
    <r>
      <rPr>
        <b/>
        <sz val="11"/>
        <color theme="1"/>
        <rFont val="Arial Narrow"/>
      </rPr>
      <t>Emissions
(MMTCO</t>
    </r>
    <r>
      <rPr>
        <b/>
        <vertAlign val="subscript"/>
        <sz val="11"/>
        <color theme="1"/>
        <rFont val="Arial Narrow"/>
      </rPr>
      <t>2</t>
    </r>
    <r>
      <rPr>
        <b/>
        <sz val="11"/>
        <color theme="1"/>
        <rFont val="Arial Narrow"/>
      </rPr>
      <t>E)</t>
    </r>
  </si>
  <si>
    <t>Fort G. Meade Municipal Landfill</t>
  </si>
  <si>
    <t>Millersville Municipal Landfill</t>
  </si>
  <si>
    <t>Sudley Road</t>
  </si>
  <si>
    <t>Solley Road</t>
  </si>
  <si>
    <t>Maryland Direct Nitrous Oxide Emissions from Municipal Wastewater Treatment</t>
  </si>
  <si>
    <t>Fraction of Population not on Septic</t>
  </si>
  <si>
    <r>
      <rPr>
        <b/>
        <sz val="11"/>
        <color theme="1"/>
        <rFont val="Arial Narrow"/>
      </rPr>
      <t>Direct N</t>
    </r>
    <r>
      <rPr>
        <b/>
        <vertAlign val="subscript"/>
        <sz val="11"/>
        <color theme="1"/>
        <rFont val="Arial Narrow"/>
      </rPr>
      <t>2</t>
    </r>
    <r>
      <rPr>
        <b/>
        <sz val="11"/>
        <color theme="1"/>
        <rFont val="Arial Narrow"/>
      </rPr>
      <t>O Emissions from Wastewater Treatment
 (g N</t>
    </r>
    <r>
      <rPr>
        <b/>
        <vertAlign val="subscript"/>
        <sz val="11"/>
        <color theme="1"/>
        <rFont val="Arial Narrow"/>
      </rPr>
      <t>2</t>
    </r>
    <r>
      <rPr>
        <b/>
        <sz val="11"/>
        <color theme="1"/>
        <rFont val="Arial Narrow"/>
      </rPr>
      <t>O/person/year)</t>
    </r>
  </si>
  <si>
    <t>Unit Conversion
(g/metric ton)</t>
  </si>
  <si>
    <r>
      <rPr>
        <b/>
        <sz val="11"/>
        <color theme="1"/>
        <rFont val="Arial Narrow"/>
      </rPr>
      <t>Emissions
(Metric Tons N</t>
    </r>
    <r>
      <rPr>
        <b/>
        <vertAlign val="subscript"/>
        <sz val="11"/>
        <color theme="1"/>
        <rFont val="Arial Narrow"/>
      </rPr>
      <t>2</t>
    </r>
    <r>
      <rPr>
        <b/>
        <sz val="11"/>
        <color theme="1"/>
        <rFont val="Arial Narrow"/>
      </rPr>
      <t>O)</t>
    </r>
  </si>
  <si>
    <r>
      <rPr>
        <b/>
        <sz val="11"/>
        <color theme="1"/>
        <rFont val="Arial Narrow"/>
      </rPr>
      <t>N</t>
    </r>
    <r>
      <rPr>
        <b/>
        <vertAlign val="subscript"/>
        <sz val="11"/>
        <color theme="1"/>
        <rFont val="Arial Narrow"/>
      </rPr>
      <t>2</t>
    </r>
    <r>
      <rPr>
        <b/>
        <sz val="11"/>
        <color theme="1"/>
        <rFont val="Arial Narrow"/>
      </rPr>
      <t>O GWP
(CO</t>
    </r>
    <r>
      <rPr>
        <b/>
        <vertAlign val="subscript"/>
        <sz val="11"/>
        <color theme="1"/>
        <rFont val="Arial Narrow"/>
      </rPr>
      <t>2</t>
    </r>
    <r>
      <rPr>
        <b/>
        <sz val="11"/>
        <color theme="1"/>
        <rFont val="Arial Narrow"/>
      </rPr>
      <t xml:space="preserve"> Eq.)</t>
    </r>
  </si>
  <si>
    <t xml:space="preserve">Unit Conversion
(MMT/MT)
</t>
  </si>
  <si>
    <r>
      <rPr>
        <b/>
        <sz val="11"/>
        <color theme="1"/>
        <rFont val="Arial Narrow"/>
      </rPr>
      <t>C/CO</t>
    </r>
    <r>
      <rPr>
        <b/>
        <vertAlign val="subscript"/>
        <sz val="11"/>
        <color theme="1"/>
        <rFont val="Arial Narrow"/>
      </rPr>
      <t>2</t>
    </r>
  </si>
  <si>
    <r>
      <rPr>
        <b/>
        <sz val="11"/>
        <color theme="1"/>
        <rFont val="Arial Narrow"/>
      </rPr>
      <t>Emissions
(MMTCO</t>
    </r>
    <r>
      <rPr>
        <b/>
        <vertAlign val="subscript"/>
        <sz val="11"/>
        <color theme="1"/>
        <rFont val="Arial Narrow"/>
      </rPr>
      <t>2</t>
    </r>
    <r>
      <rPr>
        <b/>
        <sz val="11"/>
        <color theme="1"/>
        <rFont val="Arial Narrow"/>
      </rPr>
      <t>E)</t>
    </r>
  </si>
  <si>
    <t>Glen Burnie</t>
  </si>
  <si>
    <t>Baltimore City</t>
  </si>
  <si>
    <t>Quarantine Road Municipal Landfill</t>
  </si>
  <si>
    <t>Maryland Effulent Nitrous Oxide Emissions from Municipal Wastewater Treatment</t>
  </si>
  <si>
    <t>Protein
(kg/ person/ year)</t>
  </si>
  <si>
    <t>Baltimore County</t>
  </si>
  <si>
    <t>Eastern Municipal Landfill</t>
  </si>
  <si>
    <r>
      <rPr>
        <b/>
        <sz val="11"/>
        <color theme="1"/>
        <rFont val="Arial Narrow"/>
      </rPr>
      <t>Frac</t>
    </r>
    <r>
      <rPr>
        <b/>
        <vertAlign val="subscript"/>
        <sz val="11"/>
        <color theme="1"/>
        <rFont val="Arial Narrow"/>
      </rPr>
      <t xml:space="preserve">NPR 
</t>
    </r>
    <r>
      <rPr>
        <b/>
        <sz val="11"/>
        <color theme="1"/>
        <rFont val="Arial Narrow"/>
      </rPr>
      <t xml:space="preserve">(kg N/kg protein) </t>
    </r>
  </si>
  <si>
    <t>Fraction Non-Consumption N</t>
  </si>
  <si>
    <t>N in Domestic Wastewater
(metric tons)</t>
  </si>
  <si>
    <t>Direct N Emissions from Domestic Wastewater
(metric tons)</t>
  </si>
  <si>
    <t>Biosolids Available N
(metric tons)</t>
  </si>
  <si>
    <t>Percentage of Biosolids Used as Fertilizer</t>
  </si>
  <si>
    <r>
      <rPr>
        <b/>
        <sz val="11"/>
        <color theme="1"/>
        <rFont val="Arial Narrow"/>
      </rPr>
      <t>Emission Factor
(kg N</t>
    </r>
    <r>
      <rPr>
        <b/>
        <vertAlign val="subscript"/>
        <sz val="11"/>
        <color theme="1"/>
        <rFont val="Arial Narrow"/>
      </rPr>
      <t>2</t>
    </r>
    <r>
      <rPr>
        <b/>
        <sz val="11"/>
        <color theme="1"/>
        <rFont val="Arial Narrow"/>
      </rPr>
      <t xml:space="preserve">O-N/ kg sewage N-produced) </t>
    </r>
  </si>
  <si>
    <r>
      <rPr>
        <b/>
        <sz val="11"/>
        <color theme="1"/>
        <rFont val="Arial Narrow"/>
      </rPr>
      <t>N</t>
    </r>
    <r>
      <rPr>
        <b/>
        <vertAlign val="subscript"/>
        <sz val="11"/>
        <color theme="1"/>
        <rFont val="Arial Narrow"/>
      </rPr>
      <t>2</t>
    </r>
    <r>
      <rPr>
        <b/>
        <sz val="11"/>
        <color theme="1"/>
        <rFont val="Arial Narrow"/>
      </rPr>
      <t>O/N</t>
    </r>
    <r>
      <rPr>
        <b/>
        <vertAlign val="subscript"/>
        <sz val="11"/>
        <color theme="1"/>
        <rFont val="Arial Narrow"/>
      </rPr>
      <t>2</t>
    </r>
  </si>
  <si>
    <r>
      <rPr>
        <b/>
        <sz val="11"/>
        <color theme="1"/>
        <rFont val="Arial Narrow"/>
      </rPr>
      <t>Emissions 
(metric tons N</t>
    </r>
    <r>
      <rPr>
        <b/>
        <vertAlign val="subscript"/>
        <sz val="11"/>
        <color theme="1"/>
        <rFont val="Arial Narrow"/>
      </rPr>
      <t>2</t>
    </r>
    <r>
      <rPr>
        <b/>
        <sz val="11"/>
        <color theme="1"/>
        <rFont val="Arial Narrow"/>
      </rPr>
      <t>O)</t>
    </r>
  </si>
  <si>
    <r>
      <rPr>
        <b/>
        <sz val="11"/>
        <color theme="1"/>
        <rFont val="Arial Narrow"/>
      </rPr>
      <t>N</t>
    </r>
    <r>
      <rPr>
        <b/>
        <vertAlign val="subscript"/>
        <sz val="11"/>
        <color theme="1"/>
        <rFont val="Arial Narrow"/>
      </rPr>
      <t>2</t>
    </r>
    <r>
      <rPr>
        <b/>
        <sz val="11"/>
        <color theme="1"/>
        <rFont val="Arial Narrow"/>
      </rPr>
      <t>O GWP
(CO2 Eq.)</t>
    </r>
  </si>
  <si>
    <r>
      <rPr>
        <b/>
        <sz val="11"/>
        <color theme="1"/>
        <rFont val="Arial Narrow"/>
      </rPr>
      <t>C/CO</t>
    </r>
    <r>
      <rPr>
        <b/>
        <vertAlign val="subscript"/>
        <sz val="11"/>
        <color theme="1"/>
        <rFont val="Arial Narrow"/>
      </rPr>
      <t>2</t>
    </r>
  </si>
  <si>
    <t>Emissions from Biosolids
(MMTCE)</t>
  </si>
  <si>
    <t>Direct Emissions
(MMTCE)</t>
  </si>
  <si>
    <t>Total Emissions
(MMTCE)</t>
  </si>
  <si>
    <t>Emission
(MMTCO2E)</t>
  </si>
  <si>
    <t>(MMT/MT)</t>
  </si>
  <si>
    <t>Norris Farm</t>
  </si>
  <si>
    <t>Calvert</t>
  </si>
  <si>
    <t>Appeal Municipal Landfill</t>
  </si>
  <si>
    <t>Barstow</t>
  </si>
  <si>
    <t>Carroll</t>
  </si>
  <si>
    <t>Hoods Mill</t>
  </si>
  <si>
    <t>Agriculture  Soils- Plant Residues &amp; Legumes in Maryland</t>
  </si>
  <si>
    <r>
      <rPr>
        <b/>
        <sz val="11"/>
        <color rgb="FF000000"/>
        <rFont val="Arial Narrow"/>
      </rPr>
      <t>Maryland Industrial Wastewater Methane Emissions - CH</t>
    </r>
    <r>
      <rPr>
        <b/>
        <sz val="11"/>
        <color rgb="FF000000"/>
        <rFont val="Arial Narrow"/>
      </rPr>
      <t>4 - Red Meat Processing</t>
    </r>
  </si>
  <si>
    <t>Northern Municpal Landfill</t>
  </si>
  <si>
    <t>Production Processed</t>
  </si>
  <si>
    <t xml:space="preserve">WW Outflow </t>
  </si>
  <si>
    <t>Unit Conversion</t>
  </si>
  <si>
    <t xml:space="preserve">COD </t>
  </si>
  <si>
    <t>COD Degraded</t>
  </si>
  <si>
    <r>
      <rPr>
        <b/>
        <sz val="11"/>
        <color theme="1"/>
        <rFont val="Arial Narrow"/>
      </rPr>
      <t>CH</t>
    </r>
    <r>
      <rPr>
        <b/>
        <vertAlign val="subscript"/>
        <sz val="11"/>
        <color theme="1"/>
        <rFont val="Arial Narrow"/>
      </rPr>
      <t>4</t>
    </r>
    <r>
      <rPr>
        <b/>
        <sz val="11"/>
        <color theme="1"/>
        <rFont val="Arial Narrow"/>
      </rPr>
      <t xml:space="preserve"> GWP</t>
    </r>
  </si>
  <si>
    <r>
      <rPr>
        <b/>
        <sz val="11"/>
        <color theme="1"/>
        <rFont val="Arial Narrow"/>
      </rPr>
      <t>C/CO</t>
    </r>
    <r>
      <rPr>
        <b/>
        <vertAlign val="subscript"/>
        <sz val="11"/>
        <color theme="1"/>
        <rFont val="Arial Narrow"/>
      </rPr>
      <t>2</t>
    </r>
  </si>
  <si>
    <t>Legumes and Crop Residue Calculations</t>
  </si>
  <si>
    <r>
      <rPr>
        <sz val="11"/>
        <color theme="1"/>
        <rFont val="Arial Narrow"/>
      </rPr>
      <t>(m</t>
    </r>
    <r>
      <rPr>
        <vertAlign val="superscript"/>
        <sz val="11"/>
        <color theme="1"/>
        <rFont val="Arial Narrow"/>
      </rPr>
      <t>3</t>
    </r>
    <r>
      <rPr>
        <sz val="11"/>
        <color theme="1"/>
        <rFont val="Arial Narrow"/>
      </rPr>
      <t>/metric ton)</t>
    </r>
  </si>
  <si>
    <r>
      <rPr>
        <sz val="11"/>
        <color theme="1"/>
        <rFont val="Arial Narrow"/>
      </rPr>
      <t>(l/m</t>
    </r>
    <r>
      <rPr>
        <vertAlign val="superscript"/>
        <sz val="11"/>
        <color theme="1"/>
        <rFont val="Arial Narrow"/>
      </rPr>
      <t>3</t>
    </r>
    <r>
      <rPr>
        <sz val="11"/>
        <color theme="1"/>
        <rFont val="Arial Narrow"/>
      </rPr>
      <t>)</t>
    </r>
  </si>
  <si>
    <t>(g COD/l)</t>
  </si>
  <si>
    <r>
      <rPr>
        <sz val="11"/>
        <color theme="1"/>
        <rFont val="Arial Narrow"/>
      </rPr>
      <t>(g CH</t>
    </r>
    <r>
      <rPr>
        <vertAlign val="subscript"/>
        <sz val="11"/>
        <color theme="1"/>
        <rFont val="Arial Narrow"/>
      </rPr>
      <t>4</t>
    </r>
    <r>
      <rPr>
        <sz val="11"/>
        <color theme="1"/>
        <rFont val="Arial Narrow"/>
      </rPr>
      <t>/g COD)</t>
    </r>
  </si>
  <si>
    <t>(percent)</t>
  </si>
  <si>
    <r>
      <rPr>
        <sz val="11"/>
        <color theme="1"/>
        <rFont val="Arial Narrow"/>
      </rPr>
      <t>(g CH</t>
    </r>
    <r>
      <rPr>
        <vertAlign val="subscript"/>
        <sz val="11"/>
        <color theme="1"/>
        <rFont val="Arial Narrow"/>
      </rPr>
      <t>4</t>
    </r>
    <r>
      <rPr>
        <sz val="11"/>
        <color theme="1"/>
        <rFont val="Arial Narrow"/>
      </rPr>
      <t>)</t>
    </r>
  </si>
  <si>
    <t>(g/Tg)</t>
  </si>
  <si>
    <r>
      <rPr>
        <sz val="11"/>
        <color theme="1"/>
        <rFont val="Arial Narrow"/>
      </rPr>
      <t>(Tg or MMT CH</t>
    </r>
    <r>
      <rPr>
        <vertAlign val="subscript"/>
        <sz val="11"/>
        <color theme="1"/>
        <rFont val="Arial Narrow"/>
      </rPr>
      <t>4</t>
    </r>
    <r>
      <rPr>
        <sz val="11"/>
        <color theme="1"/>
        <rFont val="Arial Narrow"/>
      </rPr>
      <t>)</t>
    </r>
  </si>
  <si>
    <r>
      <rPr>
        <sz val="11"/>
        <color theme="1"/>
        <rFont val="Arial Narrow"/>
      </rPr>
      <t>(CO</t>
    </r>
    <r>
      <rPr>
        <vertAlign val="subscript"/>
        <sz val="11"/>
        <color theme="1"/>
        <rFont val="Arial Narrow"/>
      </rPr>
      <t>2</t>
    </r>
    <r>
      <rPr>
        <sz val="11"/>
        <color theme="1"/>
        <rFont val="Arial Narrow"/>
      </rPr>
      <t xml:space="preserve"> Eq.)</t>
    </r>
  </si>
  <si>
    <r>
      <rPr>
        <sz val="11"/>
        <color theme="1"/>
        <rFont val="Arial Narrow"/>
      </rPr>
      <t>(MMTCO</t>
    </r>
    <r>
      <rPr>
        <vertAlign val="subscript"/>
        <sz val="11"/>
        <color theme="1"/>
        <rFont val="Arial Narrow"/>
      </rPr>
      <t>2</t>
    </r>
    <r>
      <rPr>
        <sz val="11"/>
        <color theme="1"/>
        <rFont val="Arial Narrow"/>
      </rPr>
      <t>E)</t>
    </r>
  </si>
  <si>
    <t>Caroline</t>
  </si>
  <si>
    <t>Midshore I Regional Landfill</t>
  </si>
  <si>
    <t xml:space="preserve">Crop Production </t>
  </si>
  <si>
    <t>metric tons/bushel:</t>
  </si>
  <si>
    <t>Residue: Crop Mass Ratio</t>
  </si>
  <si>
    <t>Crop Production (metric tons)</t>
  </si>
  <si>
    <t>Residue Dry Matter Fraction</t>
  </si>
  <si>
    <t xml:space="preserve">Fraction Residue Applied </t>
  </si>
  <si>
    <t>Nitrogen Content of Residue</t>
  </si>
  <si>
    <t>Nitrogen Returned to Soil</t>
  </si>
  <si>
    <t>N content of Aboveground Biomass for N fixing</t>
  </si>
  <si>
    <t>N-Fixed by Crops (kg)</t>
  </si>
  <si>
    <t>EF Direct</t>
  </si>
  <si>
    <r>
      <rPr>
        <b/>
        <sz val="11"/>
        <color theme="1"/>
        <rFont val="Calibri"/>
      </rPr>
      <t>Direct N</t>
    </r>
    <r>
      <rPr>
        <b/>
        <vertAlign val="subscript"/>
        <sz val="8"/>
        <color theme="1"/>
        <rFont val="Calibri"/>
      </rPr>
      <t>2</t>
    </r>
    <r>
      <rPr>
        <b/>
        <sz val="8"/>
        <color theme="1"/>
        <rFont val="Calibri"/>
      </rPr>
      <t>O Emissions (metric tons N</t>
    </r>
    <r>
      <rPr>
        <b/>
        <vertAlign val="subscript"/>
        <sz val="8"/>
        <color theme="1"/>
        <rFont val="Calibri"/>
      </rPr>
      <t>2</t>
    </r>
    <r>
      <rPr>
        <b/>
        <sz val="8"/>
        <color theme="1"/>
        <rFont val="Calibri"/>
      </rPr>
      <t>O)</t>
    </r>
  </si>
  <si>
    <r>
      <rPr>
        <b/>
        <sz val="11"/>
        <color theme="1"/>
        <rFont val="Calibri"/>
      </rPr>
      <t>Direct Emissions</t>
    </r>
    <r>
      <rPr>
        <sz val="8"/>
        <color theme="1"/>
        <rFont val="Calibri"/>
      </rPr>
      <t xml:space="preserve"> (MMTCE)</t>
    </r>
  </si>
  <si>
    <r>
      <rPr>
        <b/>
        <sz val="11"/>
        <color theme="1"/>
        <rFont val="Calibri"/>
      </rPr>
      <t>Direct Emissions  (MMTCO</t>
    </r>
    <r>
      <rPr>
        <b/>
        <vertAlign val="subscript"/>
        <sz val="8"/>
        <color theme="1"/>
        <rFont val="Calibri"/>
      </rPr>
      <t>2</t>
    </r>
    <r>
      <rPr>
        <b/>
        <sz val="8"/>
        <color theme="1"/>
        <rFont val="Calibri"/>
      </rPr>
      <t>E)</t>
    </r>
  </si>
  <si>
    <t xml:space="preserve">Alfalfa  </t>
  </si>
  <si>
    <t>'000 tons</t>
  </si>
  <si>
    <t>Cecil</t>
  </si>
  <si>
    <t>Cecil County Central Landfill - Hog Hill</t>
  </si>
  <si>
    <t>Residues</t>
  </si>
  <si>
    <r>
      <rPr>
        <b/>
        <sz val="11"/>
        <color theme="1"/>
        <rFont val="Arial Narrow"/>
      </rPr>
      <t>Maryland Industrial Wastewater Methane Emissions ( CH</t>
    </r>
    <r>
      <rPr>
        <b/>
        <vertAlign val="subscript"/>
        <sz val="11"/>
        <color rgb="FF000000"/>
        <rFont val="Arial Narrow"/>
      </rPr>
      <t xml:space="preserve">4 </t>
    </r>
    <r>
      <rPr>
        <b/>
        <sz val="11"/>
        <color rgb="FF000000"/>
        <rFont val="Arial Narrow"/>
      </rPr>
      <t>) - Poultry Processing</t>
    </r>
  </si>
  <si>
    <r>
      <rPr>
        <b/>
        <sz val="11"/>
        <color theme="1"/>
        <rFont val="Arial Narrow"/>
      </rPr>
      <t>CH</t>
    </r>
    <r>
      <rPr>
        <b/>
        <vertAlign val="subscript"/>
        <sz val="11"/>
        <color theme="1"/>
        <rFont val="Arial Narrow"/>
      </rPr>
      <t>4</t>
    </r>
    <r>
      <rPr>
        <b/>
        <sz val="11"/>
        <color theme="1"/>
        <rFont val="Arial Narrow"/>
      </rPr>
      <t xml:space="preserve"> GWP</t>
    </r>
  </si>
  <si>
    <r>
      <rPr>
        <b/>
        <sz val="11"/>
        <color theme="1"/>
        <rFont val="Arial Narrow"/>
      </rPr>
      <t>C/CO</t>
    </r>
    <r>
      <rPr>
        <b/>
        <vertAlign val="subscript"/>
        <sz val="11"/>
        <color theme="1"/>
        <rFont val="Arial Narrow"/>
      </rPr>
      <t>2</t>
    </r>
  </si>
  <si>
    <t>Charles</t>
  </si>
  <si>
    <t>Charles County Municipal LF #2</t>
  </si>
  <si>
    <t xml:space="preserve">Corn for Grain </t>
  </si>
  <si>
    <t>'000 bushels</t>
  </si>
  <si>
    <r>
      <rPr>
        <sz val="11"/>
        <color theme="1"/>
        <rFont val="Arial Narrow"/>
      </rPr>
      <t>(m</t>
    </r>
    <r>
      <rPr>
        <vertAlign val="superscript"/>
        <sz val="11"/>
        <color theme="1"/>
        <rFont val="Arial Narrow"/>
      </rPr>
      <t>3</t>
    </r>
    <r>
      <rPr>
        <sz val="11"/>
        <color theme="1"/>
        <rFont val="Arial Narrow"/>
      </rPr>
      <t>/metric ton)</t>
    </r>
  </si>
  <si>
    <r>
      <rPr>
        <sz val="11"/>
        <color theme="1"/>
        <rFont val="Arial Narrow"/>
      </rPr>
      <t>(l/m</t>
    </r>
    <r>
      <rPr>
        <vertAlign val="superscript"/>
        <sz val="11"/>
        <color theme="1"/>
        <rFont val="Arial Narrow"/>
      </rPr>
      <t>3</t>
    </r>
    <r>
      <rPr>
        <sz val="11"/>
        <color theme="1"/>
        <rFont val="Arial Narrow"/>
      </rPr>
      <t>)</t>
    </r>
  </si>
  <si>
    <r>
      <rPr>
        <sz val="11"/>
        <color theme="1"/>
        <rFont val="Arial Narrow"/>
      </rPr>
      <t>(g CH</t>
    </r>
    <r>
      <rPr>
        <vertAlign val="subscript"/>
        <sz val="11"/>
        <color theme="1"/>
        <rFont val="Arial Narrow"/>
      </rPr>
      <t>4</t>
    </r>
    <r>
      <rPr>
        <sz val="11"/>
        <color theme="1"/>
        <rFont val="Arial Narrow"/>
      </rPr>
      <t>/g COD)</t>
    </r>
  </si>
  <si>
    <r>
      <rPr>
        <sz val="11"/>
        <color theme="1"/>
        <rFont val="Arial Narrow"/>
      </rPr>
      <t>(g CH</t>
    </r>
    <r>
      <rPr>
        <vertAlign val="subscript"/>
        <sz val="11"/>
        <color theme="1"/>
        <rFont val="Arial Narrow"/>
      </rPr>
      <t>4</t>
    </r>
    <r>
      <rPr>
        <sz val="11"/>
        <color theme="1"/>
        <rFont val="Arial Narrow"/>
      </rPr>
      <t>)</t>
    </r>
  </si>
  <si>
    <r>
      <rPr>
        <sz val="11"/>
        <color theme="1"/>
        <rFont val="Arial Narrow"/>
      </rPr>
      <t>(Tg or MMT CH</t>
    </r>
    <r>
      <rPr>
        <vertAlign val="subscript"/>
        <sz val="11"/>
        <color theme="1"/>
        <rFont val="Arial Narrow"/>
      </rPr>
      <t>4</t>
    </r>
    <r>
      <rPr>
        <sz val="11"/>
        <color theme="1"/>
        <rFont val="Arial Narrow"/>
      </rPr>
      <t>)</t>
    </r>
  </si>
  <si>
    <r>
      <rPr>
        <sz val="11"/>
        <color theme="1"/>
        <rFont val="Arial Narrow"/>
      </rPr>
      <t>(CO</t>
    </r>
    <r>
      <rPr>
        <vertAlign val="subscript"/>
        <sz val="11"/>
        <color theme="1"/>
        <rFont val="Arial Narrow"/>
      </rPr>
      <t>2</t>
    </r>
    <r>
      <rPr>
        <sz val="11"/>
        <color theme="1"/>
        <rFont val="Arial Narrow"/>
      </rPr>
      <t xml:space="preserve"> Eq.)</t>
    </r>
  </si>
  <si>
    <r>
      <rPr>
        <sz val="11"/>
        <color theme="1"/>
        <rFont val="Arial Narrow"/>
      </rPr>
      <t>(MMTCO</t>
    </r>
    <r>
      <rPr>
        <vertAlign val="subscript"/>
        <sz val="11"/>
        <color theme="1"/>
        <rFont val="Arial Narrow"/>
      </rPr>
      <t>2</t>
    </r>
    <r>
      <rPr>
        <sz val="11"/>
        <color theme="1"/>
        <rFont val="Arial Narrow"/>
      </rPr>
      <t>E)</t>
    </r>
  </si>
  <si>
    <t>Legumes</t>
  </si>
  <si>
    <t>Pisgah</t>
  </si>
  <si>
    <t xml:space="preserve">All Wheat </t>
  </si>
  <si>
    <t xml:space="preserve">Dorchester </t>
  </si>
  <si>
    <t>Beulah HE #1</t>
  </si>
  <si>
    <t xml:space="preserve">Barley </t>
  </si>
  <si>
    <t>Sorghum for Grain</t>
  </si>
  <si>
    <t>Beulah HE #2</t>
  </si>
  <si>
    <t>Oats</t>
  </si>
  <si>
    <t>Frederick</t>
  </si>
  <si>
    <t>Fort Detrick Municipal Landfill</t>
  </si>
  <si>
    <t>Rye</t>
  </si>
  <si>
    <t>Millet</t>
  </si>
  <si>
    <r>
      <rPr>
        <b/>
        <sz val="11"/>
        <color theme="1"/>
        <rFont val="Arial Narrow"/>
      </rPr>
      <t>Maryland Industrial Wastewater Methane Emissions ( CH</t>
    </r>
    <r>
      <rPr>
        <b/>
        <vertAlign val="subscript"/>
        <sz val="11"/>
        <color rgb="FF000000"/>
        <rFont val="Arial Narrow"/>
      </rPr>
      <t xml:space="preserve">4 </t>
    </r>
    <r>
      <rPr>
        <b/>
        <sz val="11"/>
        <color rgb="FF000000"/>
        <rFont val="Arial Narrow"/>
      </rPr>
      <t>) - Pulp and Paper Processing</t>
    </r>
  </si>
  <si>
    <t>Reich's Ford A &amp; B  Municpal Landfill</t>
  </si>
  <si>
    <t>Rice</t>
  </si>
  <si>
    <t>'000 hundred weight</t>
  </si>
  <si>
    <t>BOD Degraded</t>
  </si>
  <si>
    <t>TA</t>
  </si>
  <si>
    <r>
      <rPr>
        <b/>
        <sz val="11"/>
        <color theme="1"/>
        <rFont val="Arial Narrow"/>
      </rPr>
      <t>CH</t>
    </r>
    <r>
      <rPr>
        <b/>
        <vertAlign val="subscript"/>
        <sz val="11"/>
        <color theme="1"/>
        <rFont val="Arial Narrow"/>
      </rPr>
      <t>4</t>
    </r>
    <r>
      <rPr>
        <b/>
        <sz val="11"/>
        <color theme="1"/>
        <rFont val="Arial Narrow"/>
      </rPr>
      <t xml:space="preserve"> GWP</t>
    </r>
  </si>
  <si>
    <r>
      <rPr>
        <b/>
        <sz val="11"/>
        <color theme="1"/>
        <rFont val="Arial Narrow"/>
      </rPr>
      <t>C/CO</t>
    </r>
    <r>
      <rPr>
        <b/>
        <vertAlign val="subscript"/>
        <sz val="11"/>
        <color theme="1"/>
        <rFont val="Arial Narrow"/>
      </rPr>
      <t>2</t>
    </r>
  </si>
  <si>
    <t>Woodpulp</t>
  </si>
  <si>
    <t xml:space="preserve">Soybeans </t>
  </si>
  <si>
    <t>Reich's Ford Site B-Cell 3 Municpal Landfill</t>
  </si>
  <si>
    <t>Paper &amp; Paperboard</t>
  </si>
  <si>
    <r>
      <rPr>
        <sz val="11"/>
        <color theme="1"/>
        <rFont val="Arial Narrow"/>
      </rPr>
      <t>(m</t>
    </r>
    <r>
      <rPr>
        <vertAlign val="superscript"/>
        <sz val="11"/>
        <color theme="1"/>
        <rFont val="Arial Narrow"/>
      </rPr>
      <t>3</t>
    </r>
    <r>
      <rPr>
        <sz val="11"/>
        <color theme="1"/>
        <rFont val="Arial Narrow"/>
      </rPr>
      <t>/metric ton)</t>
    </r>
  </si>
  <si>
    <r>
      <rPr>
        <sz val="11"/>
        <color theme="1"/>
        <rFont val="Arial Narrow"/>
      </rPr>
      <t>(l/m</t>
    </r>
    <r>
      <rPr>
        <vertAlign val="superscript"/>
        <sz val="11"/>
        <color theme="1"/>
        <rFont val="Arial Narrow"/>
      </rPr>
      <t>3</t>
    </r>
    <r>
      <rPr>
        <sz val="11"/>
        <color theme="1"/>
        <rFont val="Arial Narrow"/>
      </rPr>
      <t>)</t>
    </r>
  </si>
  <si>
    <t>(g BOD/l)</t>
  </si>
  <si>
    <r>
      <rPr>
        <sz val="11"/>
        <color theme="1"/>
        <rFont val="Arial Narrow"/>
      </rPr>
      <t>(g CH</t>
    </r>
    <r>
      <rPr>
        <vertAlign val="subscript"/>
        <sz val="11"/>
        <color theme="1"/>
        <rFont val="Arial Narrow"/>
      </rPr>
      <t>4</t>
    </r>
    <r>
      <rPr>
        <sz val="11"/>
        <color theme="1"/>
        <rFont val="Arial Narrow"/>
      </rPr>
      <t>/g BOD)</t>
    </r>
  </si>
  <si>
    <r>
      <rPr>
        <sz val="11"/>
        <color theme="1"/>
        <rFont val="Arial Narrow"/>
      </rPr>
      <t>(g CH</t>
    </r>
    <r>
      <rPr>
        <vertAlign val="subscript"/>
        <sz val="11"/>
        <color theme="1"/>
        <rFont val="Arial Narrow"/>
      </rPr>
      <t>4</t>
    </r>
    <r>
      <rPr>
        <sz val="11"/>
        <color theme="1"/>
        <rFont val="Arial Narrow"/>
      </rPr>
      <t>)</t>
    </r>
  </si>
  <si>
    <r>
      <rPr>
        <sz val="11"/>
        <color theme="1"/>
        <rFont val="Arial Narrow"/>
      </rPr>
      <t>(Tg or MMT CH</t>
    </r>
    <r>
      <rPr>
        <vertAlign val="subscript"/>
        <sz val="11"/>
        <color theme="1"/>
        <rFont val="Arial Narrow"/>
      </rPr>
      <t>4</t>
    </r>
    <r>
      <rPr>
        <sz val="11"/>
        <color theme="1"/>
        <rFont val="Arial Narrow"/>
      </rPr>
      <t>)</t>
    </r>
  </si>
  <si>
    <t>Garrett</t>
  </si>
  <si>
    <t>Garrett County SWD&amp;RF  or  Del Signiore</t>
  </si>
  <si>
    <r>
      <rPr>
        <sz val="11"/>
        <color theme="1"/>
        <rFont val="Arial Narrow"/>
      </rPr>
      <t>(CO</t>
    </r>
    <r>
      <rPr>
        <vertAlign val="subscript"/>
        <sz val="11"/>
        <color theme="1"/>
        <rFont val="Arial Narrow"/>
      </rPr>
      <t>2</t>
    </r>
    <r>
      <rPr>
        <sz val="11"/>
        <color theme="1"/>
        <rFont val="Arial Narrow"/>
      </rPr>
      <t xml:space="preserve"> Eq.)</t>
    </r>
  </si>
  <si>
    <r>
      <rPr>
        <sz val="11"/>
        <color theme="1"/>
        <rFont val="Arial Narrow"/>
      </rPr>
      <t>(MMTCO</t>
    </r>
    <r>
      <rPr>
        <vertAlign val="subscript"/>
        <sz val="11"/>
        <color theme="1"/>
        <rFont val="Arial Narrow"/>
      </rPr>
      <t>2</t>
    </r>
    <r>
      <rPr>
        <sz val="11"/>
        <color theme="1"/>
        <rFont val="Arial Narrow"/>
      </rPr>
      <t>E)</t>
    </r>
  </si>
  <si>
    <t>Peanuts</t>
  </si>
  <si>
    <t>'000 lbs</t>
  </si>
  <si>
    <t>Residential Open Burning - Leaves, Brush, MSW</t>
  </si>
  <si>
    <t>Round Glade</t>
  </si>
  <si>
    <r>
      <rPr>
        <b/>
        <sz val="11"/>
        <color theme="1"/>
        <rFont val="Calibri"/>
      </rPr>
      <t>(MMTCO</t>
    </r>
    <r>
      <rPr>
        <b/>
        <vertAlign val="subscript"/>
        <sz val="11"/>
        <color theme="1"/>
        <rFont val="Calibri"/>
      </rPr>
      <t>2</t>
    </r>
    <r>
      <rPr>
        <b/>
        <sz val="11"/>
        <color theme="1"/>
        <rFont val="Calibri"/>
      </rPr>
      <t>E)</t>
    </r>
  </si>
  <si>
    <t>Open Burning</t>
  </si>
  <si>
    <t>Harford W.D. Center Municipal Landfill</t>
  </si>
  <si>
    <r>
      <rPr>
        <b/>
        <sz val="11"/>
        <color theme="1"/>
        <rFont val="Arial Narrow"/>
      </rPr>
      <t>Maryland Industrial Wastewater Methane Emissions ( CH</t>
    </r>
    <r>
      <rPr>
        <b/>
        <vertAlign val="subscript"/>
        <sz val="11"/>
        <color rgb="FF000000"/>
        <rFont val="Arial Narrow"/>
      </rPr>
      <t xml:space="preserve">4 </t>
    </r>
    <r>
      <rPr>
        <b/>
        <sz val="11"/>
        <color rgb="FF000000"/>
        <rFont val="Arial Narrow"/>
      </rPr>
      <t>) - Fruit and Vegetables  Processing</t>
    </r>
  </si>
  <si>
    <r>
      <rPr>
        <b/>
        <sz val="11"/>
        <color theme="1"/>
        <rFont val="Arial Narrow"/>
      </rPr>
      <t>CH</t>
    </r>
    <r>
      <rPr>
        <b/>
        <vertAlign val="subscript"/>
        <sz val="11"/>
        <color theme="1"/>
        <rFont val="Arial Narrow"/>
      </rPr>
      <t>4</t>
    </r>
    <r>
      <rPr>
        <b/>
        <sz val="11"/>
        <color theme="1"/>
        <rFont val="Arial Narrow"/>
      </rPr>
      <t xml:space="preserve"> GWP</t>
    </r>
  </si>
  <si>
    <r>
      <rPr>
        <b/>
        <sz val="11"/>
        <color theme="1"/>
        <rFont val="Arial Narrow"/>
      </rPr>
      <t>C/CO</t>
    </r>
    <r>
      <rPr>
        <b/>
        <vertAlign val="subscript"/>
        <sz val="11"/>
        <color theme="1"/>
        <rFont val="Arial Narrow"/>
      </rPr>
      <t>2</t>
    </r>
  </si>
  <si>
    <r>
      <rPr>
        <sz val="11"/>
        <color theme="1"/>
        <rFont val="Arial Narrow"/>
      </rPr>
      <t>(m</t>
    </r>
    <r>
      <rPr>
        <vertAlign val="superscript"/>
        <sz val="11"/>
        <color theme="1"/>
        <rFont val="Arial Narrow"/>
      </rPr>
      <t>3</t>
    </r>
    <r>
      <rPr>
        <sz val="11"/>
        <color theme="1"/>
        <rFont val="Arial Narrow"/>
      </rPr>
      <t>/metric ton)</t>
    </r>
  </si>
  <si>
    <r>
      <rPr>
        <sz val="11"/>
        <color theme="1"/>
        <rFont val="Arial Narrow"/>
      </rPr>
      <t>(l/m</t>
    </r>
    <r>
      <rPr>
        <vertAlign val="superscript"/>
        <sz val="11"/>
        <color theme="1"/>
        <rFont val="Arial Narrow"/>
      </rPr>
      <t>3</t>
    </r>
    <r>
      <rPr>
        <sz val="11"/>
        <color theme="1"/>
        <rFont val="Arial Narrow"/>
      </rPr>
      <t>)</t>
    </r>
  </si>
  <si>
    <r>
      <rPr>
        <sz val="11"/>
        <color theme="1"/>
        <rFont val="Arial Narrow"/>
      </rPr>
      <t>(g CH</t>
    </r>
    <r>
      <rPr>
        <vertAlign val="subscript"/>
        <sz val="11"/>
        <color theme="1"/>
        <rFont val="Arial Narrow"/>
      </rPr>
      <t>4</t>
    </r>
    <r>
      <rPr>
        <sz val="11"/>
        <color theme="1"/>
        <rFont val="Arial Narrow"/>
      </rPr>
      <t>/g COD)</t>
    </r>
  </si>
  <si>
    <r>
      <rPr>
        <sz val="11"/>
        <color theme="1"/>
        <rFont val="Arial Narrow"/>
      </rPr>
      <t>(g CH</t>
    </r>
    <r>
      <rPr>
        <vertAlign val="subscript"/>
        <sz val="11"/>
        <color theme="1"/>
        <rFont val="Arial Narrow"/>
      </rPr>
      <t>4</t>
    </r>
    <r>
      <rPr>
        <sz val="11"/>
        <color theme="1"/>
        <rFont val="Arial Narrow"/>
      </rPr>
      <t>)</t>
    </r>
  </si>
  <si>
    <r>
      <rPr>
        <sz val="11"/>
        <color theme="1"/>
        <rFont val="Arial Narrow"/>
      </rPr>
      <t>(Tg or MMT CH</t>
    </r>
    <r>
      <rPr>
        <vertAlign val="subscript"/>
        <sz val="11"/>
        <color theme="1"/>
        <rFont val="Arial Narrow"/>
      </rPr>
      <t>4</t>
    </r>
    <r>
      <rPr>
        <sz val="11"/>
        <color theme="1"/>
        <rFont val="Arial Narrow"/>
      </rPr>
      <t>)</t>
    </r>
  </si>
  <si>
    <r>
      <rPr>
        <sz val="11"/>
        <color theme="1"/>
        <rFont val="Arial Narrow"/>
      </rPr>
      <t>(CO</t>
    </r>
    <r>
      <rPr>
        <vertAlign val="subscript"/>
        <sz val="11"/>
        <color theme="1"/>
        <rFont val="Arial Narrow"/>
      </rPr>
      <t>2</t>
    </r>
    <r>
      <rPr>
        <sz val="11"/>
        <color theme="1"/>
        <rFont val="Arial Narrow"/>
      </rPr>
      <t xml:space="preserve"> Eq.)</t>
    </r>
  </si>
  <si>
    <r>
      <rPr>
        <sz val="11"/>
        <color theme="1"/>
        <rFont val="Arial Narrow"/>
      </rPr>
      <t>(MMTCO</t>
    </r>
    <r>
      <rPr>
        <vertAlign val="subscript"/>
        <sz val="11"/>
        <color theme="1"/>
        <rFont val="Arial Narrow"/>
      </rPr>
      <t>2</t>
    </r>
    <r>
      <rPr>
        <sz val="11"/>
        <color theme="1"/>
        <rFont val="Arial Narrow"/>
      </rPr>
      <t>E)</t>
    </r>
  </si>
  <si>
    <t>Howard</t>
  </si>
  <si>
    <t>Alpha Ridge</t>
  </si>
  <si>
    <t>Dry Edible Beans</t>
  </si>
  <si>
    <t>Dry Edible Peas</t>
  </si>
  <si>
    <t>Austrian Winter Peas</t>
  </si>
  <si>
    <t>Lentils</t>
  </si>
  <si>
    <t>Emissions were not calculated for the following sources: Industrial fruits &amp; vegetables, Industrial poultry, and Industrial pulp &amp; paper.</t>
  </si>
  <si>
    <t>Kent</t>
  </si>
  <si>
    <t>Nicholson</t>
  </si>
  <si>
    <t>Wrinkled Seed Peas</t>
  </si>
  <si>
    <t>Red Clover</t>
  </si>
  <si>
    <r>
      <rPr>
        <b/>
        <sz val="11"/>
        <color theme="1"/>
        <rFont val="Arial Narrow"/>
      </rPr>
      <t>Emissions (MMTCO</t>
    </r>
    <r>
      <rPr>
        <b/>
        <vertAlign val="subscript"/>
        <sz val="11"/>
        <color theme="1"/>
        <rFont val="Arial Narrow"/>
      </rPr>
      <t>2</t>
    </r>
    <r>
      <rPr>
        <b/>
        <sz val="11"/>
        <color theme="1"/>
        <rFont val="Arial Narrow"/>
      </rPr>
      <t>E)</t>
    </r>
  </si>
  <si>
    <t>White Clover</t>
  </si>
  <si>
    <r>
      <rPr>
        <sz val="11"/>
        <color theme="1"/>
        <rFont val="Arial Narrow"/>
      </rPr>
      <t>Municipal CH</t>
    </r>
    <r>
      <rPr>
        <vertAlign val="subscript"/>
        <sz val="11"/>
        <color theme="1"/>
        <rFont val="Arial Narrow"/>
      </rPr>
      <t>4</t>
    </r>
  </si>
  <si>
    <t>Birdsfoot Trefoil</t>
  </si>
  <si>
    <t>Gude Landfill</t>
  </si>
  <si>
    <r>
      <rPr>
        <sz val="11"/>
        <color theme="1"/>
        <rFont val="Arial Narrow"/>
      </rPr>
      <t>Municipal N</t>
    </r>
    <r>
      <rPr>
        <vertAlign val="subscript"/>
        <sz val="11"/>
        <color theme="1"/>
        <rFont val="Arial Narrow"/>
      </rPr>
      <t>2</t>
    </r>
    <r>
      <rPr>
        <sz val="11"/>
        <color theme="1"/>
        <rFont val="Arial Narrow"/>
      </rPr>
      <t>O</t>
    </r>
  </si>
  <si>
    <t>Arrowleaf Clover</t>
  </si>
  <si>
    <t>Crimson Clover</t>
  </si>
  <si>
    <r>
      <rPr>
        <b/>
        <sz val="11"/>
        <color theme="1"/>
        <rFont val="Arial Narrow"/>
      </rPr>
      <t>Industrial CH</t>
    </r>
    <r>
      <rPr>
        <b/>
        <vertAlign val="subscript"/>
        <sz val="11"/>
        <color theme="1"/>
        <rFont val="Arial Narrow"/>
      </rPr>
      <t>4</t>
    </r>
  </si>
  <si>
    <t>Fruits &amp; Vegetables</t>
  </si>
  <si>
    <t>Red Meat</t>
  </si>
  <si>
    <t>Oaks Landfill</t>
  </si>
  <si>
    <t>Pulp &amp; Paper</t>
  </si>
  <si>
    <t>Agriculture Soils -  Plant Fertilizer Emissions in Maryland</t>
  </si>
  <si>
    <t>Fertilizer Calculations</t>
  </si>
  <si>
    <t>Growing Year Entry</t>
  </si>
  <si>
    <r>
      <rPr>
        <b/>
        <sz val="11"/>
        <color theme="1"/>
        <rFont val="Calibri"/>
      </rPr>
      <t>Total Fertilizer Use</t>
    </r>
    <r>
      <rPr>
        <sz val="8"/>
        <color theme="1"/>
        <rFont val="Calibri"/>
      </rPr>
      <t xml:space="preserve"> (kg N)</t>
    </r>
  </si>
  <si>
    <r>
      <rPr>
        <b/>
        <sz val="11"/>
        <color theme="1"/>
        <rFont val="Calibri"/>
      </rPr>
      <t xml:space="preserve">Total N in Fertilizers </t>
    </r>
    <r>
      <rPr>
        <sz val="8"/>
        <color theme="1"/>
        <rFont val="Calibri"/>
      </rPr>
      <t>(Calendar Year)</t>
    </r>
  </si>
  <si>
    <t>Volatilzation
(Percent)</t>
  </si>
  <si>
    <t>Prince Georges</t>
  </si>
  <si>
    <t>Brown Station Landfill A</t>
  </si>
  <si>
    <t>N Content of Non-Manure Organics</t>
  </si>
  <si>
    <r>
      <rPr>
        <b/>
        <sz val="11"/>
        <color theme="1"/>
        <rFont val="Calibri"/>
      </rPr>
      <t xml:space="preserve">Unvolatized N
</t>
    </r>
    <r>
      <rPr>
        <sz val="8"/>
        <color theme="1"/>
        <rFont val="Calibri"/>
      </rPr>
      <t>(kg)</t>
    </r>
  </si>
  <si>
    <r>
      <rPr>
        <b/>
        <sz val="11"/>
        <color theme="1"/>
        <rFont val="Calibri"/>
      </rPr>
      <t xml:space="preserve">Volatized N
</t>
    </r>
    <r>
      <rPr>
        <sz val="8"/>
        <color theme="1"/>
        <rFont val="Calibri"/>
      </rPr>
      <t>(kg)</t>
    </r>
  </si>
  <si>
    <r>
      <rPr>
        <b/>
        <sz val="11"/>
        <color theme="1"/>
        <rFont val="Calibri"/>
      </rPr>
      <t>Direct N</t>
    </r>
    <r>
      <rPr>
        <b/>
        <vertAlign val="subscript"/>
        <sz val="8"/>
        <color theme="1"/>
        <rFont val="Calibri"/>
      </rPr>
      <t>2</t>
    </r>
    <r>
      <rPr>
        <b/>
        <sz val="8"/>
        <color theme="1"/>
        <rFont val="Calibri"/>
      </rPr>
      <t>O Emissions
(metric tons)</t>
    </r>
  </si>
  <si>
    <r>
      <rPr>
        <b/>
        <sz val="11"/>
        <color theme="1"/>
        <rFont val="Calibri"/>
      </rPr>
      <t>Indirect N</t>
    </r>
    <r>
      <rPr>
        <b/>
        <vertAlign val="subscript"/>
        <sz val="8"/>
        <color theme="1"/>
        <rFont val="Calibri"/>
      </rPr>
      <t>2</t>
    </r>
    <r>
      <rPr>
        <b/>
        <sz val="8"/>
        <color theme="1"/>
        <rFont val="Calibri"/>
      </rPr>
      <t>O Emissions
(metric tons)</t>
    </r>
  </si>
  <si>
    <r>
      <rPr>
        <b/>
        <sz val="11"/>
        <color theme="1"/>
        <rFont val="Calibri"/>
      </rPr>
      <t xml:space="preserve">Direct Emissions
</t>
    </r>
    <r>
      <rPr>
        <sz val="8"/>
        <color theme="1"/>
        <rFont val="Calibri"/>
      </rPr>
      <t>(MMTCE)</t>
    </r>
  </si>
  <si>
    <r>
      <rPr>
        <b/>
        <sz val="11"/>
        <color theme="1"/>
        <rFont val="Calibri"/>
      </rPr>
      <t xml:space="preserve">Indirect Emissions
</t>
    </r>
    <r>
      <rPr>
        <sz val="8"/>
        <color theme="1"/>
        <rFont val="Calibri"/>
      </rPr>
      <t>(MMTCE)</t>
    </r>
  </si>
  <si>
    <r>
      <rPr>
        <b/>
        <sz val="11"/>
        <color theme="1"/>
        <rFont val="Calibri"/>
      </rPr>
      <t>Direct Emissions
(MMTCO</t>
    </r>
    <r>
      <rPr>
        <b/>
        <vertAlign val="subscript"/>
        <sz val="8"/>
        <color theme="1"/>
        <rFont val="Calibri"/>
      </rPr>
      <t>2</t>
    </r>
    <r>
      <rPr>
        <b/>
        <sz val="8"/>
        <color theme="1"/>
        <rFont val="Calibri"/>
      </rPr>
      <t>E)</t>
    </r>
  </si>
  <si>
    <r>
      <rPr>
        <b/>
        <sz val="11"/>
        <color theme="1"/>
        <rFont val="Calibri"/>
      </rPr>
      <t>Indirect Emissions
(MMTCO</t>
    </r>
    <r>
      <rPr>
        <b/>
        <vertAlign val="subscript"/>
        <sz val="8"/>
        <color theme="1"/>
        <rFont val="Calibri"/>
      </rPr>
      <t>2</t>
    </r>
    <r>
      <rPr>
        <b/>
        <sz val="8"/>
        <color theme="1"/>
        <rFont val="Calibri"/>
      </rPr>
      <t>E)</t>
    </r>
  </si>
  <si>
    <t xml:space="preserve">Synthetic </t>
  </si>
  <si>
    <t>Brown Station Landfill B</t>
  </si>
  <si>
    <t>CDP/Sandy Hill</t>
  </si>
  <si>
    <t>Saint Andrews 1 &amp; 2 Municipal LF</t>
  </si>
  <si>
    <t xml:space="preserve">Organic  </t>
  </si>
  <si>
    <t>Somerset</t>
  </si>
  <si>
    <t>Somerset County Municipal LF or Fairmount Rd</t>
  </si>
  <si>
    <t>Westover/Ring</t>
  </si>
  <si>
    <t>Dried Blood</t>
  </si>
  <si>
    <t>Compost</t>
  </si>
  <si>
    <t>Talbot</t>
  </si>
  <si>
    <t>Midshore II Regional Municipal LF</t>
  </si>
  <si>
    <t>Dried Manure</t>
  </si>
  <si>
    <t>Activated Sewage Sludge</t>
  </si>
  <si>
    <t>Other Sewage Sludge</t>
  </si>
  <si>
    <t>Washington</t>
  </si>
  <si>
    <t>Hancock Landfill</t>
  </si>
  <si>
    <t>Tankage</t>
  </si>
  <si>
    <t xml:space="preserve">Other </t>
  </si>
  <si>
    <t>Dried Manure %</t>
  </si>
  <si>
    <t>Resh Road 1 &amp; 2 Municipal LF</t>
  </si>
  <si>
    <t>Non-Manure Organics</t>
  </si>
  <si>
    <t>Forty West</t>
  </si>
  <si>
    <t>Manure Organics</t>
  </si>
  <si>
    <t>Wicomico</t>
  </si>
  <si>
    <t>Newland Park Municipal LF - Wicomico County Landfill</t>
  </si>
  <si>
    <r>
      <rPr>
        <b/>
        <sz val="11"/>
        <color theme="1"/>
        <rFont val="Calibri"/>
      </rPr>
      <t>Total Fertilizer Use</t>
    </r>
    <r>
      <rPr>
        <sz val="8"/>
        <color theme="1"/>
        <rFont val="Calibri"/>
      </rPr>
      <t xml:space="preserve"> (kg N)</t>
    </r>
  </si>
  <si>
    <t>Worcester</t>
  </si>
  <si>
    <t>Central Municipal LF- Worcester County Sanitary Landfill</t>
  </si>
  <si>
    <t>Worcester County Sanitary Landfill Cells 2 &amp; 3</t>
  </si>
  <si>
    <r>
      <rPr>
        <b/>
        <sz val="11"/>
        <color theme="1"/>
        <rFont val="Calibri"/>
      </rPr>
      <t>MSW CH</t>
    </r>
    <r>
      <rPr>
        <b/>
        <vertAlign val="subscript"/>
        <sz val="10"/>
        <color theme="1"/>
        <rFont val="Arial"/>
      </rPr>
      <t>4</t>
    </r>
    <r>
      <rPr>
        <b/>
        <sz val="10"/>
        <color theme="1"/>
        <rFont val="Arial"/>
      </rPr>
      <t xml:space="preserve"> Generation (short ton CH</t>
    </r>
    <r>
      <rPr>
        <b/>
        <vertAlign val="subscript"/>
        <sz val="10"/>
        <color theme="1"/>
        <rFont val="Arial"/>
      </rPr>
      <t>4</t>
    </r>
    <r>
      <rPr>
        <b/>
        <sz val="10"/>
        <color theme="1"/>
        <rFont val="Arial"/>
      </rPr>
      <t>)</t>
    </r>
  </si>
  <si>
    <t>Land Use, Land-Use Change, and Forestry Emissions and Sequestration</t>
  </si>
  <si>
    <t>Agriculture Soils - Emissions from Animals &amp; Runoff</t>
  </si>
  <si>
    <r>
      <rPr>
        <b/>
        <sz val="11"/>
        <color theme="1"/>
        <rFont val="Calibri"/>
      </rPr>
      <t>Flared CH</t>
    </r>
    <r>
      <rPr>
        <b/>
        <vertAlign val="subscript"/>
        <sz val="10"/>
        <color theme="1"/>
        <rFont val="Arial"/>
      </rPr>
      <t>4</t>
    </r>
    <r>
      <rPr>
        <b/>
        <sz val="8"/>
        <color theme="1"/>
        <rFont val="Arial"/>
      </rPr>
      <t xml:space="preserve"> (short tons)</t>
    </r>
  </si>
  <si>
    <t xml:space="preserve">Percentage Breakdown of Manure Management Systems </t>
  </si>
  <si>
    <t>K-NITROGEN EXCRETED BY MANAGEMENT SYSTEM (kg):</t>
  </si>
  <si>
    <t>DIRECT EMISSIONS (MT N)</t>
  </si>
  <si>
    <t>Landfill Gas-to-Energy (tons)</t>
  </si>
  <si>
    <t>Source: US Inventory spreadsheets. See Manure-N2O.xls, WMS sheets.</t>
  </si>
  <si>
    <r>
      <rPr>
        <b/>
        <sz val="11"/>
        <color theme="1"/>
        <rFont val="Calibri"/>
      </rPr>
      <t xml:space="preserve">Number of Animals
</t>
    </r>
    <r>
      <rPr>
        <sz val="8"/>
        <color theme="1"/>
        <rFont val="Calibri"/>
      </rPr>
      <t>('000 head)</t>
    </r>
  </si>
  <si>
    <t>TAM
(kg)</t>
  </si>
  <si>
    <t>K-Nitrogen
(kg/day/1000kg)</t>
  </si>
  <si>
    <r>
      <rPr>
        <b/>
        <sz val="11"/>
        <color theme="1"/>
        <rFont val="Calibri"/>
      </rPr>
      <t xml:space="preserve">Total K-Nitrogen Excreted
</t>
    </r>
    <r>
      <rPr>
        <sz val="8"/>
        <color theme="1"/>
        <rFont val="Calibri"/>
      </rPr>
      <t>(kg)</t>
    </r>
  </si>
  <si>
    <r>
      <rPr>
        <b/>
        <sz val="11"/>
        <color theme="1"/>
        <rFont val="Calibri"/>
      </rPr>
      <t>Indirect Animal N</t>
    </r>
    <r>
      <rPr>
        <b/>
        <vertAlign val="subscript"/>
        <sz val="8"/>
        <color theme="1"/>
        <rFont val="Calibri"/>
      </rPr>
      <t>2</t>
    </r>
    <r>
      <rPr>
        <b/>
        <sz val="8"/>
        <color theme="1"/>
        <rFont val="Calibri"/>
      </rPr>
      <t xml:space="preserve">O Emissions
</t>
    </r>
    <r>
      <rPr>
        <sz val="8"/>
        <color theme="1"/>
        <rFont val="Calibri"/>
      </rPr>
      <t>(metric tons N)</t>
    </r>
  </si>
  <si>
    <t>Managed Systems</t>
  </si>
  <si>
    <t>Unmanaged Systems - Pasture, Range, and Paddock</t>
  </si>
  <si>
    <r>
      <rPr>
        <sz val="11"/>
        <color theme="1"/>
        <rFont val="Calibri"/>
      </rPr>
      <t>CH</t>
    </r>
    <r>
      <rPr>
        <vertAlign val="subscript"/>
        <sz val="10"/>
        <color theme="1"/>
        <rFont val="Arial"/>
      </rPr>
      <t>4</t>
    </r>
    <r>
      <rPr>
        <sz val="10"/>
        <color theme="1"/>
        <rFont val="Arial"/>
      </rPr>
      <t xml:space="preserve"> GWP</t>
    </r>
  </si>
  <si>
    <t>Unmanaged Systems - Daily Spread</t>
  </si>
  <si>
    <t>Manure Applied to Soils</t>
  </si>
  <si>
    <t>Pasture, Range and Paddock</t>
  </si>
  <si>
    <t>Leaching and Runoff</t>
  </si>
  <si>
    <r>
      <rPr>
        <b/>
        <sz val="11"/>
        <color rgb="FF1155CC"/>
        <rFont val="Calibri"/>
      </rPr>
      <t xml:space="preserve">(A) NASA-CMS/UMD Forest Carbon Monitoring </t>
    </r>
    <r>
      <rPr>
        <sz val="11"/>
        <color rgb="FF1155CC"/>
        <rFont val="Calibri"/>
      </rPr>
      <t>(for above ground biomass)</t>
    </r>
  </si>
  <si>
    <r>
      <rPr>
        <sz val="11"/>
        <color theme="1"/>
        <rFont val="Calibri"/>
      </rPr>
      <t>CH</t>
    </r>
    <r>
      <rPr>
        <vertAlign val="subscript"/>
        <sz val="10"/>
        <color theme="1"/>
        <rFont val="Arial"/>
      </rPr>
      <t>4</t>
    </r>
    <r>
      <rPr>
        <sz val="10"/>
        <color theme="1"/>
        <rFont val="Arial"/>
      </rPr>
      <t xml:space="preserve"> GWP</t>
    </r>
  </si>
  <si>
    <t xml:space="preserve">Dairy Cows </t>
  </si>
  <si>
    <r>
      <rPr>
        <sz val="11"/>
        <color theme="1"/>
        <rFont val="Calibri"/>
      </rPr>
      <t>CH</t>
    </r>
    <r>
      <rPr>
        <vertAlign val="subscript"/>
        <sz val="10"/>
        <color theme="1"/>
        <rFont val="Arial"/>
      </rPr>
      <t>4</t>
    </r>
    <r>
      <rPr>
        <sz val="10"/>
        <color theme="1"/>
        <rFont val="Arial"/>
      </rPr>
      <t xml:space="preserve"> GWP</t>
    </r>
  </si>
  <si>
    <t>AGB stocks (Tg C)</t>
  </si>
  <si>
    <t>Dairy Heifers</t>
  </si>
  <si>
    <t>Net AGB flux 
(Tg C/yr)</t>
  </si>
  <si>
    <t>AGB Flux from existing trees 
(Tg C/yr)</t>
  </si>
  <si>
    <t>AGB Flux from Forest to Non-forest conversion 
(Tg C/yr)</t>
  </si>
  <si>
    <t>AGB Flux from Non-forest to Forest conversion 
(Tg C/yr)</t>
  </si>
  <si>
    <t>Feedlot Beef</t>
  </si>
  <si>
    <t>NOF Beef</t>
  </si>
  <si>
    <r>
      <rPr>
        <b/>
        <sz val="11"/>
        <color theme="1"/>
        <rFont val="Calibri"/>
      </rPr>
      <t>MSW Generation (MTCO</t>
    </r>
    <r>
      <rPr>
        <b/>
        <vertAlign val="subscript"/>
        <sz val="10"/>
        <color theme="1"/>
        <rFont val="Arial"/>
      </rPr>
      <t>2</t>
    </r>
    <r>
      <rPr>
        <b/>
        <sz val="10"/>
        <color theme="1"/>
        <rFont val="Arial"/>
      </rPr>
      <t>E)</t>
    </r>
  </si>
  <si>
    <r>
      <rPr>
        <b/>
        <sz val="11"/>
        <color theme="1"/>
        <rFont val="Calibri"/>
      </rPr>
      <t>Flared CH</t>
    </r>
    <r>
      <rPr>
        <b/>
        <vertAlign val="subscript"/>
        <sz val="10"/>
        <color theme="1"/>
        <rFont val="Arial"/>
      </rPr>
      <t>4</t>
    </r>
    <r>
      <rPr>
        <b/>
        <sz val="10"/>
        <color theme="1"/>
        <rFont val="Arial"/>
      </rPr>
      <t xml:space="preserve"> (MTCO</t>
    </r>
    <r>
      <rPr>
        <b/>
        <vertAlign val="subscript"/>
        <sz val="10"/>
        <color theme="1"/>
        <rFont val="Arial"/>
      </rPr>
      <t>2</t>
    </r>
    <r>
      <rPr>
        <b/>
        <sz val="10"/>
        <color theme="1"/>
        <rFont val="Arial"/>
      </rPr>
      <t>E)</t>
    </r>
  </si>
  <si>
    <r>
      <rPr>
        <b/>
        <sz val="11"/>
        <color theme="1"/>
        <rFont val="Calibri"/>
      </rPr>
      <t>Landfill Gas-to-Energy (MTCO</t>
    </r>
    <r>
      <rPr>
        <b/>
        <vertAlign val="subscript"/>
        <sz val="10"/>
        <color theme="1"/>
        <rFont val="Arial"/>
      </rPr>
      <t>2</t>
    </r>
    <r>
      <rPr>
        <b/>
        <sz val="10"/>
        <color theme="1"/>
        <rFont val="Arial"/>
      </rPr>
      <t>E)</t>
    </r>
  </si>
  <si>
    <t>Year &amp; State</t>
  </si>
  <si>
    <t>Anaerobic Lagoon</t>
  </si>
  <si>
    <t>Liquid/ Slurry</t>
  </si>
  <si>
    <t>Daily Spread</t>
  </si>
  <si>
    <t>Solid Storage</t>
  </si>
  <si>
    <t>Pasture</t>
  </si>
  <si>
    <t>Deep Pit</t>
  </si>
  <si>
    <t>Managed</t>
  </si>
  <si>
    <t>PRP</t>
  </si>
  <si>
    <t>STATE</t>
  </si>
  <si>
    <t>Dry Lot</t>
  </si>
  <si>
    <t>Poultry without bedding</t>
  </si>
  <si>
    <t>State</t>
  </si>
  <si>
    <t>Litter</t>
  </si>
  <si>
    <t>Range</t>
  </si>
  <si>
    <t>On Feed (PRP)</t>
  </si>
  <si>
    <t>Not on Feed (PRP)</t>
  </si>
  <si>
    <r>
      <rPr>
        <b/>
        <sz val="11"/>
        <color theme="1"/>
        <rFont val="Calibri"/>
      </rPr>
      <t>Industrial  Generation (MTCO</t>
    </r>
    <r>
      <rPr>
        <b/>
        <vertAlign val="subscript"/>
        <sz val="10"/>
        <color theme="1"/>
        <rFont val="Arial"/>
      </rPr>
      <t>2</t>
    </r>
    <r>
      <rPr>
        <b/>
        <sz val="10"/>
        <color theme="1"/>
        <rFont val="Arial"/>
      </rPr>
      <t>E)</t>
    </r>
  </si>
  <si>
    <t>Pasture, Range &amp; Paddock</t>
  </si>
  <si>
    <r>
      <rPr>
        <b/>
        <sz val="11"/>
        <color theme="1"/>
        <rFont val="Calibri"/>
      </rPr>
      <t>Landfill Gas-to-Energy (MTC</t>
    </r>
    <r>
      <rPr>
        <b/>
        <sz val="10"/>
        <color theme="1"/>
        <rFont val="Arial"/>
      </rPr>
      <t>E)</t>
    </r>
  </si>
  <si>
    <r>
      <rPr>
        <b/>
        <sz val="11"/>
        <color rgb="FF1155CC"/>
        <rFont val="Calibri"/>
      </rPr>
      <t xml:space="preserve">(B) USFS Model state-level estimates </t>
    </r>
    <r>
      <rPr>
        <sz val="11"/>
        <color rgb="FF1155CC"/>
        <rFont val="Calibri"/>
      </rPr>
      <t>(for other forest pools)</t>
    </r>
  </si>
  <si>
    <r>
      <rPr>
        <b/>
        <sz val="11"/>
        <color theme="1"/>
        <rFont val="Calibri"/>
      </rPr>
      <t>Potential CH</t>
    </r>
    <r>
      <rPr>
        <b/>
        <vertAlign val="subscript"/>
        <sz val="10"/>
        <color theme="1"/>
        <rFont val="Arial"/>
      </rPr>
      <t xml:space="preserve">4 </t>
    </r>
    <r>
      <rPr>
        <b/>
        <sz val="10"/>
        <color theme="1"/>
        <rFont val="Arial"/>
      </rPr>
      <t>(MTCO</t>
    </r>
    <r>
      <rPr>
        <b/>
        <vertAlign val="subscript"/>
        <sz val="10"/>
        <color theme="1"/>
        <rFont val="Arial"/>
      </rPr>
      <t>2</t>
    </r>
    <r>
      <rPr>
        <b/>
        <sz val="10"/>
        <color theme="1"/>
        <rFont val="Arial"/>
      </rPr>
      <t>E)</t>
    </r>
  </si>
  <si>
    <t>Unvolatilized N from Organic Fertilizers (kg)</t>
  </si>
  <si>
    <t>2011MD</t>
  </si>
  <si>
    <t>Net CO2 Flux from Forest Pools in Forest Land Remaining Forest Land (MMT CO2 Eq.)</t>
  </si>
  <si>
    <r>
      <rPr>
        <b/>
        <sz val="11"/>
        <color theme="1"/>
        <rFont val="Calibri"/>
      </rPr>
      <t>CH</t>
    </r>
    <r>
      <rPr>
        <b/>
        <vertAlign val="subscript"/>
        <sz val="10"/>
        <color theme="1"/>
        <rFont val="Arial"/>
      </rPr>
      <t>4</t>
    </r>
    <r>
      <rPr>
        <b/>
        <sz val="10"/>
        <color theme="1"/>
        <rFont val="Arial"/>
      </rPr>
      <t xml:space="preserve"> Avoided (MTCO</t>
    </r>
    <r>
      <rPr>
        <b/>
        <vertAlign val="subscript"/>
        <sz val="10"/>
        <color theme="1"/>
        <rFont val="Arial"/>
      </rPr>
      <t>2</t>
    </r>
    <r>
      <rPr>
        <b/>
        <sz val="10"/>
        <color theme="1"/>
        <rFont val="Arial"/>
      </rPr>
      <t>E)</t>
    </r>
  </si>
  <si>
    <t>Carbon Pools</t>
  </si>
  <si>
    <t>Oxidation at MSW Landfills (tons)</t>
  </si>
  <si>
    <t>MD</t>
  </si>
  <si>
    <t>Dead Wood</t>
  </si>
  <si>
    <r>
      <rPr>
        <sz val="11"/>
        <color theme="1"/>
        <rFont val="Calibri"/>
      </rPr>
      <t>CH</t>
    </r>
    <r>
      <rPr>
        <vertAlign val="subscript"/>
        <sz val="10"/>
        <color theme="1"/>
        <rFont val="Arial"/>
      </rPr>
      <t>4</t>
    </r>
    <r>
      <rPr>
        <sz val="10"/>
        <color theme="1"/>
        <rFont val="Arial"/>
      </rPr>
      <t xml:space="preserve"> GWP</t>
    </r>
  </si>
  <si>
    <r>
      <rPr>
        <b/>
        <sz val="11"/>
        <color theme="1"/>
        <rFont val="Calibri"/>
      </rPr>
      <t>Potential CH</t>
    </r>
    <r>
      <rPr>
        <b/>
        <vertAlign val="subscript"/>
        <sz val="10"/>
        <color theme="1"/>
        <rFont val="Arial"/>
      </rPr>
      <t xml:space="preserve">4 </t>
    </r>
    <r>
      <rPr>
        <b/>
        <sz val="10"/>
        <color theme="1"/>
        <rFont val="Arial"/>
      </rPr>
      <t>(MTCE)</t>
    </r>
  </si>
  <si>
    <t>Soil (Mineral)</t>
  </si>
  <si>
    <t>Soil (Organic)</t>
  </si>
  <si>
    <t>Net CO2 Flux from Forest C Pools in Land Converted to Forest Land by Land Use Change Category (MMT CO2 Eq.)</t>
  </si>
  <si>
    <r>
      <rPr>
        <b/>
        <sz val="11"/>
        <color theme="1"/>
        <rFont val="Calibri"/>
      </rPr>
      <t>CH</t>
    </r>
    <r>
      <rPr>
        <b/>
        <vertAlign val="subscript"/>
        <sz val="10"/>
        <color theme="1"/>
        <rFont val="Arial"/>
      </rPr>
      <t>4</t>
    </r>
    <r>
      <rPr>
        <b/>
        <sz val="10"/>
        <color theme="1"/>
        <rFont val="Arial"/>
      </rPr>
      <t xml:space="preserve"> Avoided (MTCE)</t>
    </r>
  </si>
  <si>
    <t>Unvolatilized N from Synthetic Fertilizers (kg)</t>
  </si>
  <si>
    <t>Land Use Conversion</t>
  </si>
  <si>
    <t>Land Use/Carbon Pool</t>
  </si>
  <si>
    <t>Totals (Pools)</t>
  </si>
  <si>
    <t>Total Dead Wood Flux</t>
  </si>
  <si>
    <t>Total Litter Flux</t>
  </si>
  <si>
    <r>
      <rPr>
        <b/>
        <sz val="11"/>
        <color theme="1"/>
        <rFont val="Calibri"/>
      </rPr>
      <t>Oxidation at MSW Landfills (MTCO</t>
    </r>
    <r>
      <rPr>
        <b/>
        <vertAlign val="subscript"/>
        <sz val="10"/>
        <color theme="1"/>
        <rFont val="Arial"/>
      </rPr>
      <t>2</t>
    </r>
    <r>
      <rPr>
        <b/>
        <sz val="10"/>
        <color theme="1"/>
        <rFont val="Arial"/>
      </rPr>
      <t>E)</t>
    </r>
  </si>
  <si>
    <t>Total Soil (Mineral) Flux</t>
  </si>
  <si>
    <t>Net CO2 Flux from Forest C Pools in Forest Land Converted to Land by Land Use Change Category (MMT CO2 Eq.)</t>
  </si>
  <si>
    <r>
      <rPr>
        <b/>
        <sz val="11"/>
        <color theme="1"/>
        <rFont val="Calibri"/>
      </rPr>
      <t>Fertilizer Runoff/Leached</t>
    </r>
    <r>
      <rPr>
        <sz val="8"/>
        <color theme="1"/>
        <rFont val="Calibri"/>
      </rPr>
      <t xml:space="preserve"> (metric tons N)</t>
    </r>
  </si>
  <si>
    <r>
      <rPr>
        <b/>
        <sz val="11"/>
        <color theme="1"/>
        <rFont val="Calibri"/>
      </rPr>
      <t>Oxidation at MSW Landfills (MTC</t>
    </r>
    <r>
      <rPr>
        <b/>
        <sz val="10"/>
        <color theme="1"/>
        <rFont val="Arial"/>
      </rPr>
      <t>E)</t>
    </r>
  </si>
  <si>
    <r>
      <rPr>
        <b/>
        <sz val="11"/>
        <color theme="1"/>
        <rFont val="Calibri"/>
      </rPr>
      <t>Oxidation at Industrial Landfills (MTCO</t>
    </r>
    <r>
      <rPr>
        <b/>
        <vertAlign val="subscript"/>
        <sz val="10"/>
        <color theme="1"/>
        <rFont val="Arial"/>
      </rPr>
      <t>2</t>
    </r>
    <r>
      <rPr>
        <b/>
        <sz val="10"/>
        <color theme="1"/>
        <rFont val="Arial"/>
      </rPr>
      <t>E)</t>
    </r>
  </si>
  <si>
    <t>Tree and Forest Carbon Summary</t>
  </si>
  <si>
    <t>Emissions (MMTCO2e)</t>
  </si>
  <si>
    <t>Above Ground Biomass Flux¹</t>
  </si>
  <si>
    <r>
      <rPr>
        <b/>
        <sz val="11"/>
        <color theme="1"/>
        <rFont val="Calibri"/>
      </rPr>
      <t>Oxidation at Industrial Landfills (MTC</t>
    </r>
    <r>
      <rPr>
        <b/>
        <sz val="10"/>
        <color theme="1"/>
        <rFont val="Arial"/>
      </rPr>
      <t>E)</t>
    </r>
  </si>
  <si>
    <t>Below Ground Biomass Flux¹ ²</t>
  </si>
  <si>
    <t>Deadwood³</t>
  </si>
  <si>
    <r>
      <rPr>
        <b/>
        <sz val="11"/>
        <color theme="1"/>
        <rFont val="Calibri"/>
      </rPr>
      <t>Total CH</t>
    </r>
    <r>
      <rPr>
        <b/>
        <vertAlign val="subscript"/>
        <sz val="10"/>
        <color theme="1"/>
        <rFont val="Arial"/>
      </rPr>
      <t>4</t>
    </r>
    <r>
      <rPr>
        <b/>
        <sz val="10"/>
        <color theme="1"/>
        <rFont val="Arial"/>
      </rPr>
      <t xml:space="preserve"> Emissions (MTCO</t>
    </r>
    <r>
      <rPr>
        <b/>
        <vertAlign val="subscript"/>
        <sz val="10"/>
        <color theme="1"/>
        <rFont val="Arial"/>
      </rPr>
      <t>2</t>
    </r>
    <r>
      <rPr>
        <b/>
        <sz val="10"/>
        <color theme="1"/>
        <rFont val="Arial"/>
      </rPr>
      <t>E)</t>
    </r>
  </si>
  <si>
    <t>Litter³</t>
  </si>
  <si>
    <t>Total N excreted by Livestock (kg)</t>
  </si>
  <si>
    <t>Soil (Mineral)³</t>
  </si>
  <si>
    <t>Soil (Organic)³</t>
  </si>
  <si>
    <r>
      <rPr>
        <b/>
        <sz val="11"/>
        <color rgb="FFFF6600"/>
        <rFont val="Calibri"/>
      </rPr>
      <t xml:space="preserve"> CO</t>
    </r>
    <r>
      <rPr>
        <b/>
        <vertAlign val="subscript"/>
        <sz val="10"/>
        <color rgb="FFFF6600"/>
        <rFont val="Arial"/>
      </rPr>
      <t>2</t>
    </r>
    <r>
      <rPr>
        <b/>
        <sz val="10"/>
        <color rgb="FFFF6600"/>
        <rFont val="Arial"/>
      </rPr>
      <t xml:space="preserve"> Emission from (Flaring + LFGTE) (MTCO</t>
    </r>
    <r>
      <rPr>
        <b/>
        <vertAlign val="subscript"/>
        <sz val="10"/>
        <color rgb="FFFF6600"/>
        <rFont val="Arial"/>
      </rPr>
      <t>2</t>
    </r>
    <r>
      <rPr>
        <b/>
        <sz val="10"/>
        <color rgb="FFFF6600"/>
        <rFont val="Arial"/>
      </rPr>
      <t>E)</t>
    </r>
  </si>
  <si>
    <r>
      <rPr>
        <b/>
        <sz val="11"/>
        <color theme="1"/>
        <rFont val="Calibri"/>
      </rPr>
      <t>CO</t>
    </r>
    <r>
      <rPr>
        <b/>
        <vertAlign val="subscript"/>
        <sz val="10"/>
        <color theme="1"/>
        <rFont val="Arial"/>
      </rPr>
      <t>2</t>
    </r>
    <r>
      <rPr>
        <b/>
        <sz val="10"/>
        <color theme="1"/>
        <rFont val="Arial"/>
      </rPr>
      <t xml:space="preserve"> Emission from (Flaring + LFGTE) (MMTCO</t>
    </r>
    <r>
      <rPr>
        <b/>
        <vertAlign val="subscript"/>
        <sz val="10"/>
        <color theme="1"/>
        <rFont val="Arial"/>
      </rPr>
      <t>2</t>
    </r>
    <r>
      <rPr>
        <b/>
        <sz val="10"/>
        <color theme="1"/>
        <rFont val="Arial"/>
      </rPr>
      <t>E)</t>
    </r>
  </si>
  <si>
    <t>Landfilled Yard Trimmings and Food Scraps</t>
  </si>
  <si>
    <r>
      <rPr>
        <b/>
        <sz val="11"/>
        <color theme="1"/>
        <rFont val="Calibri"/>
      </rPr>
      <t xml:space="preserve">Manure Runoff/Leached </t>
    </r>
    <r>
      <rPr>
        <sz val="8"/>
        <color theme="1"/>
        <rFont val="Calibri"/>
      </rPr>
      <t>(metric tons N)</t>
    </r>
  </si>
  <si>
    <r>
      <rPr>
        <b/>
        <sz val="11"/>
        <color rgb="FFFF6600"/>
        <rFont val="Calibri"/>
      </rPr>
      <t xml:space="preserve"> CO</t>
    </r>
    <r>
      <rPr>
        <b/>
        <vertAlign val="subscript"/>
        <sz val="11"/>
        <color rgb="FFFF6600"/>
        <rFont val="Calibri"/>
      </rPr>
      <t>2</t>
    </r>
    <r>
      <rPr>
        <b/>
        <sz val="11"/>
        <color rgb="FFFF6600"/>
        <rFont val="Calibri"/>
      </rPr>
      <t xml:space="preserve"> Emission from Landfill (MTCO</t>
    </r>
    <r>
      <rPr>
        <b/>
        <vertAlign val="subscript"/>
        <sz val="11"/>
        <color rgb="FFFF6600"/>
        <rFont val="Calibri"/>
      </rPr>
      <t>2</t>
    </r>
    <r>
      <rPr>
        <b/>
        <sz val="11"/>
        <color rgb="FFFF6600"/>
        <rFont val="Calibri"/>
      </rPr>
      <t>E)</t>
    </r>
  </si>
  <si>
    <t>Grass</t>
  </si>
  <si>
    <r>
      <rPr>
        <b/>
        <sz val="11"/>
        <color theme="1"/>
        <rFont val="Calibri"/>
      </rPr>
      <t xml:space="preserve"> CO</t>
    </r>
    <r>
      <rPr>
        <b/>
        <vertAlign val="subscript"/>
        <sz val="11"/>
        <color theme="1"/>
        <rFont val="Calibri"/>
      </rPr>
      <t>2</t>
    </r>
    <r>
      <rPr>
        <b/>
        <sz val="11"/>
        <color theme="1"/>
        <rFont val="Calibri"/>
      </rPr>
      <t xml:space="preserve"> Emission from Landfill (MMTCO</t>
    </r>
    <r>
      <rPr>
        <b/>
        <vertAlign val="subscript"/>
        <sz val="11"/>
        <color theme="1"/>
        <rFont val="Calibri"/>
      </rPr>
      <t>2</t>
    </r>
    <r>
      <rPr>
        <b/>
        <sz val="11"/>
        <color theme="1"/>
        <rFont val="Calibri"/>
      </rPr>
      <t>E)</t>
    </r>
  </si>
  <si>
    <t>Leaves</t>
  </si>
  <si>
    <t>Branches</t>
  </si>
  <si>
    <r>
      <rPr>
        <b/>
        <sz val="11"/>
        <color theme="1"/>
        <rFont val="Calibri"/>
      </rPr>
      <t>Total CH</t>
    </r>
    <r>
      <rPr>
        <b/>
        <vertAlign val="subscript"/>
        <sz val="10"/>
        <color theme="1"/>
        <rFont val="Arial"/>
      </rPr>
      <t>4</t>
    </r>
    <r>
      <rPr>
        <b/>
        <sz val="10"/>
        <color theme="1"/>
        <rFont val="Arial"/>
      </rPr>
      <t xml:space="preserve"> Emissions (MMTCO</t>
    </r>
    <r>
      <rPr>
        <b/>
        <vertAlign val="subscript"/>
        <sz val="10"/>
        <color theme="1"/>
        <rFont val="Arial"/>
      </rPr>
      <t>2</t>
    </r>
    <r>
      <rPr>
        <b/>
        <sz val="10"/>
        <color theme="1"/>
        <rFont val="Arial"/>
      </rPr>
      <t>E)</t>
    </r>
  </si>
  <si>
    <t>Landfilled Food Scraps</t>
  </si>
  <si>
    <t>Total Wood Products and Landfills</t>
  </si>
  <si>
    <r>
      <rPr>
        <b/>
        <sz val="11"/>
        <color theme="1"/>
        <rFont val="Calibri"/>
      </rPr>
      <t xml:space="preserve">TOTAL Runoff/Leached </t>
    </r>
    <r>
      <rPr>
        <sz val="8"/>
        <color theme="1"/>
        <rFont val="Calibri"/>
      </rPr>
      <t>(metric tons N</t>
    </r>
    <r>
      <rPr>
        <vertAlign val="subscript"/>
        <sz val="8"/>
        <color theme="1"/>
        <rFont val="Calibri"/>
      </rPr>
      <t>2</t>
    </r>
    <r>
      <rPr>
        <sz val="8"/>
        <color theme="1"/>
        <rFont val="Calibri"/>
      </rPr>
      <t>O-N)</t>
    </r>
  </si>
  <si>
    <t>Total wood products and landfills</t>
  </si>
  <si>
    <t>Total Beef Heifers</t>
  </si>
  <si>
    <t>Emission Factor
(percent)</t>
  </si>
  <si>
    <t>Wetlands and Submerged Aquatic Vegetation (SAV)</t>
  </si>
  <si>
    <t>Coastal Wetlands and SAV</t>
  </si>
  <si>
    <t>Area (acres)</t>
  </si>
  <si>
    <t>Wetland Category and Salinity</t>
  </si>
  <si>
    <t>Coastal Bays Estaurine Wetland</t>
  </si>
  <si>
    <t>Mesohaline Estaurine Wetlands</t>
  </si>
  <si>
    <t>Freshwater SAV</t>
  </si>
  <si>
    <t>Oligohaline SAV</t>
  </si>
  <si>
    <t>Mesohaline SAV</t>
  </si>
  <si>
    <t>Coastal Bays SAV</t>
  </si>
  <si>
    <t>Total, Wetlands</t>
  </si>
  <si>
    <t>Total, SAV</t>
  </si>
  <si>
    <t>Soil Carbon Burial (Mg CO2)</t>
  </si>
  <si>
    <t>Mg CO2 acre-1 yr-1</t>
  </si>
  <si>
    <t>EMISSIONS SUMMARY  2011</t>
  </si>
  <si>
    <r>
      <rPr>
        <b/>
        <sz val="11"/>
        <color theme="1"/>
        <rFont val="Calibri"/>
      </rPr>
      <t>Livestock
(Metric Tons N</t>
    </r>
    <r>
      <rPr>
        <b/>
        <vertAlign val="subscript"/>
        <sz val="8"/>
        <color theme="1"/>
        <rFont val="Calibri"/>
      </rPr>
      <t>2</t>
    </r>
    <r>
      <rPr>
        <b/>
        <sz val="8"/>
        <color theme="1"/>
        <rFont val="Calibri"/>
      </rPr>
      <t>O)</t>
    </r>
  </si>
  <si>
    <t>Livestock
(MMTCE)</t>
  </si>
  <si>
    <r>
      <rPr>
        <b/>
        <sz val="11"/>
        <color theme="1"/>
        <rFont val="Calibri"/>
      </rPr>
      <t>Livestock
(MMTCO</t>
    </r>
    <r>
      <rPr>
        <b/>
        <vertAlign val="subscript"/>
        <sz val="8"/>
        <color theme="1"/>
        <rFont val="Calibri"/>
      </rPr>
      <t>2</t>
    </r>
    <r>
      <rPr>
        <b/>
        <sz val="8"/>
        <color theme="1"/>
        <rFont val="Calibri"/>
      </rPr>
      <t>E)</t>
    </r>
  </si>
  <si>
    <r>
      <rPr>
        <b/>
        <sz val="11"/>
        <color theme="1"/>
        <rFont val="Calibri"/>
      </rPr>
      <t>Leaching and Runoff
(Metric Tons N</t>
    </r>
    <r>
      <rPr>
        <b/>
        <vertAlign val="subscript"/>
        <sz val="8"/>
        <color theme="1"/>
        <rFont val="Calibri"/>
      </rPr>
      <t>2</t>
    </r>
    <r>
      <rPr>
        <b/>
        <sz val="8"/>
        <color theme="1"/>
        <rFont val="Calibri"/>
      </rPr>
      <t>O)</t>
    </r>
  </si>
  <si>
    <t>Leaching and Runoff
(MMTCE)</t>
  </si>
  <si>
    <r>
      <rPr>
        <b/>
        <sz val="11"/>
        <color theme="1"/>
        <rFont val="Calibri"/>
      </rPr>
      <t>Leaching and Runoff
(MMTCO</t>
    </r>
    <r>
      <rPr>
        <b/>
        <vertAlign val="subscript"/>
        <sz val="8"/>
        <color theme="1"/>
        <rFont val="Calibri"/>
      </rPr>
      <t>2</t>
    </r>
    <r>
      <rPr>
        <b/>
        <sz val="8"/>
        <color theme="1"/>
        <rFont val="Calibri"/>
      </rPr>
      <t>E)</t>
    </r>
  </si>
  <si>
    <r>
      <rPr>
        <b/>
        <sz val="11"/>
        <color rgb="FFFF0000"/>
        <rFont val="Calibri"/>
      </rPr>
      <t>Indirect N</t>
    </r>
    <r>
      <rPr>
        <b/>
        <vertAlign val="subscript"/>
        <sz val="8"/>
        <color rgb="FFFF0000"/>
        <rFont val="Calibri"/>
      </rPr>
      <t>2</t>
    </r>
    <r>
      <rPr>
        <b/>
        <sz val="8"/>
        <color rgb="FFFF0000"/>
        <rFont val="Calibri"/>
      </rPr>
      <t>O Emissions</t>
    </r>
  </si>
  <si>
    <t>Methane Emissions (Mg CH4)</t>
  </si>
  <si>
    <t>Mg CH4 ac-1 yr-1</t>
  </si>
  <si>
    <t>TOTAL Runoff/Leached</t>
  </si>
  <si>
    <r>
      <rPr>
        <b/>
        <sz val="11"/>
        <color theme="1"/>
        <rFont val="Calibri"/>
      </rPr>
      <t>Direct N</t>
    </r>
    <r>
      <rPr>
        <b/>
        <vertAlign val="subscript"/>
        <sz val="8"/>
        <color theme="1"/>
        <rFont val="Calibri"/>
      </rPr>
      <t>2</t>
    </r>
    <r>
      <rPr>
        <b/>
        <sz val="8"/>
        <color theme="1"/>
        <rFont val="Calibri"/>
      </rPr>
      <t>O Emissions - Manure Applied to Soils (including Daily Spread)</t>
    </r>
  </si>
  <si>
    <t>Fertilizer Runoff/Leached</t>
  </si>
  <si>
    <r>
      <rPr>
        <b/>
        <sz val="11"/>
        <color theme="1"/>
        <rFont val="Calibri"/>
      </rPr>
      <t>Direct N</t>
    </r>
    <r>
      <rPr>
        <b/>
        <vertAlign val="subscript"/>
        <sz val="8"/>
        <color theme="1"/>
        <rFont val="Calibri"/>
      </rPr>
      <t>2</t>
    </r>
    <r>
      <rPr>
        <b/>
        <sz val="8"/>
        <color theme="1"/>
        <rFont val="Calibri"/>
      </rPr>
      <t>O Emissions - Pasture, Range, and Paddock</t>
    </r>
  </si>
  <si>
    <t xml:space="preserve">Manure Runoff/Leached </t>
  </si>
  <si>
    <t>Carbon Flux from Wetland Landuse Change (Mg CO2)</t>
  </si>
  <si>
    <t>Vegetated Coastal Wetlands Converted to Unvegetated Open Water Coastal Wetlands</t>
  </si>
  <si>
    <r>
      <rPr>
        <b/>
        <sz val="11"/>
        <color rgb="FFFF0000"/>
        <rFont val="Calibri"/>
      </rPr>
      <t>Direct N</t>
    </r>
    <r>
      <rPr>
        <b/>
        <vertAlign val="subscript"/>
        <sz val="8"/>
        <color rgb="FFFF0000"/>
        <rFont val="Calibri"/>
      </rPr>
      <t>2</t>
    </r>
    <r>
      <rPr>
        <b/>
        <sz val="8"/>
        <color rgb="FFFF0000"/>
        <rFont val="Calibri"/>
      </rPr>
      <t>O Emissions</t>
    </r>
  </si>
  <si>
    <t>Biomass C Flux</t>
  </si>
  <si>
    <t>Dead Organic Matter C Flux</t>
  </si>
  <si>
    <t>Soil C Flux</t>
  </si>
  <si>
    <t>Unvegetated Open Water Coastal Wetlands Converted to Vegetated Coastal Wetlands</t>
  </si>
  <si>
    <r>
      <rPr>
        <sz val="11"/>
        <color theme="1"/>
        <rFont val="Calibri"/>
      </rPr>
      <t>Agricultural Residue Burning -  CH</t>
    </r>
    <r>
      <rPr>
        <vertAlign val="subscript"/>
        <sz val="14"/>
        <color theme="1"/>
        <rFont val="Comic Sans MS"/>
      </rPr>
      <t>4</t>
    </r>
    <r>
      <rPr>
        <sz val="14"/>
        <color theme="1"/>
        <rFont val="Comic Sans MS"/>
      </rPr>
      <t xml:space="preserve"> Emissions</t>
    </r>
  </si>
  <si>
    <t>Total, Wetland LU Change</t>
  </si>
  <si>
    <t>Crop</t>
  </si>
  <si>
    <t xml:space="preserve">Crop Production        </t>
  </si>
  <si>
    <t>metric tons/bushel</t>
  </si>
  <si>
    <t>Crop Production     (metric tons)</t>
  </si>
  <si>
    <t>Residue/Crop Ratio</t>
  </si>
  <si>
    <t>Fraction   Residue Burned</t>
  </si>
  <si>
    <t>Dry Matter Fraction</t>
  </si>
  <si>
    <t>Burning Efficiency</t>
  </si>
  <si>
    <t>Combustion Efficiency</t>
  </si>
  <si>
    <t>Flooded Lands</t>
  </si>
  <si>
    <t>Carbon Content</t>
  </si>
  <si>
    <t>Total C Released  (metric tons C)</t>
  </si>
  <si>
    <r>
      <rPr>
        <b/>
        <sz val="11"/>
        <color theme="1"/>
        <rFont val="Calibri"/>
      </rPr>
      <t>CH</t>
    </r>
    <r>
      <rPr>
        <b/>
        <vertAlign val="subscript"/>
        <sz val="8"/>
        <color theme="1"/>
        <rFont val="Calibri"/>
      </rPr>
      <t>4</t>
    </r>
    <r>
      <rPr>
        <b/>
        <sz val="8"/>
        <color theme="1"/>
        <rFont val="Calibri"/>
      </rPr>
      <t xml:space="preserve"> Emissions  (metric tons CH</t>
    </r>
    <r>
      <rPr>
        <b/>
        <vertAlign val="subscript"/>
        <sz val="8"/>
        <color theme="1"/>
        <rFont val="Calibri"/>
      </rPr>
      <t>4</t>
    </r>
    <r>
      <rPr>
        <b/>
        <sz val="8"/>
        <color theme="1"/>
        <rFont val="Calibri"/>
      </rPr>
      <t>)</t>
    </r>
  </si>
  <si>
    <r>
      <rPr>
        <b/>
        <sz val="11"/>
        <color theme="1"/>
        <rFont val="Calibri"/>
      </rPr>
      <t>CH</t>
    </r>
    <r>
      <rPr>
        <b/>
        <vertAlign val="subscript"/>
        <sz val="8"/>
        <color theme="1"/>
        <rFont val="Calibri"/>
      </rPr>
      <t>4</t>
    </r>
    <r>
      <rPr>
        <b/>
        <sz val="8"/>
        <color theme="1"/>
        <rFont val="Calibri"/>
      </rPr>
      <t xml:space="preserve"> Emissions  (MMTCE)</t>
    </r>
  </si>
  <si>
    <r>
      <rPr>
        <b/>
        <sz val="11"/>
        <color theme="1"/>
        <rFont val="Calibri"/>
      </rPr>
      <t>CH</t>
    </r>
    <r>
      <rPr>
        <b/>
        <vertAlign val="subscript"/>
        <sz val="8"/>
        <color theme="1"/>
        <rFont val="Calibri"/>
      </rPr>
      <t>4</t>
    </r>
    <r>
      <rPr>
        <b/>
        <sz val="8"/>
        <color theme="1"/>
        <rFont val="Calibri"/>
      </rPr>
      <t xml:space="preserve"> Emissions  (MMTCO</t>
    </r>
    <r>
      <rPr>
        <b/>
        <vertAlign val="subscript"/>
        <sz val="8"/>
        <color theme="1"/>
        <rFont val="Calibri"/>
      </rPr>
      <t>2</t>
    </r>
    <r>
      <rPr>
        <b/>
        <sz val="8"/>
        <color theme="1"/>
        <rFont val="Calibri"/>
      </rPr>
      <t>E)</t>
    </r>
  </si>
  <si>
    <t>IPCC Emission Factors</t>
  </si>
  <si>
    <t>Surface Area (ha)</t>
  </si>
  <si>
    <t>Annual Methane Emissions (MT CH4)</t>
  </si>
  <si>
    <t>Flooded Land Category</t>
  </si>
  <si>
    <t>Climate Zone</t>
  </si>
  <si>
    <t>kg CH4 /ha/yr</t>
  </si>
  <si>
    <t>MT CO2-C /ha/yr</t>
  </si>
  <si>
    <t>MT CO2 /ha/yr</t>
  </si>
  <si>
    <t>Barley</t>
  </si>
  <si>
    <t>Reservoirs &gt; 20 years old (&gt;= 8 ha)</t>
  </si>
  <si>
    <t>Cool Temperate</t>
  </si>
  <si>
    <t>Warm temperate moist</t>
  </si>
  <si>
    <t>Reservoirs &lt;= 20 years old (&gt;= 8 ha)</t>
  </si>
  <si>
    <t>Downstream Emission</t>
  </si>
  <si>
    <t>Freshwater Ponds &gt; 20 years (&lt; 8 ha)</t>
  </si>
  <si>
    <t>Corn</t>
  </si>
  <si>
    <t>Freshwater Ponds &lt;= 20 years old (&lt; 8 ha)</t>
  </si>
  <si>
    <t>'000 pounds</t>
  </si>
  <si>
    <t>Canals &amp; Ditches</t>
  </si>
  <si>
    <t>'000 cwt</t>
  </si>
  <si>
    <t>Annual CO2 Emissions (MT CO2)</t>
  </si>
  <si>
    <t>Soybeans</t>
  </si>
  <si>
    <t>Sugarcane</t>
  </si>
  <si>
    <t>Wheat</t>
  </si>
  <si>
    <t>Wetlands &amp; SAV Summary</t>
  </si>
  <si>
    <t>Coastal Wetlands</t>
  </si>
  <si>
    <t>SAV</t>
  </si>
  <si>
    <t>Flooded Land</t>
  </si>
  <si>
    <t>Net Forest and Landuse Emissions</t>
  </si>
  <si>
    <t>Net Forest and Landuse Emissions (MMTCO2e)</t>
  </si>
  <si>
    <r>
      <rPr>
        <sz val="11"/>
        <color theme="1"/>
        <rFont val="Calibri"/>
      </rPr>
      <t>Agricultural Residue Burning -  N</t>
    </r>
    <r>
      <rPr>
        <vertAlign val="subscript"/>
        <sz val="11"/>
        <color theme="1"/>
        <rFont val="Comic Sans MS"/>
      </rPr>
      <t>2</t>
    </r>
    <r>
      <rPr>
        <sz val="11"/>
        <color theme="1"/>
        <rFont val="Comic Sans MS"/>
      </rPr>
      <t>O</t>
    </r>
    <r>
      <rPr>
        <sz val="14"/>
        <color theme="1"/>
        <rFont val="Comic Sans MS"/>
      </rPr>
      <t xml:space="preserve"> Emissions</t>
    </r>
  </si>
  <si>
    <t>Fraction Residue Burned</t>
  </si>
  <si>
    <t>Nitrogen Content</t>
  </si>
  <si>
    <t>Total N Released  (metric tons)</t>
  </si>
  <si>
    <r>
      <rPr>
        <b/>
        <sz val="11"/>
        <color theme="1"/>
        <rFont val="Calibri"/>
      </rPr>
      <t>N</t>
    </r>
    <r>
      <rPr>
        <b/>
        <vertAlign val="subscript"/>
        <sz val="8"/>
        <color theme="1"/>
        <rFont val="Calibri"/>
      </rPr>
      <t>2</t>
    </r>
    <r>
      <rPr>
        <b/>
        <sz val="8"/>
        <color theme="1"/>
        <rFont val="Calibri"/>
      </rPr>
      <t>O Emissions  (metric tons)</t>
    </r>
  </si>
  <si>
    <r>
      <rPr>
        <b/>
        <sz val="11"/>
        <color theme="1"/>
        <rFont val="Calibri"/>
      </rPr>
      <t>N</t>
    </r>
    <r>
      <rPr>
        <b/>
        <vertAlign val="subscript"/>
        <sz val="8"/>
        <color theme="1"/>
        <rFont val="Calibri"/>
      </rPr>
      <t>2</t>
    </r>
    <r>
      <rPr>
        <b/>
        <sz val="8"/>
        <color theme="1"/>
        <rFont val="Calibri"/>
      </rPr>
      <t>O Emissions  (MMTCE)</t>
    </r>
  </si>
  <si>
    <r>
      <rPr>
        <b/>
        <sz val="11"/>
        <color theme="1"/>
        <rFont val="Calibri"/>
      </rPr>
      <t>N</t>
    </r>
    <r>
      <rPr>
        <b/>
        <vertAlign val="subscript"/>
        <sz val="8"/>
        <color theme="1"/>
        <rFont val="Calibri"/>
      </rPr>
      <t>2</t>
    </r>
    <r>
      <rPr>
        <b/>
        <sz val="8"/>
        <color theme="1"/>
        <rFont val="Calibri"/>
      </rPr>
      <t>O Emissions  (MMTCO</t>
    </r>
    <r>
      <rPr>
        <b/>
        <vertAlign val="subscript"/>
        <sz val="8"/>
        <color theme="1"/>
        <rFont val="Calibri"/>
      </rPr>
      <t>2</t>
    </r>
    <r>
      <rPr>
        <b/>
        <sz val="8"/>
        <color theme="1"/>
        <rFont val="Calibri"/>
      </rPr>
      <t>E)</t>
    </r>
  </si>
  <si>
    <t>Agricultural Soil Carbon Flux</t>
  </si>
  <si>
    <t>¹Includes the landuse categories of Forest Land Remaining Forest Land, Land Converted to Forest Land, Forest Land Converted to Land, and Settlement Trees</t>
  </si>
  <si>
    <t>²Calculated from ratio to aboveground biomass</t>
  </si>
  <si>
    <t>³USFS state-level estimates, exclusive of settlement trees</t>
  </si>
  <si>
    <t>TOTAL AGRICULTURE</t>
  </si>
  <si>
    <r>
      <rPr>
        <b/>
        <sz val="11"/>
        <color theme="1"/>
        <rFont val="Calibri"/>
      </rPr>
      <t>Emissions (MMTCO</t>
    </r>
    <r>
      <rPr>
        <b/>
        <vertAlign val="subscript"/>
        <sz val="9"/>
        <color theme="1"/>
        <rFont val="Calibri"/>
      </rPr>
      <t xml:space="preserve">2 </t>
    </r>
    <r>
      <rPr>
        <b/>
        <sz val="9"/>
        <color theme="1"/>
        <rFont val="Calibri"/>
      </rPr>
      <t>Eq.)</t>
    </r>
  </si>
  <si>
    <r>
      <rPr>
        <b/>
        <sz val="11"/>
        <color theme="1"/>
        <rFont val="Calibri"/>
      </rPr>
      <t>2011
MMTCO</t>
    </r>
    <r>
      <rPr>
        <b/>
        <vertAlign val="subscript"/>
        <sz val="9"/>
        <color theme="1"/>
        <rFont val="Calibri"/>
      </rPr>
      <t>2</t>
    </r>
    <r>
      <rPr>
        <b/>
        <sz val="9"/>
        <color theme="1"/>
        <rFont val="Calibri"/>
      </rPr>
      <t>E</t>
    </r>
  </si>
  <si>
    <t>Ag Soils</t>
  </si>
  <si>
    <t>Rice Cultivation</t>
  </si>
  <si>
    <t>Agricultural Residue Burning</t>
  </si>
  <si>
    <r>
      <rPr>
        <b/>
        <sz val="11"/>
        <color theme="1"/>
        <rFont val="Calibri"/>
      </rPr>
      <t>Emissions by Gas 
(MMTCH</t>
    </r>
    <r>
      <rPr>
        <b/>
        <vertAlign val="subscript"/>
        <sz val="9"/>
        <color theme="1"/>
        <rFont val="Calibri"/>
      </rPr>
      <t>4</t>
    </r>
    <r>
      <rPr>
        <b/>
        <sz val="9"/>
        <color theme="1"/>
        <rFont val="Calibri"/>
      </rPr>
      <t xml:space="preserve"> or MMTN</t>
    </r>
    <r>
      <rPr>
        <b/>
        <vertAlign val="subscript"/>
        <sz val="9"/>
        <color theme="1"/>
        <rFont val="Calibri"/>
      </rPr>
      <t>2</t>
    </r>
    <r>
      <rPr>
        <b/>
        <sz val="9"/>
        <color theme="1"/>
        <rFont val="Calibri"/>
      </rPr>
      <t>O)</t>
    </r>
  </si>
  <si>
    <r>
      <rPr>
        <b/>
        <sz val="11"/>
        <color theme="1"/>
        <rFont val="Calibri"/>
      </rPr>
      <t>2011
MMTCO</t>
    </r>
    <r>
      <rPr>
        <b/>
        <vertAlign val="subscript"/>
        <sz val="9"/>
        <color theme="1"/>
        <rFont val="Calibri"/>
      </rPr>
      <t>2</t>
    </r>
    <r>
      <rPr>
        <b/>
        <sz val="9"/>
        <color theme="1"/>
        <rFont val="Calibri"/>
      </rPr>
      <t>E</t>
    </r>
  </si>
  <si>
    <t>Methane</t>
  </si>
  <si>
    <t>Nitrous Oxide</t>
  </si>
  <si>
    <r>
      <rPr>
        <b/>
        <sz val="11"/>
        <color theme="1"/>
        <rFont val="Calibri"/>
      </rPr>
      <t>Nitrous Oxide Emissions from Ag Soils (metric tons N</t>
    </r>
    <r>
      <rPr>
        <b/>
        <vertAlign val="subscript"/>
        <sz val="9"/>
        <color theme="1"/>
        <rFont val="Calibri"/>
      </rPr>
      <t>2</t>
    </r>
    <r>
      <rPr>
        <b/>
        <sz val="9"/>
        <color theme="1"/>
        <rFont val="Calibri"/>
      </rPr>
      <t>O)</t>
    </r>
  </si>
  <si>
    <t>Direct</t>
  </si>
  <si>
    <t>Fertilizers</t>
  </si>
  <si>
    <t>Crop Residues</t>
  </si>
  <si>
    <t>N-Fixing Crops</t>
  </si>
  <si>
    <t>Histosols</t>
  </si>
  <si>
    <t>Livestock</t>
  </si>
  <si>
    <t>Indirect</t>
  </si>
  <si>
    <t>Leaching/Runoff</t>
  </si>
  <si>
    <t>Figure ES-1: Gross GHG Emissions by Sector, 2011, Maryland</t>
  </si>
  <si>
    <r>
      <rPr>
        <b/>
        <sz val="11"/>
        <color rgb="FFFFFFFF"/>
        <rFont val="Calibri"/>
      </rPr>
      <t>MMtCO</t>
    </r>
    <r>
      <rPr>
        <b/>
        <vertAlign val="subscript"/>
        <sz val="11"/>
        <color rgb="FFFFFFFF"/>
        <rFont val="Calibri"/>
      </rPr>
      <t>2</t>
    </r>
    <r>
      <rPr>
        <b/>
        <sz val="11"/>
        <color rgb="FFFFFFFF"/>
        <rFont val="Calibri"/>
      </rPr>
      <t>e</t>
    </r>
  </si>
  <si>
    <r>
      <rPr>
        <b/>
        <sz val="11"/>
        <color theme="1"/>
        <rFont val="Calibri"/>
      </rPr>
      <t>Energy Use (CO</t>
    </r>
    <r>
      <rPr>
        <b/>
        <vertAlign val="subscript"/>
        <sz val="11"/>
        <color theme="1"/>
        <rFont val="Calibri"/>
      </rPr>
      <t>2</t>
    </r>
    <r>
      <rPr>
        <b/>
        <sz val="11"/>
        <color theme="1"/>
        <rFont val="Calibri"/>
      </rPr>
      <t>, CH</t>
    </r>
    <r>
      <rPr>
        <b/>
        <vertAlign val="subscript"/>
        <sz val="11"/>
        <color theme="1"/>
        <rFont val="Calibri"/>
      </rPr>
      <t>4</t>
    </r>
    <r>
      <rPr>
        <b/>
        <sz val="11"/>
        <color theme="1"/>
        <rFont val="Calibri"/>
      </rPr>
      <t>, N</t>
    </r>
    <r>
      <rPr>
        <b/>
        <vertAlign val="subscript"/>
        <sz val="11"/>
        <color theme="1"/>
        <rFont val="Calibri"/>
      </rPr>
      <t>2</t>
    </r>
    <r>
      <rPr>
        <b/>
        <sz val="11"/>
        <color theme="1"/>
        <rFont val="Calibri"/>
      </rPr>
      <t>O)</t>
    </r>
  </si>
  <si>
    <r>
      <rPr>
        <b/>
        <sz val="11"/>
        <color theme="1"/>
        <rFont val="Calibri"/>
      </rPr>
      <t>Electricity Use (Consumption)</t>
    </r>
    <r>
      <rPr>
        <b/>
        <vertAlign val="superscript"/>
        <sz val="11"/>
        <color theme="1"/>
        <rFont val="Calibri"/>
      </rPr>
      <t>b</t>
    </r>
  </si>
  <si>
    <t xml:space="preserve">      Coal</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</si>
  <si>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</si>
  <si>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</si>
  <si>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</si>
  <si>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 xml:space="preserve">      Natural Gas</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</si>
  <si>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</si>
  <si>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</si>
  <si>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</si>
  <si>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 xml:space="preserve">      Oil</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</si>
  <si>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</si>
  <si>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</si>
  <si>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</si>
  <si>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 xml:space="preserve">      Wood</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</si>
  <si>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</si>
  <si>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</si>
  <si>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</si>
  <si>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Figure ES-2: Gross GHG Emissions Comparison by Sector, 2006, 2011 &amp; 2020</t>
  </si>
  <si>
    <t xml:space="preserve">      MSW/LFG</t>
  </si>
  <si>
    <t xml:space="preserve"> Coal</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</si>
  <si>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</si>
  <si>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</si>
  <si>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</si>
  <si>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 xml:space="preserve"> Natural Gas &amp; LPG</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</si>
  <si>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</si>
  <si>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</si>
  <si>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</si>
  <si>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 xml:space="preserve"> Petroleum</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</si>
  <si>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</si>
  <si>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</si>
  <si>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</si>
  <si>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 xml:space="preserve"> Wood </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</si>
  <si>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</si>
  <si>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</si>
  <si>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</si>
  <si>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</si>
  <si>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</si>
  <si>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t>Figure ES-3:  Maryland Gross GHG Emissions by Sector, 2006-2020:  Base Year and Projected</t>
  </si>
  <si>
    <r>
      <rPr>
        <sz val="11"/>
        <color theme="1"/>
        <rFont val="Calibri"/>
      </rPr>
      <t>N</t>
    </r>
    <r>
      <rPr>
        <vertAlign val="subscript"/>
        <sz val="11"/>
        <color theme="1"/>
        <rFont val="Calibri"/>
      </rPr>
      <t>2</t>
    </r>
    <r>
      <rPr>
        <sz val="11"/>
        <color theme="1"/>
        <rFont val="Calibri"/>
      </rPr>
      <t>O</t>
    </r>
  </si>
  <si>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</si>
  <si>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</si>
  <si>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</si>
  <si>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</si>
  <si>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</si>
  <si>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</si>
  <si>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</si>
  <si>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</si>
  <si>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</si>
  <si>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</si>
  <si>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</si>
  <si>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</si>
  <si>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</si>
  <si>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</si>
  <si>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</si>
  <si>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</si>
  <si>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</si>
  <si>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</si>
  <si>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</si>
  <si>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</si>
  <si>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</si>
  <si>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 xml:space="preserve"> Natural Gas Industry</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</si>
  <si>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</si>
  <si>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</si>
  <si>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</si>
  <si>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 xml:space="preserve"> Oil Industry</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</si>
  <si>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</si>
  <si>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</si>
  <si>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</si>
  <si>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 xml:space="preserve"> Coal Mining</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</si>
  <si>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</si>
  <si>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</si>
  <si>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</si>
  <si>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Industrial Processes</t>
  </si>
  <si>
    <t xml:space="preserve"> Cement Manufacture</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</si>
  <si>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</si>
  <si>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</si>
  <si>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</si>
  <si>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 xml:space="preserve"> Limestone and Dolomite </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</si>
  <si>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</si>
  <si>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</si>
  <si>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</si>
  <si>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 xml:space="preserve"> Soda Ash </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</si>
  <si>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</si>
  <si>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</si>
  <si>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</si>
  <si>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 xml:space="preserve"> Iron and Steel</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</si>
  <si>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</si>
  <si>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</si>
  <si>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</si>
  <si>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 xml:space="preserve"> ODS Substitutes</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</si>
  <si>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</si>
  <si>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</si>
  <si>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HFC, PFC, SF</t>
    </r>
    <r>
      <rPr>
        <vertAlign val="subscript"/>
        <sz val="11"/>
        <color theme="1"/>
        <rFont val="Calibri"/>
      </rPr>
      <t>6</t>
    </r>
  </si>
  <si>
    <t xml:space="preserve"> Electricity Transmission and Dist.</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</si>
  <si>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</si>
  <si>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</si>
  <si>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HFC, PFC, SF</t>
    </r>
    <r>
      <rPr>
        <vertAlign val="subscript"/>
        <sz val="11"/>
        <color theme="1"/>
        <rFont val="Calibri"/>
      </rPr>
      <t>6</t>
    </r>
  </si>
  <si>
    <t xml:space="preserve"> Semiconductor Manufacturing</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</si>
  <si>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</si>
  <si>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</si>
  <si>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HFC, PFC, SF</t>
    </r>
    <r>
      <rPr>
        <vertAlign val="subscript"/>
        <sz val="11"/>
        <color theme="1"/>
        <rFont val="Calibri"/>
      </rPr>
      <t>6</t>
    </r>
  </si>
  <si>
    <t xml:space="preserve"> Ammonia and Urea Production (Nonfertilizer Usage)</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</si>
  <si>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</si>
  <si>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</si>
  <si>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HFC, PFC, SF</t>
    </r>
    <r>
      <rPr>
        <vertAlign val="subscript"/>
        <sz val="11"/>
        <color theme="1"/>
        <rFont val="Calibri"/>
      </rPr>
      <t>6</t>
    </r>
  </si>
  <si>
    <t xml:space="preserve"> Aluminum Production</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</si>
  <si>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</si>
  <si>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</si>
  <si>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HFC, PFC, SF</t>
    </r>
    <r>
      <rPr>
        <vertAlign val="subscript"/>
        <sz val="11"/>
        <color theme="1"/>
        <rFont val="Calibri"/>
      </rPr>
      <t>6</t>
    </r>
  </si>
  <si>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</si>
  <si>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</si>
  <si>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</si>
  <si>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</si>
  <si>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</si>
  <si>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</si>
  <si>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</si>
  <si>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</si>
  <si>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</si>
  <si>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</si>
  <si>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</si>
  <si>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</si>
  <si>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Urea Fertilizer Usage</t>
  </si>
  <si>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</si>
  <si>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</si>
  <si>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</si>
  <si>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</si>
  <si>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</si>
  <si>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</si>
  <si>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</si>
  <si>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</si>
  <si>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</si>
  <si>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</si>
  <si>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</si>
  <si>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</si>
  <si>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r>
      <rPr>
        <sz val="11"/>
        <color theme="1"/>
        <rFont val="Calibri"/>
      </rPr>
      <t>CO</t>
    </r>
    <r>
      <rPr>
        <vertAlign val="subscript"/>
        <sz val="11"/>
        <color theme="1"/>
        <rFont val="Calibri"/>
      </rPr>
      <t>2</t>
    </r>
  </si>
  <si>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</si>
  <si>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</si>
  <si>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Gross Emissions (Consumption Basis, Excludes Sinks)</t>
  </si>
  <si>
    <t>increase relative to 2006</t>
  </si>
  <si>
    <t>Emissions Sinks</t>
  </si>
  <si>
    <t>Forested Landscape</t>
  </si>
  <si>
    <t>Urban Forestry and Land Use</t>
  </si>
  <si>
    <t>Agricultural Soils (Cultivation Practices)</t>
  </si>
  <si>
    <r>
      <rPr>
        <sz val="11"/>
        <color theme="1"/>
        <rFont val="Calibri"/>
      </rPr>
      <t>CH</t>
    </r>
    <r>
      <rPr>
        <vertAlign val="subscript"/>
        <sz val="11"/>
        <color theme="1"/>
        <rFont val="Calibri"/>
      </rPr>
      <t>4</t>
    </r>
  </si>
  <si>
    <r>
      <rPr>
        <sz val="11"/>
        <color theme="1"/>
        <rFont val="Calibri"/>
      </rPr>
      <t>N</t>
    </r>
    <r>
      <rPr>
        <vertAlign val="subscript"/>
        <sz val="11"/>
        <color theme="1"/>
        <rFont val="Calibri"/>
      </rPr>
      <t>2</t>
    </r>
    <r>
      <rPr>
        <sz val="11"/>
        <color theme="1"/>
        <rFont val="Calibri"/>
      </rPr>
      <t>O</t>
    </r>
  </si>
  <si>
    <t>Net Emissions (Consumptions Basis) (Including forestry, land use, and ag sinks)</t>
  </si>
  <si>
    <t>Figure 2-2: Emissions By Electric Generation Source Sectors</t>
  </si>
  <si>
    <t>Figure 2-4: Gross Generation At Maryland Power Station</t>
  </si>
  <si>
    <t>Figure 2-3: Primary Energy Use At Maryland Power Stations,Plus Imports.</t>
  </si>
  <si>
    <t>MSN</t>
  </si>
  <si>
    <t>2000</t>
  </si>
  <si>
    <t>2001</t>
  </si>
  <si>
    <t>2002</t>
  </si>
  <si>
    <t>2003</t>
  </si>
  <si>
    <t>2004</t>
  </si>
  <si>
    <t>2005</t>
  </si>
  <si>
    <t>2006</t>
  </si>
  <si>
    <t>2007</t>
  </si>
  <si>
    <t>2008</t>
  </si>
  <si>
    <t>2009</t>
  </si>
  <si>
    <t>2010</t>
  </si>
  <si>
    <t>2011</t>
  </si>
  <si>
    <t>CLEIB</t>
  </si>
  <si>
    <t xml:space="preserve">Coal </t>
  </si>
  <si>
    <t>DKEIB</t>
  </si>
  <si>
    <t>DistillateFuel Oil</t>
  </si>
  <si>
    <t>NNEIB</t>
  </si>
  <si>
    <t xml:space="preserve">Natural Gas </t>
  </si>
  <si>
    <t>NUETB</t>
  </si>
  <si>
    <t>Nuclear Power.</t>
  </si>
  <si>
    <t>RFEIB</t>
  </si>
  <si>
    <t xml:space="preserve">Residual Fuel </t>
  </si>
  <si>
    <t>SFEIB</t>
  </si>
  <si>
    <t xml:space="preserve">Supplemental Gaseous Fuels </t>
  </si>
  <si>
    <t>SOTCB</t>
  </si>
  <si>
    <t xml:space="preserve">Photovoltaic and Solar thermal Energy </t>
  </si>
  <si>
    <t>WWEIB</t>
  </si>
  <si>
    <t xml:space="preserve">Wood and Waste </t>
  </si>
  <si>
    <t>Maryland GHG Emissions from the Product Use of Substitutes for Ozone Depleting Substances</t>
  </si>
  <si>
    <t>EPA State-Level Data</t>
  </si>
  <si>
    <t>Data source entity</t>
  </si>
  <si>
    <t>U.S. Environmental Protection Agency</t>
  </si>
  <si>
    <t>Data source name</t>
  </si>
  <si>
    <t>Inventory of U.S. Greenhouse Gas Emissions and Sinks by State: 1990-2022</t>
  </si>
  <si>
    <t>Data source product</t>
  </si>
  <si>
    <t>2024 All State GHG Inventory Data Workbook (AllStateGHGData90-22_v082924.xlsx)</t>
  </si>
  <si>
    <t>sector</t>
  </si>
  <si>
    <t>subsector</t>
  </si>
  <si>
    <t>Product uses as substitutes for ODS</t>
  </si>
  <si>
    <t>category</t>
  </si>
  <si>
    <t>Substitution of Ozone Depleting Substances</t>
  </si>
  <si>
    <t>geo_ref</t>
  </si>
  <si>
    <t>units</t>
  </si>
  <si>
    <t>Tg (MMTCO2e, GWP=100-yr AR5)</t>
  </si>
  <si>
    <t>sub_category_1</t>
  </si>
  <si>
    <t>ghg_category</t>
  </si>
  <si>
    <t>ghg</t>
  </si>
  <si>
    <t>gwp</t>
  </si>
  <si>
    <t>Y1990</t>
  </si>
  <si>
    <t>Y1991</t>
  </si>
  <si>
    <t>Y1992</t>
  </si>
  <si>
    <t>Y1993</t>
  </si>
  <si>
    <t>Y1994</t>
  </si>
  <si>
    <t>Y1995</t>
  </si>
  <si>
    <t>Y1996</t>
  </si>
  <si>
    <t>Y1997</t>
  </si>
  <si>
    <t>Y1998</t>
  </si>
  <si>
    <t>Y1999</t>
  </si>
  <si>
    <t>Y2000</t>
  </si>
  <si>
    <t>Y2001</t>
  </si>
  <si>
    <t>Y2002</t>
  </si>
  <si>
    <t>Y2003</t>
  </si>
  <si>
    <t>Y2004</t>
  </si>
  <si>
    <t>Y2005</t>
  </si>
  <si>
    <t>Y2006</t>
  </si>
  <si>
    <t>Y2007</t>
  </si>
  <si>
    <t>Y2008</t>
  </si>
  <si>
    <t>Y2009</t>
  </si>
  <si>
    <t>Y2010</t>
  </si>
  <si>
    <t>Y2011</t>
  </si>
  <si>
    <t>Y2012</t>
  </si>
  <si>
    <t>Y2013</t>
  </si>
  <si>
    <t>Y2014</t>
  </si>
  <si>
    <t>Y2015</t>
  </si>
  <si>
    <t>Y2016</t>
  </si>
  <si>
    <t>Y2017</t>
  </si>
  <si>
    <t>Y2018</t>
  </si>
  <si>
    <t>Y2019</t>
  </si>
  <si>
    <t>Y2020</t>
  </si>
  <si>
    <t>Y2021</t>
  </si>
  <si>
    <t>Y2022</t>
  </si>
  <si>
    <t>Fire protection</t>
  </si>
  <si>
    <t>Carbon Dioxide</t>
  </si>
  <si>
    <t>Foam blowing agents</t>
  </si>
  <si>
    <t>Refrigeration and air-conditioning</t>
  </si>
  <si>
    <t>HFC</t>
  </si>
  <si>
    <t>HFC-125</t>
  </si>
  <si>
    <t>HFC-134a</t>
  </si>
  <si>
    <t>Metered does inhalers</t>
  </si>
  <si>
    <t>Other Aerosols</t>
  </si>
  <si>
    <t>HFC-143a</t>
  </si>
  <si>
    <t>HFC-23</t>
  </si>
  <si>
    <t>HFC-236fa</t>
  </si>
  <si>
    <t>HFC-32</t>
  </si>
  <si>
    <t>Other HFC</t>
  </si>
  <si>
    <t>Solvents</t>
  </si>
  <si>
    <t>PFC</t>
  </si>
  <si>
    <t>Other PFC</t>
  </si>
  <si>
    <t>PFC-14 (Perfluoromethane)</t>
  </si>
  <si>
    <t>Notes About Other HFC and Other PFC</t>
  </si>
  <si>
    <t>Inventory of U.S. Greenhouse Gas Emissions and Sinks: 1990-2022</t>
  </si>
  <si>
    <t>2024 Chapter 4: Industrial Processes and Product Use (pdf) (2.23 MB, April 11, 2024, 430R24004)</t>
  </si>
  <si>
    <t>Table 4-125</t>
  </si>
  <si>
    <t>"Other Saturated HFCs represents an unspecified mix of saturated HFCs, which includes HFC-152a, HFC227ea, HFC-245fa, HFC-365mfc, and HFC-43-10mee</t>
  </si>
  <si>
    <t>Other PFCs and HFOs represents an unspecified mix of PFCs and HFOs, which includes HCFO-1233zd(E), HFO-1234yf, HFO-1234ze(E), HFO-1336mzz(Z), C4F10, and PFC/PFPEs, the latter being a proxy for a diverse</t>
  </si>
  <si>
    <t>collection of PFCs and perfluoropolyethers (PFPEs) employed for solvent applications. For estimating purposes, the GWP value used for PFC/PFPEs was based upon n-C6F14."</t>
  </si>
  <si>
    <t>Annex 3.9</t>
  </si>
  <si>
    <t>Other HFC and Other PFC are reported in aggregate due to confidentiality.</t>
  </si>
  <si>
    <t>Calculation of GWP Conversion Ratio</t>
  </si>
  <si>
    <t>Intergovernmental Panel on Climate Change</t>
  </si>
  <si>
    <t>Fifth Assessment Report; Sixth Assessment Report</t>
  </si>
  <si>
    <t>Chapter 8, Anthropogenic and Natural Radiative Forcing (AR5); Chapter 7, The Earth’s Energy Budget, Climate Feedbacks  and Climate Sensitivity (AR6)</t>
  </si>
  <si>
    <t>AR6 100-yr GWP</t>
  </si>
  <si>
    <t>Ratio of AR6 100-yr GWP : AR5 100-yr GWP</t>
  </si>
  <si>
    <t>HFC-152a</t>
  </si>
  <si>
    <t>HFC227ea</t>
  </si>
  <si>
    <t>HFC-245fa</t>
  </si>
  <si>
    <t>HFC-365mfc</t>
  </si>
  <si>
    <t>HFC-43-10mee</t>
  </si>
  <si>
    <t>C4F10</t>
  </si>
  <si>
    <t>n-C6F14</t>
  </si>
  <si>
    <t>Sixth Assessment Report</t>
  </si>
  <si>
    <t>The Physical Science Basis, Chapter 7 Supplementary Material, Table 7.SM.7</t>
  </si>
  <si>
    <t>AR6</t>
  </si>
  <si>
    <t>AR5</t>
  </si>
  <si>
    <t>Name</t>
  </si>
  <si>
    <t>Formula</t>
  </si>
  <si>
    <t>lifetime (yrs)</t>
  </si>
  <si>
    <t>lifetime (days)</t>
  </si>
  <si>
    <t>GWP20</t>
  </si>
  <si>
    <t>GWP100</t>
  </si>
  <si>
    <t>ratio</t>
  </si>
  <si>
    <t>HCFO-1233zd(E)</t>
  </si>
  <si>
    <t>(E)-CF3CH=CHCl</t>
  </si>
  <si>
    <t>(E)-1-Chloro-3,3,3trifluoroprop-1-ene</t>
  </si>
  <si>
    <t>trans-CF3 CH=CHCl</t>
  </si>
  <si>
    <t>HFO-1234yf</t>
  </si>
  <si>
    <t>CF3CF=CH2</t>
  </si>
  <si>
    <t>HFC-1234yf</t>
  </si>
  <si>
    <t>CF3 CF=CH2</t>
  </si>
  <si>
    <t>&lt;1</t>
  </si>
  <si>
    <t>HFO-1234ze(E)</t>
  </si>
  <si>
    <t>(E)-CF3CH=CHF</t>
  </si>
  <si>
    <t>(E)-HFC-1234ze</t>
  </si>
  <si>
    <t>trans-CF3 CH=CHF</t>
  </si>
  <si>
    <t>HFO-1336mzz(Z)</t>
  </si>
  <si>
    <t>(Z)-CF3CH=CHCF3</t>
  </si>
  <si>
    <t>(Z)-HFC-1336</t>
  </si>
  <si>
    <t>CF3 CH=CHCF3 (Z)</t>
  </si>
  <si>
    <t>Conversion From AR5 100-yr GWP to AR6 100-yr GWP</t>
  </si>
  <si>
    <t>GWP Conversion Ratio</t>
  </si>
  <si>
    <t>Emissions by Gas</t>
  </si>
  <si>
    <t>Total MMTCO2e</t>
  </si>
  <si>
    <t>Emissions by Subcategory</t>
  </si>
  <si>
    <t>AR6 20-yr GWP</t>
  </si>
  <si>
    <t>Ratio of 20-yr GWP : 100-yr GWP</t>
  </si>
  <si>
    <t>Conversion From AR5 100-yr GWP to AR6 20-yr GWP</t>
  </si>
  <si>
    <t>https://research.fs.usda.gov/treesearch/80890</t>
  </si>
  <si>
    <t>https://www.fs.usda.gov/rds/archive/catalog/RDS-2026-0031</t>
  </si>
  <si>
    <t>FRF_net_flux_by_State.csv; FCL_net_flux_by_State.csv; LCF_net_flux_by_State.csv</t>
  </si>
  <si>
    <t>Aboveground Biomass</t>
  </si>
  <si>
    <t>Belowground Biomass</t>
  </si>
  <si>
    <t>Total Aboveground Biomass Flux</t>
  </si>
  <si>
    <t>Total Belowground Biomass Flux</t>
  </si>
  <si>
    <t>Calculated Belowground Biomass to Aboveground Biomass Ratio</t>
  </si>
  <si>
    <t>BGB:AGB ratio</t>
  </si>
  <si>
    <t>Total Synthetic Fertilizer Applied to Settlements
(metric tons N)</t>
  </si>
  <si>
    <t>N2O:N2 molecular weight ratio</t>
  </si>
  <si>
    <t>N2O Emissions (metric tons)</t>
  </si>
  <si>
    <t>N2O Emissions
(MMTCO2e)</t>
  </si>
  <si>
    <t>Data source: Maryland Department of Natural Resources (DNR) Annual Wildland Fire Report</t>
  </si>
  <si>
    <t>https://dnr.maryland.gov/forests/pages/fire/index.aspx</t>
  </si>
  <si>
    <t>Wildfires</t>
  </si>
  <si>
    <t>Area Burned (acres)</t>
  </si>
  <si>
    <t>Area Burned (hectares)</t>
  </si>
  <si>
    <t>Average Biomass Density (kg dry matter / ha)</t>
  </si>
  <si>
    <t>Combustion efficiency (other temperate forests) (%)</t>
  </si>
  <si>
    <t>CH4 Emission Factor (g/kg dry matter burned)</t>
  </si>
  <si>
    <t>CH4 Emissons (metric tons)</t>
  </si>
  <si>
    <t>CH4 Emissons (MMTCO2e)</t>
  </si>
  <si>
    <t>N2O Emission Factor (g/kg dry matter burned)</t>
  </si>
  <si>
    <t>N2O Emissons (metric tons)</t>
  </si>
  <si>
    <t>N2O Emissons (MMTCO2e)</t>
  </si>
  <si>
    <t>Prescribed Burns</t>
  </si>
  <si>
    <t>Combustion efficiency (shrublands) (%)</t>
  </si>
  <si>
    <t>Forest Fires Summary</t>
  </si>
  <si>
    <t>Total GHG Emissions (MMTCO2e)</t>
  </si>
  <si>
    <t>Total*</t>
  </si>
  <si>
    <t>*Accounts for carbon stored in Cropland Remaining Cropland, Land Converted to Cropland, Grassland Remaining Grassland, and Land Converted to Grassland</t>
  </si>
  <si>
    <t>Data source for wetland extent: National Oceanic and Atmospheric Administration (NOAA) Coastal Change Analysis Program’s (C-CAP) regional land cover data products for 2006, 2010, 2016, and 2021</t>
  </si>
  <si>
    <t>Data source for SAV extent: Virginia Institute of Marine Science (VIMS) SAV Survey</t>
  </si>
  <si>
    <t>Coastal Bays (Polyhaline) Estaurine Wetland</t>
  </si>
  <si>
    <t>Freshwater (Tidal Fresh) SAV</t>
  </si>
  <si>
    <t>Coastal Bays (Polyhaline) SAV</t>
  </si>
  <si>
    <t>Wetland Land-Use Change (from U.S. EPA National Inventory)</t>
  </si>
  <si>
    <t>2023*</t>
  </si>
  <si>
    <t>*available 2022 data</t>
  </si>
  <si>
    <t>Ammonia and Urea</t>
  </si>
  <si>
    <t>Marine Vessels</t>
  </si>
  <si>
    <r>
      <t>Limestone &amp; Dolomite; Soda Ash; Ammonia &amp; Urea; Electric Power T&amp;D Summary (MTCO</t>
    </r>
    <r>
      <rPr>
        <b/>
        <vertAlign val="subscript"/>
        <sz val="11"/>
        <color theme="1"/>
        <rFont val="Calibri"/>
        <family val="2"/>
        <scheme val="major"/>
      </rPr>
      <t>2</t>
    </r>
    <r>
      <rPr>
        <b/>
        <sz val="11"/>
        <color theme="1"/>
        <rFont val="Calibri"/>
        <family val="2"/>
        <scheme val="major"/>
      </rPr>
      <t>E)</t>
    </r>
  </si>
  <si>
    <t>Fuel Type Category</t>
  </si>
  <si>
    <t>(MMTCO2e)</t>
  </si>
  <si>
    <t>Sector</t>
  </si>
  <si>
    <t>Subsector</t>
  </si>
  <si>
    <t>Category/Fuel</t>
  </si>
  <si>
    <t>MMTCO2e</t>
  </si>
  <si>
    <t>Electricity Use</t>
  </si>
  <si>
    <t>100-yr</t>
  </si>
  <si>
    <t>Net Imported Electricity</t>
  </si>
  <si>
    <t>20-yr</t>
  </si>
  <si>
    <t>Residential, Commercial, &amp; Industrial (RCI) Fuel Use</t>
  </si>
  <si>
    <t>On-road</t>
  </si>
  <si>
    <t>Non-road</t>
  </si>
  <si>
    <t>HFC, PFC, SF6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</si>
</sst>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4">
    <numFmt numFmtId="43" formatCode="_(* #,##0.00_);_(* \(#,##0.00\);_(* &quot;-&quot;??_);_(@_)"/>
    <numFmt numFmtId="164" formatCode="0.000000"/>
    <numFmt numFmtId="165" formatCode="0.0"/>
    <numFmt numFmtId="166" formatCode="#,##0.0"/>
    <numFmt numFmtId="167" formatCode="0.00000"/>
    <numFmt numFmtId="168" formatCode="_(* #,##0_);_(* \(#,##0\);_(* \-??_);_(@_)"/>
    <numFmt numFmtId="169" formatCode="0.0000"/>
    <numFmt numFmtId="170" formatCode="_(* #,##0.00_);_(* \(#,##0.00\);_(* \-??_);_(@_)"/>
    <numFmt numFmtId="171" formatCode="_(* #,##0.0_);_(* \(#,##0.0\);_(* \-??_);_(@_)"/>
    <numFmt numFmtId="172" formatCode="_(* #,##0.000_);_(* \(#,##0.000\);_(* \-??_);_(@_)"/>
    <numFmt numFmtId="173" formatCode="#,##0.00000_);\(#,##0.00000\)"/>
    <numFmt numFmtId="174" formatCode="_(* #,##0.0000_);_(* \(#,##0.0000\);_(* \-??_);_(@_)"/>
    <numFmt numFmtId="175" formatCode="_(* #,##0.00_);_(* \(#,##0.00\);_(* \-????_);_(@_)"/>
    <numFmt numFmtId="176" formatCode="_(* #,##0.000000_);_(* \(#,##0.000000\);_(* \-??_);_(@_)"/>
    <numFmt numFmtId="177" formatCode="_(* #,##0.00000_);_(* \(#,##0.00000\);_(* \-??_);_(@_)"/>
    <numFmt numFmtId="178" formatCode="0.00000000"/>
    <numFmt numFmtId="179" formatCode="0.000"/>
    <numFmt numFmtId="180" formatCode="0.0000000"/>
    <numFmt numFmtId="181" formatCode="_(* #,##0.00000000_);_(* \(#,##0.00000000\);_(* \-??_);_(@_)"/>
    <numFmt numFmtId="182" formatCode="0.0%"/>
    <numFmt numFmtId="183" formatCode="0.000000000"/>
    <numFmt numFmtId="184" formatCode="_(* #,##0.000000_);_(* \(#,##0.000000\);_(* \-??????_);_(@_)"/>
    <numFmt numFmtId="185" formatCode="_(* #,##0.0000_);_(* \(#,##0.0000\);_(* \-????_);_(@_)"/>
    <numFmt numFmtId="186" formatCode="0.0000000000"/>
    <numFmt numFmtId="187" formatCode="0.00_)"/>
    <numFmt numFmtId="188" formatCode="0_)"/>
    <numFmt numFmtId="189" formatCode="0.0000%"/>
    <numFmt numFmtId="190" formatCode="_(* #,##0.0000000_);_(* \(#,##0.0000000\);_(* \-??_);_(@_)"/>
    <numFmt numFmtId="191" formatCode="#,##0.000000_);\(#,##0.000000\)"/>
    <numFmt numFmtId="192" formatCode="_(* #,##0_);_(* \(#,##0\);_(* \-_);_(@_)"/>
    <numFmt numFmtId="193" formatCode="0.000_)"/>
    <numFmt numFmtId="194" formatCode="_-* #,##0_-;\-* #,##0_-;_-* \-??_-;_-@"/>
    <numFmt numFmtId="195" formatCode="_-* #,##0.0_-;\-* #,##0.0_-;_-* \-??_-;_-@"/>
    <numFmt numFmtId="196" formatCode="_-* #,##0.00_-;\-* #,##0.00_-;_-* \-??_-;_-@"/>
    <numFmt numFmtId="197" formatCode="_-* #,##0.000_-;\-* #,##0.000_-;_-* \-??_-;_-@"/>
    <numFmt numFmtId="198" formatCode="_-* #,##0.00000_-;\-* #,##0.00000_-;_-* \-??_-;_-@"/>
    <numFmt numFmtId="199" formatCode="_(* #,##0_);_(* \(#,##0\);_(* &quot;-&quot;??_);_(@_)"/>
    <numFmt numFmtId="200" formatCode="#,##0.0000"/>
    <numFmt numFmtId="201" formatCode="0E+00"/>
    <numFmt numFmtId="202" formatCode="_(* #,##0.00000000_);_(* \(#,##0.00000000\);_(* \-????????_);_(@_)"/>
    <numFmt numFmtId="203" formatCode="0.00000000000000000%"/>
    <numFmt numFmtId="204" formatCode="#,##0.000"/>
    <numFmt numFmtId="205" formatCode="0_);\(0\)"/>
    <numFmt numFmtId="206" formatCode="#,##0.0000000"/>
  </numFmts>
  <fonts count="139" x14ac:knownFonts="1">
    <font>
      <sz val="8"/>
      <color rgb="FF000000"/>
      <name val="Calibri"/>
      <scheme val="minor"/>
    </font>
    <font>
      <b/>
      <sz val="14"/>
      <color rgb="FF000000"/>
      <name val="Calibri"/>
    </font>
    <font>
      <sz val="8"/>
      <color rgb="FF000000"/>
      <name val="Calibri"/>
    </font>
    <font>
      <sz val="11"/>
      <color theme="1"/>
      <name val="Calibri"/>
    </font>
    <font>
      <sz val="8"/>
      <color theme="1"/>
      <name val="Calibri"/>
    </font>
    <font>
      <sz val="9"/>
      <color theme="1"/>
      <name val="Calibri"/>
    </font>
    <font>
      <sz val="8"/>
      <name val="Calibri"/>
    </font>
    <font>
      <sz val="7"/>
      <color theme="1"/>
      <name val="Arial"/>
    </font>
    <font>
      <b/>
      <sz val="11"/>
      <color theme="1"/>
      <name val="Calibri"/>
    </font>
    <font>
      <b/>
      <sz val="14"/>
      <color theme="1"/>
      <name val="Calibri"/>
    </font>
    <font>
      <sz val="11"/>
      <color rgb="FF000000"/>
      <name val="Calibri"/>
    </font>
    <font>
      <i/>
      <sz val="11"/>
      <color theme="1"/>
      <name val="Calibri"/>
    </font>
    <font>
      <sz val="11"/>
      <color rgb="FFFF0000"/>
      <name val="Calibri"/>
    </font>
    <font>
      <b/>
      <sz val="11"/>
      <color rgb="FF0000FF"/>
      <name val="Calibri"/>
    </font>
    <font>
      <b/>
      <sz val="11"/>
      <color rgb="FFFFFFFF"/>
      <name val="Calibri"/>
    </font>
    <font>
      <sz val="11"/>
      <color rgb="FF993300"/>
      <name val="Calibri"/>
    </font>
    <font>
      <sz val="11"/>
      <color rgb="FF993366"/>
      <name val="Calibri"/>
    </font>
    <font>
      <b/>
      <sz val="11"/>
      <color rgb="FF993366"/>
      <name val="Calibri"/>
    </font>
    <font>
      <b/>
      <sz val="11"/>
      <color rgb="FFFF0000"/>
      <name val="Calibri"/>
    </font>
    <font>
      <b/>
      <sz val="11"/>
      <color rgb="FF993300"/>
      <name val="Calibri"/>
    </font>
    <font>
      <sz val="11"/>
      <color rgb="FF0000FF"/>
      <name val="Calibri"/>
    </font>
    <font>
      <b/>
      <sz val="11"/>
      <color rgb="FF000000"/>
      <name val="Calibri"/>
    </font>
    <font>
      <b/>
      <sz val="8"/>
      <color theme="1"/>
      <name val="Calibri"/>
    </font>
    <font>
      <b/>
      <sz val="11"/>
      <color rgb="FF008000"/>
      <name val="Calibri"/>
    </font>
    <font>
      <b/>
      <sz val="11"/>
      <color rgb="FF000000"/>
      <name val="Roboto"/>
    </font>
    <font>
      <sz val="11"/>
      <color rgb="FFFFFFFF"/>
      <name val="Calibri"/>
    </font>
    <font>
      <u/>
      <sz val="8"/>
      <color rgb="FF0000FF"/>
      <name val="Arial"/>
    </font>
    <font>
      <b/>
      <i/>
      <sz val="11"/>
      <color theme="1"/>
      <name val="Calibri"/>
    </font>
    <font>
      <b/>
      <sz val="11"/>
      <color rgb="FF000080"/>
      <name val="Calibri"/>
    </font>
    <font>
      <b/>
      <sz val="9"/>
      <color theme="1"/>
      <name val="Calibri"/>
    </font>
    <font>
      <sz val="8"/>
      <color theme="1"/>
      <name val="Arial"/>
    </font>
    <font>
      <b/>
      <sz val="9"/>
      <color rgb="FF000000"/>
      <name val="Calibri"/>
    </font>
    <font>
      <sz val="14"/>
      <color theme="1"/>
      <name val="Comic Sans MS"/>
    </font>
    <font>
      <sz val="18"/>
      <color theme="1"/>
      <name val="Arial"/>
    </font>
    <font>
      <sz val="9"/>
      <color theme="1"/>
      <name val="Comic Sans MS"/>
    </font>
    <font>
      <sz val="9"/>
      <color rgb="FFFF0000"/>
      <name val="Comic Sans MS"/>
    </font>
    <font>
      <sz val="9"/>
      <color theme="1"/>
      <name val="Arial"/>
    </font>
    <font>
      <b/>
      <sz val="8"/>
      <color theme="1"/>
      <name val="Arial"/>
    </font>
    <font>
      <sz val="11"/>
      <color rgb="FFFF0000"/>
      <name val="Arial"/>
    </font>
    <font>
      <sz val="18"/>
      <color theme="1"/>
      <name val="Roboto"/>
    </font>
    <font>
      <sz val="8"/>
      <color theme="1"/>
      <name val="Comic Sans MS"/>
    </font>
    <font>
      <sz val="11"/>
      <color theme="1"/>
      <name val="Arial Narrow"/>
    </font>
    <font>
      <b/>
      <sz val="11"/>
      <color rgb="FF000080"/>
      <name val="Arial Narrow"/>
    </font>
    <font>
      <i/>
      <sz val="11"/>
      <color theme="1"/>
      <name val="Arial Narrow"/>
    </font>
    <font>
      <b/>
      <sz val="11"/>
      <color rgb="FF000000"/>
      <name val="Arial Narrow"/>
    </font>
    <font>
      <b/>
      <sz val="11"/>
      <color theme="1"/>
      <name val="Arial Narrow"/>
    </font>
    <font>
      <sz val="11"/>
      <color rgb="FF000000"/>
      <name val="Arial Narrow"/>
    </font>
    <font>
      <sz val="8"/>
      <color rgb="FFFF0000"/>
      <name val="Arial"/>
    </font>
    <font>
      <b/>
      <sz val="11"/>
      <color rgb="FF1155CC"/>
      <name val="Calibri"/>
    </font>
    <font>
      <b/>
      <sz val="11"/>
      <color rgb="FFFF6600"/>
      <name val="Calibri"/>
    </font>
    <font>
      <sz val="11"/>
      <color rgb="FFFF6600"/>
      <name val="Calibri"/>
    </font>
    <font>
      <i/>
      <sz val="9"/>
      <color theme="1"/>
      <name val="Calibri"/>
    </font>
    <font>
      <b/>
      <sz val="8"/>
      <color theme="1"/>
      <name val="Comic Sans MS"/>
    </font>
    <font>
      <b/>
      <sz val="12"/>
      <color theme="1"/>
      <name val="Arial"/>
    </font>
    <font>
      <b/>
      <sz val="14"/>
      <color theme="1"/>
      <name val="Garamond"/>
    </font>
    <font>
      <b/>
      <sz val="14"/>
      <color theme="1"/>
      <name val="Arial"/>
    </font>
    <font>
      <b/>
      <sz val="11"/>
      <color theme="1"/>
      <name val="Arial"/>
    </font>
    <font>
      <b/>
      <sz val="10"/>
      <color theme="1"/>
      <name val="Arial"/>
    </font>
    <font>
      <b/>
      <vertAlign val="subscript"/>
      <sz val="14"/>
      <color theme="1"/>
      <name val="Calibri"/>
    </font>
    <font>
      <b/>
      <vertAlign val="subscript"/>
      <sz val="10"/>
      <color theme="1"/>
      <name val="Arial"/>
    </font>
    <font>
      <b/>
      <vertAlign val="subscript"/>
      <sz val="11"/>
      <color rgb="FFFFFFFF"/>
      <name val="Calibri"/>
    </font>
    <font>
      <vertAlign val="subscript"/>
      <sz val="11"/>
      <color theme="1"/>
      <name val="Calibri"/>
    </font>
    <font>
      <b/>
      <vertAlign val="subscript"/>
      <sz val="8"/>
      <color theme="1"/>
      <name val="Arial"/>
    </font>
    <font>
      <b/>
      <vertAlign val="subscript"/>
      <sz val="16"/>
      <color rgb="FF0000FF"/>
      <name val="Calibri"/>
    </font>
    <font>
      <b/>
      <sz val="16"/>
      <color rgb="FF0000FF"/>
      <name val="Calibri"/>
    </font>
    <font>
      <vertAlign val="subscript"/>
      <sz val="14"/>
      <color rgb="FF000000"/>
      <name val="Comic Sans MS"/>
    </font>
    <font>
      <b/>
      <vertAlign val="subscript"/>
      <sz val="10"/>
      <color theme="1"/>
      <name val="Comic Sans MS"/>
    </font>
    <font>
      <b/>
      <sz val="10"/>
      <color theme="1"/>
      <name val="Comic Sans MS"/>
    </font>
    <font>
      <vertAlign val="subscript"/>
      <sz val="14"/>
      <color theme="1"/>
      <name val="Comic Sans MS"/>
    </font>
    <font>
      <b/>
      <vertAlign val="subscript"/>
      <sz val="7"/>
      <color theme="1"/>
      <name val="Comic Sans MS"/>
    </font>
    <font>
      <b/>
      <sz val="7"/>
      <color theme="1"/>
      <name val="Comic Sans MS"/>
    </font>
    <font>
      <vertAlign val="subscript"/>
      <sz val="10"/>
      <color theme="1"/>
      <name val="MS Sans Serif"/>
    </font>
    <font>
      <b/>
      <vertAlign val="subscript"/>
      <sz val="8"/>
      <color theme="1"/>
      <name val="MS Sans Serif"/>
    </font>
    <font>
      <b/>
      <vertAlign val="subscript"/>
      <sz val="10"/>
      <color theme="1"/>
      <name val="MS Sans Serif"/>
    </font>
    <font>
      <b/>
      <sz val="10"/>
      <color theme="1"/>
      <name val="MS Sans Serif"/>
    </font>
    <font>
      <sz val="14"/>
      <color rgb="FF000000"/>
      <name val="Comic Sans MS"/>
    </font>
    <font>
      <b/>
      <vertAlign val="subscript"/>
      <sz val="8"/>
      <color theme="1"/>
      <name val="Comic Sans MS"/>
    </font>
    <font>
      <vertAlign val="subscript"/>
      <sz val="8"/>
      <color theme="1"/>
      <name val="Comic Sans MS"/>
    </font>
    <font>
      <vertAlign val="subscript"/>
      <sz val="14"/>
      <color theme="1"/>
      <name val="Calibri"/>
    </font>
    <font>
      <sz val="14"/>
      <color theme="1"/>
      <name val="Calibri"/>
    </font>
    <font>
      <sz val="10"/>
      <color theme="1"/>
      <name val="Arial"/>
    </font>
    <font>
      <i/>
      <sz val="10"/>
      <color theme="1"/>
      <name val="Arial"/>
    </font>
    <font>
      <b/>
      <vertAlign val="subscript"/>
      <sz val="7"/>
      <color theme="1"/>
      <name val="Calibri"/>
    </font>
    <font>
      <b/>
      <sz val="7"/>
      <color theme="1"/>
      <name val="Calibri"/>
    </font>
    <font>
      <vertAlign val="superscript"/>
      <sz val="11"/>
      <color rgb="FFFF0000"/>
      <name val="Calibri"/>
    </font>
    <font>
      <vertAlign val="subscript"/>
      <sz val="11"/>
      <color rgb="FFFF0000"/>
      <name val="Calibri"/>
    </font>
    <font>
      <vertAlign val="subscript"/>
      <sz val="7"/>
      <color theme="1"/>
      <name val="Comic Sans MS"/>
    </font>
    <font>
      <sz val="7"/>
      <color theme="1"/>
      <name val="Comic Sans MS"/>
    </font>
    <font>
      <b/>
      <vertAlign val="superscript"/>
      <sz val="7"/>
      <color theme="1"/>
      <name val="Calibri"/>
    </font>
    <font>
      <b/>
      <vertAlign val="subscript"/>
      <sz val="8"/>
      <color rgb="FF000000"/>
      <name val="Arial"/>
    </font>
    <font>
      <b/>
      <sz val="8"/>
      <color rgb="FF000000"/>
      <name val="Arial"/>
    </font>
    <font>
      <b/>
      <vertAlign val="subscript"/>
      <sz val="8"/>
      <color theme="1"/>
      <name val="Calibri"/>
    </font>
    <font>
      <b/>
      <vertAlign val="subscript"/>
      <sz val="10"/>
      <color theme="1"/>
      <name val="Calibri"/>
    </font>
    <font>
      <b/>
      <sz val="10"/>
      <color theme="1"/>
      <name val="Calibri"/>
    </font>
    <font>
      <b/>
      <vertAlign val="subscript"/>
      <sz val="9"/>
      <color theme="1"/>
      <name val="Calibri"/>
    </font>
    <font>
      <vertAlign val="subscript"/>
      <sz val="10"/>
      <color theme="1"/>
      <name val="Arial"/>
    </font>
    <font>
      <b/>
      <vertAlign val="subscript"/>
      <sz val="10"/>
      <color theme="1"/>
      <name val="Times New Roman"/>
    </font>
    <font>
      <b/>
      <sz val="10"/>
      <color theme="1"/>
      <name val="Times New Roman"/>
    </font>
    <font>
      <b/>
      <vertAlign val="subscript"/>
      <sz val="7"/>
      <color theme="1"/>
      <name val="Arial"/>
    </font>
    <font>
      <b/>
      <sz val="7"/>
      <color theme="1"/>
      <name val="Arial"/>
    </font>
    <font>
      <b/>
      <vertAlign val="superscript"/>
      <sz val="7"/>
      <color theme="1"/>
      <name val="Comic Sans MS"/>
    </font>
    <font>
      <vertAlign val="subscript"/>
      <sz val="8"/>
      <color theme="1"/>
      <name val="Arial"/>
    </font>
    <font>
      <b/>
      <vertAlign val="subscript"/>
      <sz val="11"/>
      <color theme="1"/>
      <name val="Calibri"/>
    </font>
    <font>
      <vertAlign val="subscript"/>
      <sz val="12"/>
      <color theme="1"/>
      <name val="Comic Sans MS"/>
    </font>
    <font>
      <sz val="12"/>
      <color theme="1"/>
      <name val="Comic Sans MS"/>
    </font>
    <font>
      <b/>
      <vertAlign val="subscript"/>
      <sz val="11"/>
      <color theme="1"/>
      <name val="Arial Narrow"/>
    </font>
    <font>
      <vertAlign val="superscript"/>
      <sz val="11"/>
      <color theme="1"/>
      <name val="Arial Narrow"/>
    </font>
    <font>
      <vertAlign val="subscript"/>
      <sz val="11"/>
      <color theme="1"/>
      <name val="Arial Narrow"/>
    </font>
    <font>
      <b/>
      <vertAlign val="subscript"/>
      <sz val="11"/>
      <color rgb="FF000000"/>
      <name val="Arial Narrow"/>
    </font>
    <font>
      <sz val="11"/>
      <color rgb="FF1155CC"/>
      <name val="Calibri"/>
    </font>
    <font>
      <b/>
      <vertAlign val="subscript"/>
      <sz val="10"/>
      <color rgb="FFFF6600"/>
      <name val="Arial"/>
    </font>
    <font>
      <b/>
      <sz val="10"/>
      <color rgb="FFFF6600"/>
      <name val="Arial"/>
    </font>
    <font>
      <b/>
      <vertAlign val="subscript"/>
      <sz val="11"/>
      <color rgb="FFFF6600"/>
      <name val="Calibri"/>
    </font>
    <font>
      <vertAlign val="subscript"/>
      <sz val="8"/>
      <color theme="1"/>
      <name val="Calibri"/>
    </font>
    <font>
      <b/>
      <vertAlign val="subscript"/>
      <sz val="8"/>
      <color rgb="FFFF0000"/>
      <name val="Calibri"/>
    </font>
    <font>
      <b/>
      <sz val="8"/>
      <color rgb="FFFF0000"/>
      <name val="Calibri"/>
    </font>
    <font>
      <vertAlign val="subscript"/>
      <sz val="11"/>
      <color theme="1"/>
      <name val="Comic Sans MS"/>
    </font>
    <font>
      <sz val="11"/>
      <color theme="1"/>
      <name val="Comic Sans MS"/>
    </font>
    <font>
      <b/>
      <vertAlign val="superscript"/>
      <sz val="11"/>
      <color theme="1"/>
      <name val="Calibri"/>
    </font>
    <font>
      <b/>
      <sz val="12"/>
      <color theme="1"/>
      <name val="Calibri"/>
      <family val="2"/>
    </font>
    <font>
      <sz val="12"/>
      <name val="Calibri"/>
      <family val="2"/>
    </font>
    <font>
      <b/>
      <sz val="11"/>
      <color theme="0"/>
      <name val="Calibri"/>
    </font>
    <font>
      <b/>
      <sz val="11"/>
      <color theme="0"/>
      <name val="Calibri"/>
      <family val="2"/>
    </font>
    <font>
      <b/>
      <sz val="11"/>
      <color theme="8"/>
      <name val="Calibri"/>
    </font>
    <font>
      <sz val="9"/>
      <color rgb="FF000000"/>
      <name val="Calibri"/>
    </font>
    <font>
      <u/>
      <sz val="9"/>
      <color rgb="FF0000FF"/>
      <name val="Calibri"/>
    </font>
    <font>
      <sz val="9"/>
      <color rgb="FF0563C1"/>
      <name val="Calibri"/>
    </font>
    <font>
      <sz val="9"/>
      <color rgb="FFFF0000"/>
      <name val="Calibri"/>
    </font>
    <font>
      <sz val="10"/>
      <color theme="1"/>
      <name val="Calibri"/>
    </font>
    <font>
      <sz val="9"/>
      <color theme="1"/>
      <name val="Calibri"/>
      <family val="2"/>
    </font>
    <font>
      <b/>
      <sz val="11"/>
      <color theme="1"/>
      <name val="Calibri"/>
      <family val="2"/>
      <scheme val="major"/>
    </font>
    <font>
      <b/>
      <vertAlign val="subscript"/>
      <sz val="11"/>
      <color theme="1"/>
      <name val="Calibri"/>
      <family val="2"/>
      <scheme val="major"/>
    </font>
    <font>
      <sz val="11"/>
      <color theme="1"/>
      <name val="Calibri"/>
      <family val="2"/>
    </font>
    <font>
      <sz val="10"/>
      <color theme="1"/>
      <name val="Calibri"/>
      <family val="2"/>
      <scheme val="minor"/>
    </font>
    <font>
      <b/>
      <sz val="10"/>
      <color theme="1"/>
      <name val="Calibri"/>
      <family val="2"/>
      <scheme val="minor"/>
    </font>
    <font>
      <sz val="10"/>
      <color theme="1"/>
      <name val="Calibri"/>
      <family val="2"/>
      <scheme val="major"/>
    </font>
    <font>
      <b/>
      <sz val="10"/>
      <color theme="1"/>
      <name val="Calibri"/>
      <family val="2"/>
      <scheme val="major"/>
    </font>
    <font>
      <sz val="8"/>
      <color rgb="FF000000"/>
      <name val="Calibri"/>
      <family val="2"/>
      <scheme val="minor"/>
    </font>
    <font>
      <sz val="8"/>
      <color theme="1"/>
      <name val="Calibri"/>
      <family val="2"/>
      <scheme val="minor"/>
    </font>
  </fonts>
  <fills count="45">
    <fill>
      <patternFill patternType="none"/>
    </fill>
    <fill>
      <patternFill patternType="gray125"/>
    </fill>
    <fill>
      <patternFill patternType="solid">
        <fgColor rgb="FFFFFFFF"/>
        <bgColor rgb="FFFFFFFF"/>
      </patternFill>
    </fill>
    <fill>
      <patternFill patternType="solid">
        <fgColor rgb="FFFFCC99"/>
        <bgColor rgb="FFFFCC99"/>
      </patternFill>
    </fill>
    <fill>
      <patternFill patternType="solid">
        <fgColor rgb="FFC0C0C0"/>
        <bgColor rgb="FFC0C0C0"/>
      </patternFill>
    </fill>
    <fill>
      <patternFill patternType="solid">
        <fgColor rgb="FF808080"/>
        <bgColor rgb="FF808080"/>
      </patternFill>
    </fill>
    <fill>
      <patternFill patternType="solid">
        <fgColor rgb="FFCC99FF"/>
        <bgColor rgb="FFCC99FF"/>
      </patternFill>
    </fill>
    <fill>
      <patternFill patternType="solid">
        <fgColor rgb="FFFFFF00"/>
        <bgColor rgb="FFFFFF00"/>
      </patternFill>
    </fill>
    <fill>
      <patternFill patternType="solid">
        <fgColor rgb="FF333333"/>
        <bgColor rgb="FF333333"/>
      </patternFill>
    </fill>
    <fill>
      <patternFill patternType="solid">
        <fgColor rgb="FFFFFF99"/>
        <bgColor rgb="FFFFFF99"/>
      </patternFill>
    </fill>
    <fill>
      <patternFill patternType="solid">
        <fgColor rgb="FFCCFFCC"/>
        <bgColor rgb="FFCCFFCC"/>
      </patternFill>
    </fill>
    <fill>
      <patternFill patternType="solid">
        <fgColor rgb="FF808000"/>
        <bgColor rgb="FF808000"/>
      </patternFill>
    </fill>
    <fill>
      <patternFill patternType="solid">
        <fgColor rgb="FF969696"/>
        <bgColor rgb="FF969696"/>
      </patternFill>
    </fill>
    <fill>
      <patternFill patternType="solid">
        <fgColor rgb="FF00FF00"/>
        <bgColor rgb="FF00FF00"/>
      </patternFill>
    </fill>
    <fill>
      <patternFill patternType="solid">
        <fgColor rgb="FFFF00FF"/>
        <bgColor rgb="FFFF00FF"/>
      </patternFill>
    </fill>
    <fill>
      <patternFill patternType="solid">
        <fgColor rgb="FFFF0000"/>
        <bgColor rgb="FFFF0000"/>
      </patternFill>
    </fill>
    <fill>
      <patternFill patternType="solid">
        <fgColor rgb="FF800000"/>
        <bgColor rgb="FF800000"/>
      </patternFill>
    </fill>
    <fill>
      <patternFill patternType="solid">
        <fgColor rgb="FFBFBFBF"/>
        <bgColor rgb="FFBFBFBF"/>
      </patternFill>
    </fill>
    <fill>
      <patternFill patternType="solid">
        <fgColor rgb="FFFF99CC"/>
        <bgColor rgb="FFFF99CC"/>
      </patternFill>
    </fill>
    <fill>
      <patternFill patternType="solid">
        <fgColor rgb="FF00CCFF"/>
        <bgColor rgb="FF00CCFF"/>
      </patternFill>
    </fill>
    <fill>
      <patternFill patternType="solid">
        <fgColor rgb="FFFF6600"/>
        <bgColor rgb="FFFF6600"/>
      </patternFill>
    </fill>
    <fill>
      <patternFill patternType="solid">
        <fgColor rgb="FF99CC00"/>
        <bgColor rgb="FF99CC00"/>
      </patternFill>
    </fill>
    <fill>
      <patternFill patternType="solid">
        <fgColor rgb="FF339966"/>
        <bgColor rgb="FF339966"/>
      </patternFill>
    </fill>
    <fill>
      <patternFill patternType="solid">
        <fgColor rgb="FFCCFFFF"/>
        <bgColor rgb="FFCCFFFF"/>
      </patternFill>
    </fill>
    <fill>
      <patternFill patternType="solid">
        <fgColor rgb="FF008000"/>
        <bgColor rgb="FF008000"/>
      </patternFill>
    </fill>
    <fill>
      <patternFill patternType="solid">
        <fgColor rgb="FF99CCFF"/>
        <bgColor rgb="FF99CCFF"/>
      </patternFill>
    </fill>
    <fill>
      <patternFill patternType="solid">
        <fgColor rgb="FF999999"/>
        <bgColor rgb="FF999999"/>
      </patternFill>
    </fill>
    <fill>
      <patternFill patternType="solid">
        <fgColor rgb="FFB7B7B7"/>
        <bgColor rgb="FFB7B7B7"/>
      </patternFill>
    </fill>
    <fill>
      <patternFill patternType="solid">
        <fgColor rgb="FFFFCC00"/>
        <bgColor rgb="FFFFCC00"/>
      </patternFill>
    </fill>
    <fill>
      <patternFill patternType="solid">
        <fgColor rgb="FFCCCCCC"/>
        <bgColor rgb="FFCCCCCC"/>
      </patternFill>
    </fill>
    <fill>
      <patternFill patternType="solid">
        <fgColor rgb="FF33CCCC"/>
        <bgColor rgb="FF33CCCC"/>
      </patternFill>
    </fill>
    <fill>
      <patternFill patternType="solid">
        <fgColor rgb="FFD8D8D8"/>
        <bgColor rgb="FFD8D8D8"/>
      </patternFill>
    </fill>
    <fill>
      <patternFill patternType="solid">
        <fgColor rgb="FFCCC0D9"/>
        <bgColor rgb="FFCCC0D9"/>
      </patternFill>
    </fill>
    <fill>
      <patternFill patternType="solid">
        <fgColor rgb="FFA4C2F4"/>
        <bgColor rgb="FFA4C2F4"/>
      </patternFill>
    </fill>
    <fill>
      <patternFill patternType="solid">
        <fgColor rgb="FFFCE4D6"/>
        <bgColor rgb="FFFCE4D6"/>
      </patternFill>
    </fill>
    <fill>
      <patternFill patternType="solid">
        <fgColor rgb="FF666699"/>
        <bgColor rgb="FF666699"/>
      </patternFill>
    </fill>
    <fill>
      <patternFill patternType="solid">
        <fgColor rgb="FFC4BD97"/>
        <bgColor rgb="FFC4BD97"/>
      </patternFill>
    </fill>
    <fill>
      <patternFill patternType="solid">
        <fgColor rgb="FFFFF2CC"/>
        <bgColor rgb="FFFFF2CC"/>
      </patternFill>
    </fill>
    <fill>
      <patternFill patternType="solid">
        <fgColor rgb="FFFCE5CD"/>
        <bgColor rgb="FFFCE5CD"/>
      </patternFill>
    </fill>
    <fill>
      <patternFill patternType="solid">
        <fgColor rgb="FFCFE2F3"/>
        <bgColor rgb="FFCFE2F3"/>
      </patternFill>
    </fill>
    <fill>
      <patternFill patternType="solid">
        <fgColor rgb="FFEAD1DC"/>
        <bgColor rgb="FFEAD1DC"/>
      </patternFill>
    </fill>
    <fill>
      <patternFill patternType="solid">
        <fgColor rgb="FFD9EAD3"/>
        <bgColor rgb="FFD9EAD3"/>
      </patternFill>
    </fill>
    <fill>
      <patternFill patternType="solid">
        <fgColor theme="8"/>
        <bgColor theme="8"/>
      </patternFill>
    </fill>
    <fill>
      <patternFill patternType="solid">
        <fgColor rgb="FFF2F2F2"/>
        <bgColor rgb="FFF2F2F2"/>
      </patternFill>
    </fill>
    <fill>
      <patternFill patternType="solid">
        <fgColor rgb="FFF3F3F3"/>
        <bgColor rgb="FFF3F3F3"/>
      </patternFill>
    </fill>
  </fills>
  <borders count="380">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bottom/>
      <diagonal/>
    </border>
    <border>
      <left style="thin">
        <color rgb="FF000000"/>
      </left>
      <right style="thin">
        <color rgb="FF000000"/>
      </right>
      <top style="thin">
        <color rgb="FF000000"/>
      </top>
      <bottom/>
      <diagonal/>
    </border>
    <border>
      <left style="medium">
        <color rgb="FF000000"/>
      </left>
      <right/>
      <top/>
      <bottom/>
      <diagonal/>
    </border>
    <border>
      <left/>
      <right style="medium">
        <color rgb="FF000000"/>
      </right>
      <top/>
      <bottom/>
      <diagonal/>
    </border>
    <border>
      <left style="medium">
        <color rgb="FF000000"/>
      </left>
      <right style="medium">
        <color rgb="FF000000"/>
      </right>
      <top/>
      <bottom style="medium">
        <color rgb="FF000000"/>
      </bottom>
      <diagonal/>
    </border>
    <border>
      <left style="medium">
        <color rgb="FF000000"/>
      </left>
      <right style="medium">
        <color rgb="FF000000"/>
      </right>
      <top style="thin">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double">
        <color rgb="FF000000"/>
      </left>
      <right style="thin">
        <color rgb="FF000000"/>
      </right>
      <top style="double">
        <color rgb="FF000000"/>
      </top>
      <bottom/>
      <diagonal/>
    </border>
    <border>
      <left style="thin">
        <color rgb="FF000000"/>
      </left>
      <right style="thin">
        <color rgb="FF000000"/>
      </right>
      <top style="double">
        <color rgb="FF000000"/>
      </top>
      <bottom/>
      <diagonal/>
    </border>
    <border>
      <left style="medium">
        <color rgb="FF000000"/>
      </left>
      <right style="medium">
        <color rgb="FF000000"/>
      </right>
      <top style="thin">
        <color rgb="FF000000"/>
      </top>
      <bottom style="thin">
        <color rgb="FF000000"/>
      </bottom>
      <diagonal/>
    </border>
    <border>
      <left style="thin">
        <color rgb="FF000000"/>
      </left>
      <right style="thin">
        <color rgb="FF000000"/>
      </right>
      <top style="double">
        <color rgb="FF000000"/>
      </top>
      <bottom/>
      <diagonal/>
    </border>
    <border>
      <left style="thin">
        <color rgb="FF000000"/>
      </left>
      <right style="double">
        <color rgb="FF000000"/>
      </right>
      <top style="double">
        <color rgb="FF000000"/>
      </top>
      <bottom/>
      <diagonal/>
    </border>
    <border>
      <left style="medium">
        <color rgb="FF000000"/>
      </left>
      <right style="medium">
        <color rgb="FFC0C0C0"/>
      </right>
      <top/>
      <bottom style="thin">
        <color rgb="FF000000"/>
      </bottom>
      <diagonal/>
    </border>
    <border>
      <left style="double">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medium">
        <color rgb="FFC0C0C0"/>
      </left>
      <right style="medium">
        <color rgb="FF000000"/>
      </right>
      <top/>
      <bottom style="thin">
        <color rgb="FF000000"/>
      </bottom>
      <diagonal/>
    </border>
    <border>
      <left style="thin">
        <color rgb="FF000000"/>
      </left>
      <right style="thin">
        <color rgb="FF000000"/>
      </right>
      <top/>
      <bottom style="medium">
        <color rgb="FF000000"/>
      </bottom>
      <diagonal/>
    </border>
    <border>
      <left style="thin">
        <color rgb="FF000000"/>
      </left>
      <right style="double">
        <color rgb="FF000000"/>
      </right>
      <top/>
      <bottom style="medium">
        <color rgb="FF000000"/>
      </bottom>
      <diagonal/>
    </border>
    <border>
      <left style="double">
        <color rgb="FF000000"/>
      </left>
      <right style="thin">
        <color rgb="FF000000"/>
      </right>
      <top/>
      <bottom/>
      <diagonal/>
    </border>
    <border>
      <left style="thin">
        <color rgb="FF000000"/>
      </left>
      <right style="thin">
        <color rgb="FF000000"/>
      </right>
      <top/>
      <bottom/>
      <diagonal/>
    </border>
    <border>
      <left style="medium">
        <color rgb="FF000000"/>
      </left>
      <right/>
      <top style="thin">
        <color rgb="FF000000"/>
      </top>
      <bottom style="thin">
        <color rgb="FFC0C0C0"/>
      </bottom>
      <diagonal/>
    </border>
    <border>
      <left style="thin">
        <color rgb="FF000000"/>
      </left>
      <right style="thin">
        <color rgb="FF000000"/>
      </right>
      <top/>
      <bottom/>
      <diagonal/>
    </border>
    <border>
      <left style="thin">
        <color rgb="FF000000"/>
      </left>
      <right style="double">
        <color rgb="FF000000"/>
      </right>
      <top/>
      <bottom/>
      <diagonal/>
    </border>
    <border>
      <left style="double">
        <color rgb="FF000000"/>
      </left>
      <right style="thin">
        <color rgb="FF000000"/>
      </right>
      <top style="medium">
        <color rgb="FF000000"/>
      </top>
      <bottom/>
      <diagonal/>
    </border>
    <border>
      <left style="medium">
        <color rgb="FF000000"/>
      </left>
      <right/>
      <top style="thin">
        <color rgb="FFC0C0C0"/>
      </top>
      <bottom style="thin">
        <color rgb="FFC0C0C0"/>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double">
        <color rgb="FF000000"/>
      </right>
      <top style="medium">
        <color rgb="FF000000"/>
      </top>
      <bottom/>
      <diagonal/>
    </border>
    <border>
      <left style="medium">
        <color rgb="FF000000"/>
      </left>
      <right style="medium">
        <color rgb="FF000000"/>
      </right>
      <top style="thin">
        <color rgb="FF000000"/>
      </top>
      <bottom style="medium">
        <color rgb="FF000000"/>
      </bottom>
      <diagonal/>
    </border>
    <border>
      <left style="medium">
        <color rgb="FF000000"/>
      </left>
      <right style="medium">
        <color rgb="FF000000"/>
      </right>
      <top/>
      <bottom style="thin">
        <color rgb="FF000000"/>
      </bottom>
      <diagonal/>
    </border>
    <border>
      <left style="medium">
        <color rgb="FF000000"/>
      </left>
      <right/>
      <top style="thin">
        <color rgb="FFC0C0C0"/>
      </top>
      <bottom style="thin">
        <color rgb="FF000000"/>
      </bottom>
      <diagonal/>
    </border>
    <border>
      <left style="medium">
        <color rgb="FF000000"/>
      </left>
      <right style="medium">
        <color rgb="FF000000"/>
      </right>
      <top/>
      <bottom/>
      <diagonal/>
    </border>
    <border>
      <left style="thin">
        <color rgb="FF000000"/>
      </left>
      <right/>
      <top/>
      <bottom/>
      <diagonal/>
    </border>
    <border>
      <left/>
      <right style="thin">
        <color rgb="FF000000"/>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double">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double">
        <color rgb="FF000000"/>
      </right>
      <top style="medium">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bottom/>
      <diagonal/>
    </border>
    <border>
      <left style="thin">
        <color rgb="FF000000"/>
      </left>
      <right style="thin">
        <color rgb="FF000000"/>
      </right>
      <top style="thick">
        <color rgb="FF000000"/>
      </top>
      <bottom style="thick">
        <color rgb="FF000000"/>
      </bottom>
      <diagonal/>
    </border>
    <border>
      <left style="thin">
        <color rgb="FF000000"/>
      </left>
      <right/>
      <top style="thick">
        <color rgb="FF000000"/>
      </top>
      <bottom style="thick">
        <color rgb="FF000000"/>
      </bottom>
      <diagonal/>
    </border>
    <border>
      <left style="double">
        <color rgb="FF000000"/>
      </left>
      <right style="medium">
        <color rgb="FF000000"/>
      </right>
      <top style="double">
        <color rgb="FF000000"/>
      </top>
      <bottom/>
      <diagonal/>
    </border>
    <border>
      <left style="medium">
        <color rgb="FF000000"/>
      </left>
      <right style="medium">
        <color rgb="FF000000"/>
      </right>
      <top style="double">
        <color rgb="FF000000"/>
      </top>
      <bottom/>
      <diagonal/>
    </border>
    <border>
      <left style="medium">
        <color rgb="FF000000"/>
      </left>
      <right style="double">
        <color rgb="FF000000"/>
      </right>
      <top style="double">
        <color rgb="FF000000"/>
      </top>
      <bottom/>
      <diagonal/>
    </border>
    <border>
      <left style="double">
        <color rgb="FF000000"/>
      </left>
      <right/>
      <top/>
      <bottom/>
      <diagonal/>
    </border>
    <border>
      <left/>
      <right style="thin">
        <color rgb="FF000000"/>
      </right>
      <top style="thick">
        <color rgb="FF000000"/>
      </top>
      <bottom style="thick">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double">
        <color rgb="FF000000"/>
      </left>
      <right/>
      <top/>
      <bottom style="medium">
        <color rgb="FF000000"/>
      </bottom>
      <diagonal/>
    </border>
    <border>
      <left style="medium">
        <color rgb="FF000000"/>
      </left>
      <right style="double">
        <color rgb="FF000000"/>
      </right>
      <top/>
      <bottom style="medium">
        <color rgb="FF000000"/>
      </bottom>
      <diagonal/>
    </border>
    <border>
      <left style="double">
        <color rgb="FF000000"/>
      </left>
      <right/>
      <top style="medium">
        <color rgb="FF000000"/>
      </top>
      <bottom/>
      <diagonal/>
    </border>
    <border>
      <left style="medium">
        <color rgb="FF000000"/>
      </left>
      <right style="medium">
        <color rgb="FF000000"/>
      </right>
      <top style="medium">
        <color rgb="FF000000"/>
      </top>
      <bottom/>
      <diagonal/>
    </border>
    <border>
      <left style="medium">
        <color rgb="FF000000"/>
      </left>
      <right style="double">
        <color rgb="FF000000"/>
      </right>
      <top style="medium">
        <color rgb="FF000000"/>
      </top>
      <bottom/>
      <diagonal/>
    </border>
    <border>
      <left style="double">
        <color rgb="FF000000"/>
      </left>
      <right/>
      <top style="thin">
        <color rgb="FF000000"/>
      </top>
      <bottom style="thin">
        <color rgb="FF000000"/>
      </bottom>
      <diagonal/>
    </border>
    <border>
      <left style="medium">
        <color rgb="FF000000"/>
      </left>
      <right style="double">
        <color rgb="FF000000"/>
      </right>
      <top style="thin">
        <color rgb="FF000000"/>
      </top>
      <bottom style="thin">
        <color rgb="FF000000"/>
      </bottom>
      <diagonal/>
    </border>
    <border>
      <left style="double">
        <color rgb="FF000000"/>
      </left>
      <right style="thin">
        <color rgb="FF000000"/>
      </right>
      <top/>
      <bottom/>
      <diagonal/>
    </border>
    <border>
      <left/>
      <right style="thin">
        <color rgb="FF000000"/>
      </right>
      <top style="medium">
        <color rgb="FF000000"/>
      </top>
      <bottom style="medium">
        <color rgb="FF000000"/>
      </bottom>
      <diagonal/>
    </border>
    <border>
      <left style="double">
        <color rgb="FF000000"/>
      </left>
      <right/>
      <top style="thin">
        <color rgb="FF000000"/>
      </top>
      <bottom/>
      <diagonal/>
    </border>
    <border>
      <left style="medium">
        <color rgb="FF000000"/>
      </left>
      <right style="medium">
        <color rgb="FF000000"/>
      </right>
      <top style="thin">
        <color rgb="FF000000"/>
      </top>
      <bottom/>
      <diagonal/>
    </border>
    <border>
      <left style="medium">
        <color rgb="FF000000"/>
      </left>
      <right style="double">
        <color rgb="FF000000"/>
      </right>
      <top style="thin">
        <color rgb="FF000000"/>
      </top>
      <bottom/>
      <diagonal/>
    </border>
    <border>
      <left style="thin">
        <color rgb="FF000000"/>
      </left>
      <right style="double">
        <color rgb="FF000000"/>
      </right>
      <top style="thick">
        <color rgb="FF000000"/>
      </top>
      <bottom style="thick">
        <color rgb="FF000000"/>
      </bottom>
      <diagonal/>
    </border>
    <border>
      <left style="double">
        <color rgb="FF000000"/>
      </left>
      <right/>
      <top style="medium">
        <color rgb="FF000000"/>
      </top>
      <bottom style="medium">
        <color rgb="FF000000"/>
      </bottom>
      <diagonal/>
    </border>
    <border>
      <left style="double">
        <color rgb="FF000000"/>
      </left>
      <right style="thin">
        <color rgb="FF000000"/>
      </right>
      <top/>
      <bottom style="double">
        <color rgb="FF000000"/>
      </bottom>
      <diagonal/>
    </border>
    <border>
      <left style="thin">
        <color rgb="FF000000"/>
      </left>
      <right style="thin">
        <color rgb="FF000000"/>
      </right>
      <top/>
      <bottom style="double">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double">
        <color rgb="FF000000"/>
      </right>
      <top/>
      <bottom style="double">
        <color rgb="FF000000"/>
      </bottom>
      <diagonal/>
    </border>
    <border>
      <left style="double">
        <color rgb="FF000000"/>
      </left>
      <right style="medium">
        <color rgb="FF000000"/>
      </right>
      <top style="double">
        <color rgb="FF000000"/>
      </top>
      <bottom/>
      <diagonal/>
    </border>
    <border>
      <left style="medium">
        <color rgb="FF000000"/>
      </left>
      <right style="medium">
        <color rgb="FF000000"/>
      </right>
      <top style="double">
        <color rgb="FF000000"/>
      </top>
      <bottom/>
      <diagonal/>
    </border>
    <border>
      <left/>
      <right style="medium">
        <color rgb="FF000000"/>
      </right>
      <top style="double">
        <color rgb="FF000000"/>
      </top>
      <bottom/>
      <diagonal/>
    </border>
    <border>
      <left style="medium">
        <color rgb="FF000000"/>
      </left>
      <right style="double">
        <color rgb="FF000000"/>
      </right>
      <top style="double">
        <color rgb="FF000000"/>
      </top>
      <bottom/>
      <diagonal/>
    </border>
    <border>
      <left style="medium">
        <color rgb="FF000000"/>
      </left>
      <right/>
      <top style="double">
        <color rgb="FF000000"/>
      </top>
      <bottom/>
      <diagonal/>
    </border>
    <border>
      <left style="double">
        <color rgb="FF000000"/>
      </left>
      <right style="medium">
        <color rgb="FF000000"/>
      </right>
      <top/>
      <bottom/>
      <diagonal/>
    </border>
    <border>
      <left/>
      <right style="medium">
        <color rgb="FF000000"/>
      </right>
      <top/>
      <bottom/>
      <diagonal/>
    </border>
    <border>
      <left style="double">
        <color rgb="FF000000"/>
      </left>
      <right style="medium">
        <color rgb="FF000000"/>
      </right>
      <top/>
      <bottom style="medium">
        <color rgb="FF000000"/>
      </bottom>
      <diagonal/>
    </border>
    <border>
      <left style="medium">
        <color rgb="FF000000"/>
      </left>
      <right style="double">
        <color rgb="FF000000"/>
      </right>
      <top/>
      <bottom/>
      <diagonal/>
    </border>
    <border>
      <left style="medium">
        <color rgb="FF000000"/>
      </left>
      <right/>
      <top/>
      <bottom style="medium">
        <color rgb="FF000000"/>
      </bottom>
      <diagonal/>
    </border>
    <border>
      <left style="double">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double">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double">
        <color rgb="FF000000"/>
      </right>
      <top style="medium">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double">
        <color rgb="FF000000"/>
      </right>
      <top style="medium">
        <color rgb="FF000000"/>
      </top>
      <bottom style="medium">
        <color rgb="FF000000"/>
      </bottom>
      <diagonal/>
    </border>
    <border>
      <left style="double">
        <color rgb="FF000000"/>
      </left>
      <right/>
      <top/>
      <bottom style="double">
        <color rgb="FF000000"/>
      </bottom>
      <diagonal/>
    </border>
    <border>
      <left style="medium">
        <color rgb="FF000000"/>
      </left>
      <right style="medium">
        <color rgb="FF000000"/>
      </right>
      <top/>
      <bottom style="double">
        <color rgb="FF000000"/>
      </bottom>
      <diagonal/>
    </border>
    <border>
      <left style="medium">
        <color rgb="FF000000"/>
      </left>
      <right style="double">
        <color rgb="FF000000"/>
      </right>
      <top/>
      <bottom style="double">
        <color rgb="FF000000"/>
      </bottom>
      <diagonal/>
    </border>
    <border>
      <left style="double">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double">
        <color rgb="FF000000"/>
      </right>
      <top style="thin">
        <color rgb="FF000000"/>
      </top>
      <bottom style="medium">
        <color rgb="FF000000"/>
      </bottom>
      <diagonal/>
    </border>
    <border>
      <left/>
      <right style="medium">
        <color rgb="FF000000"/>
      </right>
      <top style="medium">
        <color rgb="FF000000"/>
      </top>
      <bottom style="medium">
        <color rgb="FF000000"/>
      </bottom>
      <diagonal/>
    </border>
    <border>
      <left style="double">
        <color rgb="FF000000"/>
      </left>
      <right/>
      <top/>
      <bottom style="medium">
        <color rgb="FF000000"/>
      </bottom>
      <diagonal/>
    </border>
    <border>
      <left/>
      <right style="medium">
        <color rgb="FF000000"/>
      </right>
      <top/>
      <bottom style="medium">
        <color rgb="FF000000"/>
      </bottom>
      <diagonal/>
    </border>
    <border>
      <left style="medium">
        <color rgb="FF000000"/>
      </left>
      <right style="double">
        <color rgb="FF000000"/>
      </right>
      <top/>
      <bottom style="medium">
        <color rgb="FF000000"/>
      </bottom>
      <diagonal/>
    </border>
    <border>
      <left/>
      <right style="thin">
        <color rgb="FF000000"/>
      </right>
      <top style="medium">
        <color rgb="FF000000"/>
      </top>
      <bottom/>
      <diagonal/>
    </border>
    <border>
      <left style="medium">
        <color rgb="FF000000"/>
      </left>
      <right/>
      <top/>
      <bottom/>
      <diagonal/>
    </border>
    <border>
      <left style="medium">
        <color rgb="FF000000"/>
      </left>
      <right style="medium">
        <color rgb="FF000000"/>
      </right>
      <top style="thick">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double">
        <color rgb="FF000000"/>
      </right>
      <top style="thin">
        <color rgb="FF000000"/>
      </top>
      <bottom style="thin">
        <color rgb="FF000000"/>
      </bottom>
      <diagonal/>
    </border>
    <border>
      <left style="double">
        <color rgb="FF000000"/>
      </left>
      <right style="medium">
        <color rgb="FF000000"/>
      </right>
      <top style="thin">
        <color rgb="FF000000"/>
      </top>
      <bottom style="thin">
        <color rgb="FF000000"/>
      </bottom>
      <diagonal/>
    </border>
    <border>
      <left style="medium">
        <color rgb="FF000000"/>
      </left>
      <right/>
      <top/>
      <bottom style="thin">
        <color rgb="FF000000"/>
      </bottom>
      <diagonal/>
    </border>
    <border>
      <left style="medium">
        <color rgb="FF000000"/>
      </left>
      <right style="medium">
        <color rgb="FF000000"/>
      </right>
      <top/>
      <bottom style="thick">
        <color rgb="FF000000"/>
      </bottom>
      <diagonal/>
    </border>
    <border>
      <left style="medium">
        <color rgb="FF000000"/>
      </left>
      <right style="medium">
        <color rgb="FF000000"/>
      </right>
      <top/>
      <bottom style="thick">
        <color rgb="FF000000"/>
      </bottom>
      <diagonal/>
    </border>
    <border>
      <left style="medium">
        <color rgb="FF000000"/>
      </left>
      <right style="double">
        <color rgb="FF000000"/>
      </right>
      <top/>
      <bottom style="thick">
        <color rgb="FF000000"/>
      </bottom>
      <diagonal/>
    </border>
    <border>
      <left/>
      <right style="medium">
        <color rgb="FF000000"/>
      </right>
      <top/>
      <bottom style="thin">
        <color rgb="FF000000"/>
      </bottom>
      <diagonal/>
    </border>
    <border>
      <left style="double">
        <color rgb="FF000000"/>
      </left>
      <right style="thin">
        <color rgb="FF000000"/>
      </right>
      <top style="thick">
        <color rgb="FF000000"/>
      </top>
      <bottom style="thick">
        <color rgb="FF000000"/>
      </bottom>
      <diagonal/>
    </border>
    <border>
      <left style="medium">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thick">
        <color rgb="FF000000"/>
      </top>
      <bottom style="thick">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double">
        <color rgb="FF000000"/>
      </right>
      <top style="thick">
        <color rgb="FF000000"/>
      </top>
      <bottom style="thick">
        <color rgb="FF000000"/>
      </bottom>
      <diagonal/>
    </border>
    <border>
      <left/>
      <right style="medium">
        <color rgb="FF000000"/>
      </right>
      <top style="thin">
        <color rgb="FF000000"/>
      </top>
      <bottom/>
      <diagonal/>
    </border>
    <border>
      <left style="double">
        <color rgb="FF000000"/>
      </left>
      <right/>
      <top/>
      <bottom style="thick">
        <color rgb="FF000000"/>
      </bottom>
      <diagonal/>
    </border>
    <border>
      <left/>
      <right/>
      <top/>
      <bottom style="thick">
        <color rgb="FF000000"/>
      </bottom>
      <diagonal/>
    </border>
    <border>
      <left style="medium">
        <color rgb="FF000000"/>
      </left>
      <right/>
      <top style="medium">
        <color rgb="FF000000"/>
      </top>
      <bottom/>
      <diagonal/>
    </border>
    <border>
      <left/>
      <right/>
      <top style="medium">
        <color rgb="FF000000"/>
      </top>
      <bottom/>
      <diagonal/>
    </border>
    <border>
      <left style="double">
        <color rgb="FF000000"/>
      </left>
      <right/>
      <top style="thick">
        <color rgb="FF000000"/>
      </top>
      <bottom style="thick">
        <color rgb="FF000000"/>
      </bottom>
      <diagonal/>
    </border>
    <border>
      <left/>
      <right/>
      <top style="thick">
        <color rgb="FF000000"/>
      </top>
      <bottom style="thick">
        <color rgb="FF000000"/>
      </bottom>
      <diagonal/>
    </border>
    <border>
      <left/>
      <right/>
      <top/>
      <bottom style="medium">
        <color rgb="FF000000"/>
      </bottom>
      <diagonal/>
    </border>
    <border>
      <left/>
      <right/>
      <top/>
      <bottom style="double">
        <color rgb="FF000000"/>
      </bottom>
      <diagonal/>
    </border>
    <border>
      <left/>
      <right style="double">
        <color rgb="FF000000"/>
      </right>
      <top/>
      <bottom style="double">
        <color rgb="FF000000"/>
      </bottom>
      <diagonal/>
    </border>
    <border>
      <left style="medium">
        <color rgb="FF000000"/>
      </left>
      <right style="medium">
        <color rgb="FF000000"/>
      </right>
      <top/>
      <bottom style="thin">
        <color rgb="FF000000"/>
      </bottom>
      <diagonal/>
    </border>
    <border>
      <left style="double">
        <color rgb="FF000000"/>
      </left>
      <right style="medium">
        <color rgb="FF000000"/>
      </right>
      <top/>
      <bottom style="thin">
        <color rgb="FF000000"/>
      </bottom>
      <diagonal/>
    </border>
    <border>
      <left/>
      <right style="medium">
        <color rgb="FF000000"/>
      </right>
      <top/>
      <bottom style="thin">
        <color rgb="FF000000"/>
      </bottom>
      <diagonal/>
    </border>
    <border>
      <left style="medium">
        <color rgb="FF000000"/>
      </left>
      <right style="double">
        <color rgb="FF000000"/>
      </right>
      <top/>
      <bottom style="thin">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thin">
        <color rgb="FF000000"/>
      </top>
      <bottom/>
      <diagonal/>
    </border>
    <border>
      <left style="double">
        <color rgb="FF000000"/>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top/>
      <bottom style="thin">
        <color rgb="FF000000"/>
      </bottom>
      <diagonal/>
    </border>
    <border>
      <left/>
      <right style="medium">
        <color rgb="FF000000"/>
      </right>
      <top style="medium">
        <color rgb="FF000000"/>
      </top>
      <bottom/>
      <diagonal/>
    </border>
    <border>
      <left style="double">
        <color rgb="FF000000"/>
      </left>
      <right style="medium">
        <color rgb="FF000000"/>
      </right>
      <top style="medium">
        <color rgb="FF000000"/>
      </top>
      <bottom/>
      <diagonal/>
    </border>
    <border>
      <left style="thin">
        <color rgb="FF000000"/>
      </left>
      <right/>
      <top style="thin">
        <color rgb="FF000000"/>
      </top>
      <bottom style="medium">
        <color rgb="FF000000"/>
      </bottom>
      <diagonal/>
    </border>
    <border>
      <left/>
      <right/>
      <top style="medium">
        <color rgb="FF000000"/>
      </top>
      <bottom style="medium">
        <color rgb="FF000000"/>
      </bottom>
      <diagonal/>
    </border>
    <border>
      <left/>
      <right/>
      <top style="medium">
        <color rgb="FF000000"/>
      </top>
      <bottom/>
      <diagonal/>
    </border>
    <border>
      <left style="double">
        <color rgb="FF000000"/>
      </left>
      <right style="thin">
        <color rgb="FF000000"/>
      </right>
      <top style="thin">
        <color rgb="FF000000"/>
      </top>
      <bottom style="thin">
        <color rgb="FF000000"/>
      </bottom>
      <diagonal/>
    </border>
    <border>
      <left style="double">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style="medium">
        <color rgb="FF000000"/>
      </top>
      <bottom style="medium">
        <color rgb="FF000000"/>
      </bottom>
      <diagonal/>
    </border>
    <border>
      <left style="thin">
        <color rgb="FF000000"/>
      </left>
      <right/>
      <top/>
      <bottom style="double">
        <color rgb="FF000000"/>
      </bottom>
      <diagonal/>
    </border>
    <border>
      <left/>
      <right/>
      <top style="double">
        <color rgb="FF000000"/>
      </top>
      <bottom/>
      <diagonal/>
    </border>
    <border>
      <left/>
      <right style="double">
        <color rgb="FF000000"/>
      </right>
      <top/>
      <bottom/>
      <diagonal/>
    </border>
    <border>
      <left/>
      <right/>
      <top style="medium">
        <color rgb="FF000000"/>
      </top>
      <bottom style="medium">
        <color rgb="FF000000"/>
      </bottom>
      <diagonal/>
    </border>
    <border>
      <left style="double">
        <color rgb="FF000000"/>
      </left>
      <right style="medium">
        <color rgb="FF000000"/>
      </right>
      <top style="double">
        <color rgb="FF000000"/>
      </top>
      <bottom style="double">
        <color rgb="FF000000"/>
      </bottom>
      <diagonal/>
    </border>
    <border>
      <left style="medium">
        <color rgb="FF000000"/>
      </left>
      <right style="medium">
        <color rgb="FF000000"/>
      </right>
      <top style="double">
        <color rgb="FF000000"/>
      </top>
      <bottom style="double">
        <color rgb="FF000000"/>
      </bottom>
      <diagonal/>
    </border>
    <border>
      <left style="medium">
        <color rgb="FF000000"/>
      </left>
      <right/>
      <top style="double">
        <color rgb="FF000000"/>
      </top>
      <bottom style="double">
        <color rgb="FF000000"/>
      </bottom>
      <diagonal/>
    </border>
    <border>
      <left/>
      <right style="medium">
        <color rgb="FF000000"/>
      </right>
      <top style="double">
        <color rgb="FF000000"/>
      </top>
      <bottom style="double">
        <color rgb="FF000000"/>
      </bottom>
      <diagonal/>
    </border>
    <border>
      <left style="medium">
        <color rgb="FF000000"/>
      </left>
      <right style="double">
        <color rgb="FF000000"/>
      </right>
      <top style="double">
        <color rgb="FF000000"/>
      </top>
      <bottom style="double">
        <color rgb="FF000000"/>
      </bottom>
      <diagonal/>
    </border>
    <border>
      <left style="medium">
        <color rgb="FF000000"/>
      </left>
      <right style="medium">
        <color rgb="FF000000"/>
      </right>
      <top style="thin">
        <color rgb="FF000000"/>
      </top>
      <bottom style="thick">
        <color rgb="FF000000"/>
      </bottom>
      <diagonal/>
    </border>
    <border>
      <left style="double">
        <color rgb="FF000000"/>
      </left>
      <right style="medium">
        <color rgb="FF000000"/>
      </right>
      <top style="medium">
        <color rgb="FF000000"/>
      </top>
      <bottom style="medium">
        <color rgb="FF000000"/>
      </bottom>
      <diagonal/>
    </border>
    <border>
      <left style="double">
        <color rgb="FF000000"/>
      </left>
      <right/>
      <top style="medium">
        <color rgb="FF000000"/>
      </top>
      <bottom/>
      <diagonal/>
    </border>
    <border>
      <left style="double">
        <color rgb="FF000000"/>
      </left>
      <right/>
      <top style="medium">
        <color rgb="FF000000"/>
      </top>
      <bottom style="double">
        <color rgb="FF000000"/>
      </bottom>
      <diagonal/>
    </border>
    <border>
      <left/>
      <right/>
      <top style="medium">
        <color rgb="FF000000"/>
      </top>
      <bottom style="double">
        <color rgb="FF000000"/>
      </bottom>
      <diagonal/>
    </border>
    <border>
      <left/>
      <right style="double">
        <color rgb="FF000000"/>
      </right>
      <top style="medium">
        <color rgb="FF000000"/>
      </top>
      <bottom style="double">
        <color rgb="FF000000"/>
      </bottom>
      <diagonal/>
    </border>
    <border>
      <left/>
      <right style="double">
        <color rgb="FF000000"/>
      </right>
      <top style="medium">
        <color rgb="FF000000"/>
      </top>
      <bottom/>
      <diagonal/>
    </border>
    <border>
      <left style="double">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double">
        <color rgb="FF000000"/>
      </right>
      <top/>
      <bottom style="thin">
        <color rgb="FF000000"/>
      </bottom>
      <diagonal/>
    </border>
    <border>
      <left style="thin">
        <color rgb="FF000000"/>
      </left>
      <right style="double">
        <color rgb="FF000000"/>
      </right>
      <top style="thin">
        <color rgb="FF000000"/>
      </top>
      <bottom/>
      <diagonal/>
    </border>
    <border>
      <left style="medium">
        <color rgb="FF000000"/>
      </left>
      <right/>
      <top style="medium">
        <color rgb="FF000000"/>
      </top>
      <bottom style="medium">
        <color rgb="FF000000"/>
      </bottom>
      <diagonal/>
    </border>
    <border>
      <left style="thin">
        <color rgb="FF000000"/>
      </left>
      <right/>
      <top style="medium">
        <color rgb="FF000000"/>
      </top>
      <bottom style="thin">
        <color rgb="FF000000"/>
      </bottom>
      <diagonal/>
    </border>
    <border>
      <left/>
      <right/>
      <top style="thin">
        <color rgb="FF000000"/>
      </top>
      <bottom style="thin">
        <color rgb="FF000000"/>
      </bottom>
      <diagonal/>
    </border>
    <border>
      <left/>
      <right/>
      <top style="thin">
        <color rgb="FF000000"/>
      </top>
      <bottom style="medium">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medium">
        <color rgb="FF000000"/>
      </top>
      <bottom style="medium">
        <color rgb="FF000000"/>
      </bottom>
      <diagonal/>
    </border>
    <border>
      <left style="double">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thick">
        <color rgb="FF000000"/>
      </bottom>
      <diagonal/>
    </border>
    <border>
      <left style="thin">
        <color rgb="FF000000"/>
      </left>
      <right style="double">
        <color rgb="FF000000"/>
      </right>
      <top style="thin">
        <color rgb="FF000000"/>
      </top>
      <bottom style="double">
        <color rgb="FF000000"/>
      </bottom>
      <diagonal/>
    </border>
    <border>
      <left style="double">
        <color rgb="FF000000"/>
      </left>
      <right/>
      <top style="double">
        <color rgb="FF000000"/>
      </top>
      <bottom/>
      <diagonal/>
    </border>
    <border>
      <left/>
      <right style="double">
        <color rgb="FF000000"/>
      </right>
      <top style="double">
        <color rgb="FF000000"/>
      </top>
      <bottom/>
      <diagonal/>
    </border>
    <border>
      <left style="double">
        <color rgb="FF000000"/>
      </left>
      <right/>
      <top/>
      <bottom style="thin">
        <color rgb="FF000000"/>
      </bottom>
      <diagonal/>
    </border>
    <border>
      <left/>
      <right style="double">
        <color rgb="FF000000"/>
      </right>
      <top/>
      <bottom style="thin">
        <color rgb="FF000000"/>
      </bottom>
      <diagonal/>
    </border>
    <border>
      <left style="thin">
        <color rgb="FF000000"/>
      </left>
      <right style="medium">
        <color rgb="FF000000"/>
      </right>
      <top style="medium">
        <color rgb="FF000000"/>
      </top>
      <bottom style="medium">
        <color rgb="FF000000"/>
      </bottom>
      <diagonal/>
    </border>
    <border>
      <left/>
      <right style="medium">
        <color rgb="FF000000"/>
      </right>
      <top style="double">
        <color rgb="FF000000"/>
      </top>
      <bottom/>
      <diagonal/>
    </border>
    <border>
      <left style="thin">
        <color rgb="FF000000"/>
      </left>
      <right style="thick">
        <color rgb="FF000000"/>
      </right>
      <top style="medium">
        <color rgb="FF000000"/>
      </top>
      <bottom style="thin">
        <color rgb="FF000000"/>
      </bottom>
      <diagonal/>
    </border>
    <border>
      <left style="double">
        <color rgb="FF000000"/>
      </left>
      <right/>
      <top style="double">
        <color rgb="FF000000"/>
      </top>
      <bottom/>
      <diagonal/>
    </border>
    <border>
      <left/>
      <right/>
      <top style="double">
        <color rgb="FF000000"/>
      </top>
      <bottom/>
      <diagonal/>
    </border>
    <border>
      <left style="thin">
        <color rgb="FF000000"/>
      </left>
      <right style="thick">
        <color rgb="FF000000"/>
      </right>
      <top style="thin">
        <color rgb="FF000000"/>
      </top>
      <bottom style="thick">
        <color rgb="FF000000"/>
      </bottom>
      <diagonal/>
    </border>
    <border>
      <left style="thin">
        <color rgb="FF000000"/>
      </left>
      <right style="double">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style="thin">
        <color rgb="FF000000"/>
      </left>
      <right style="double">
        <color rgb="FF000000"/>
      </right>
      <top style="thin">
        <color rgb="FF000000"/>
      </top>
      <bottom style="medium">
        <color rgb="FF000000"/>
      </bottom>
      <diagonal/>
    </border>
    <border>
      <left style="double">
        <color rgb="FF000000"/>
      </left>
      <right/>
      <top style="medium">
        <color rgb="FF000000"/>
      </top>
      <bottom style="medium">
        <color rgb="FF000000"/>
      </bottom>
      <diagonal/>
    </border>
    <border>
      <left/>
      <right/>
      <top style="thin">
        <color rgb="FF000000"/>
      </top>
      <bottom style="double">
        <color rgb="FF000000"/>
      </bottom>
      <diagonal/>
    </border>
    <border>
      <left style="double">
        <color rgb="FF000000"/>
      </left>
      <right style="thin">
        <color rgb="FF000000"/>
      </right>
      <top style="medium">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medium">
        <color rgb="FF000000"/>
      </right>
      <top style="thin">
        <color rgb="FF000000"/>
      </top>
      <bottom style="double">
        <color rgb="FF000000"/>
      </bottom>
      <diagonal/>
    </border>
    <border>
      <left style="medium">
        <color rgb="FF000000"/>
      </left>
      <right style="double">
        <color rgb="FF000000"/>
      </right>
      <top style="thin">
        <color rgb="FF000000"/>
      </top>
      <bottom style="double">
        <color rgb="FF000000"/>
      </bottom>
      <diagonal/>
    </border>
    <border>
      <left style="double">
        <color rgb="FF000000"/>
      </left>
      <right/>
      <top style="thin">
        <color rgb="FF000000"/>
      </top>
      <bottom style="double">
        <color rgb="FF000000"/>
      </bottom>
      <diagonal/>
    </border>
    <border>
      <left style="thin">
        <color rgb="FF000000"/>
      </left>
      <right style="thick">
        <color rgb="FF000000"/>
      </right>
      <top style="thin">
        <color rgb="FF000000"/>
      </top>
      <bottom style="medium">
        <color rgb="FF000000"/>
      </bottom>
      <diagonal/>
    </border>
    <border>
      <left style="medium">
        <color rgb="FF000000"/>
      </left>
      <right style="medium">
        <color rgb="FF000000"/>
      </right>
      <top style="medium">
        <color rgb="FF000000"/>
      </top>
      <bottom style="double">
        <color rgb="FF000000"/>
      </bottom>
      <diagonal/>
    </border>
    <border>
      <left style="medium">
        <color rgb="FF000000"/>
      </left>
      <right style="double">
        <color rgb="FF000000"/>
      </right>
      <top style="medium">
        <color rgb="FF000000"/>
      </top>
      <bottom style="double">
        <color rgb="FF000000"/>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top style="double">
        <color rgb="FF000000"/>
      </top>
      <bottom style="thin">
        <color rgb="FF000000"/>
      </bottom>
      <diagonal/>
    </border>
    <border>
      <left/>
      <right/>
      <top style="double">
        <color rgb="FF000000"/>
      </top>
      <bottom style="thin">
        <color rgb="FF000000"/>
      </bottom>
      <diagonal/>
    </border>
    <border>
      <left/>
      <right style="double">
        <color rgb="FF000000"/>
      </right>
      <top style="thin">
        <color rgb="FF000000"/>
      </top>
      <bottom style="thin">
        <color rgb="FF000000"/>
      </bottom>
      <diagonal/>
    </border>
    <border>
      <left style="double">
        <color rgb="FF000000"/>
      </left>
      <right style="double">
        <color rgb="FF000000"/>
      </right>
      <top style="thin">
        <color rgb="FF000000"/>
      </top>
      <bottom style="thin">
        <color rgb="FF000000"/>
      </bottom>
      <diagonal/>
    </border>
    <border>
      <left/>
      <right style="double">
        <color rgb="FF000000"/>
      </right>
      <top style="thin">
        <color rgb="FF000000"/>
      </top>
      <bottom/>
      <diagonal/>
    </border>
    <border>
      <left style="double">
        <color rgb="FF000000"/>
      </left>
      <right style="double">
        <color rgb="FF000000"/>
      </right>
      <top style="thin">
        <color rgb="FF000000"/>
      </top>
      <bottom style="double">
        <color rgb="FF000000"/>
      </bottom>
      <diagonal/>
    </border>
    <border>
      <left/>
      <right style="thin">
        <color rgb="FF000000"/>
      </right>
      <top style="thin">
        <color rgb="FF000000"/>
      </top>
      <bottom/>
      <diagonal/>
    </border>
    <border>
      <left style="double">
        <color rgb="FF000000"/>
      </left>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double">
        <color rgb="FF000000"/>
      </left>
      <right/>
      <top/>
      <bottom/>
      <diagonal/>
    </border>
    <border>
      <left/>
      <right/>
      <top/>
      <bottom/>
      <diagonal/>
    </border>
    <border>
      <left/>
      <right/>
      <top/>
      <bottom/>
      <diagonal/>
    </border>
    <border>
      <left/>
      <right style="double">
        <color rgb="FF000000"/>
      </right>
      <top/>
      <bottom style="medium">
        <color rgb="FF000000"/>
      </bottom>
      <diagonal/>
    </border>
    <border>
      <left/>
      <right style="double">
        <color rgb="FF000000"/>
      </right>
      <top style="medium">
        <color rgb="FF000000"/>
      </top>
      <bottom style="thin">
        <color rgb="FF000000"/>
      </bottom>
      <diagonal/>
    </border>
    <border>
      <left style="medium">
        <color rgb="FF000000"/>
      </left>
      <right/>
      <top/>
      <bottom/>
      <diagonal/>
    </border>
    <border>
      <left/>
      <right style="medium">
        <color rgb="FF000000"/>
      </right>
      <top/>
      <bottom/>
      <diagonal/>
    </border>
    <border>
      <left style="thick">
        <color rgb="FF000000"/>
      </left>
      <right style="thin">
        <color rgb="FF000000"/>
      </right>
      <top style="thick">
        <color rgb="FF000000"/>
      </top>
      <bottom style="thin">
        <color rgb="FF000000"/>
      </bottom>
      <diagonal/>
    </border>
    <border>
      <left style="thin">
        <color rgb="FF000000"/>
      </left>
      <right style="thin">
        <color rgb="FF000000"/>
      </right>
      <top style="thick">
        <color rgb="FF000000"/>
      </top>
      <bottom style="thin">
        <color rgb="FF000000"/>
      </bottom>
      <diagonal/>
    </border>
    <border>
      <left style="thin">
        <color rgb="FF000000"/>
      </left>
      <right style="thick">
        <color rgb="FF000000"/>
      </right>
      <top style="thick">
        <color rgb="FF000000"/>
      </top>
      <bottom style="thin">
        <color rgb="FF000000"/>
      </bottom>
      <diagonal/>
    </border>
    <border>
      <left style="thick">
        <color rgb="FF000000"/>
      </left>
      <right style="thin">
        <color rgb="FF000000"/>
      </right>
      <top style="thin">
        <color rgb="FF000000"/>
      </top>
      <bottom style="thin">
        <color rgb="FF000000"/>
      </bottom>
      <diagonal/>
    </border>
    <border>
      <left/>
      <right/>
      <top/>
      <bottom style="medium">
        <color rgb="FF000000"/>
      </bottom>
      <diagonal/>
    </border>
    <border>
      <left style="thin">
        <color rgb="FF000000"/>
      </left>
      <right style="thick">
        <color rgb="FF000000"/>
      </right>
      <top style="thin">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ck">
        <color rgb="FF000000"/>
      </left>
      <right/>
      <top style="thick">
        <color rgb="FF000000"/>
      </top>
      <bottom/>
      <diagonal/>
    </border>
    <border>
      <left/>
      <right/>
      <top style="thick">
        <color rgb="FF000000"/>
      </top>
      <bottom/>
      <diagonal/>
    </border>
    <border>
      <left/>
      <right style="thick">
        <color rgb="FF000000"/>
      </right>
      <top style="thick">
        <color rgb="FF000000"/>
      </top>
      <bottom/>
      <diagonal/>
    </border>
    <border>
      <left style="thick">
        <color rgb="FF000000"/>
      </left>
      <right/>
      <top/>
      <bottom/>
      <diagonal/>
    </border>
    <border>
      <left/>
      <right style="thick">
        <color rgb="FF000000"/>
      </right>
      <top/>
      <bottom/>
      <diagonal/>
    </border>
    <border>
      <left style="thick">
        <color rgb="FF000000"/>
      </left>
      <right/>
      <top/>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style="thick">
        <color rgb="FFFF0000"/>
      </right>
      <top/>
      <bottom/>
      <diagonal/>
    </border>
    <border>
      <left/>
      <right style="thick">
        <color rgb="FFFF0000"/>
      </right>
      <top/>
      <bottom style="medium">
        <color rgb="FF000000"/>
      </bottom>
      <diagonal/>
    </border>
    <border>
      <left style="thick">
        <color rgb="FFFF0000"/>
      </left>
      <right style="thick">
        <color rgb="FFFF0000"/>
      </right>
      <top/>
      <bottom style="medium">
        <color rgb="FF000000"/>
      </bottom>
      <diagonal/>
    </border>
    <border>
      <left style="double">
        <color rgb="FF000000"/>
      </left>
      <right/>
      <top style="double">
        <color rgb="FF000000"/>
      </top>
      <bottom style="medium">
        <color rgb="FF000000"/>
      </bottom>
      <diagonal/>
    </border>
    <border>
      <left/>
      <right style="double">
        <color rgb="FF000000"/>
      </right>
      <top style="double">
        <color rgb="FF000000"/>
      </top>
      <bottom style="medium">
        <color rgb="FF000000"/>
      </bottom>
      <diagonal/>
    </border>
    <border>
      <left style="thick">
        <color rgb="FFFF0000"/>
      </left>
      <right style="thin">
        <color rgb="FF000000"/>
      </right>
      <top style="thin">
        <color rgb="FF000000"/>
      </top>
      <bottom style="thin">
        <color rgb="FF000000"/>
      </bottom>
      <diagonal/>
    </border>
    <border>
      <left style="thin">
        <color rgb="FF000000"/>
      </left>
      <right style="thick">
        <color rgb="FFFF0000"/>
      </right>
      <top style="thin">
        <color rgb="FF000000"/>
      </top>
      <bottom style="thin">
        <color rgb="FF000000"/>
      </bottom>
      <diagonal/>
    </border>
    <border>
      <left style="thin">
        <color rgb="FF000000"/>
      </left>
      <right style="thin">
        <color rgb="FF000000"/>
      </right>
      <top/>
      <bottom style="thin">
        <color rgb="FF000000"/>
      </bottom>
      <diagonal/>
    </border>
    <border>
      <left style="thick">
        <color rgb="FFFF0000"/>
      </left>
      <right style="thin">
        <color rgb="FF000000"/>
      </right>
      <top/>
      <bottom style="thin">
        <color rgb="FF000000"/>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style="thick">
        <color rgb="FFFF0000"/>
      </left>
      <right style="thick">
        <color rgb="FFFF0000"/>
      </right>
      <top/>
      <bottom style="thick">
        <color rgb="FFFF0000"/>
      </bottom>
      <diagonal/>
    </border>
    <border>
      <left style="thick">
        <color rgb="FF000000"/>
      </left>
      <right/>
      <top/>
      <bottom style="thick">
        <color rgb="FF000000"/>
      </bottom>
      <diagonal/>
    </border>
    <border>
      <left/>
      <right style="thick">
        <color rgb="FF000000"/>
      </right>
      <top/>
      <bottom style="thick">
        <color rgb="FF000000"/>
      </bottom>
      <diagonal/>
    </border>
    <border>
      <left style="thick">
        <color rgb="FF000000"/>
      </left>
      <right/>
      <top style="thick">
        <color rgb="FF000000"/>
      </top>
      <bottom/>
      <diagonal/>
    </border>
    <border>
      <left/>
      <right/>
      <top style="thick">
        <color rgb="FF000000"/>
      </top>
      <bottom/>
      <diagonal/>
    </border>
    <border>
      <left/>
      <right/>
      <top/>
      <bottom style="thick">
        <color rgb="FF000000"/>
      </bottom>
      <diagonal/>
    </border>
    <border>
      <left style="thin">
        <color rgb="FF000000"/>
      </left>
      <right style="thick">
        <color rgb="FFFF0000"/>
      </right>
      <top style="thin">
        <color rgb="FF000000"/>
      </top>
      <bottom/>
      <diagonal/>
    </border>
    <border>
      <left style="thick">
        <color rgb="FF000000"/>
      </left>
      <right style="thick">
        <color rgb="FF000000"/>
      </right>
      <top style="thick">
        <color rgb="FF000000"/>
      </top>
      <bottom style="thick">
        <color rgb="FF000000"/>
      </bottom>
      <diagonal/>
    </border>
    <border>
      <left style="thick">
        <color rgb="FFFF0000"/>
      </left>
      <right/>
      <top/>
      <bottom/>
      <diagonal/>
    </border>
    <border>
      <left style="thin">
        <color rgb="FF000000"/>
      </left>
      <right style="thin">
        <color rgb="FF000000"/>
      </right>
      <top style="double">
        <color rgb="FF000000"/>
      </top>
      <bottom style="thin">
        <color rgb="FF000000"/>
      </bottom>
      <diagonal/>
    </border>
    <border>
      <left style="thin">
        <color rgb="FF000000"/>
      </left>
      <right style="double">
        <color rgb="FF000000"/>
      </right>
      <top style="double">
        <color rgb="FF000000"/>
      </top>
      <bottom style="thin">
        <color rgb="FF000000"/>
      </bottom>
      <diagonal/>
    </border>
    <border>
      <left style="double">
        <color rgb="FF000000"/>
      </left>
      <right style="thin">
        <color rgb="FF000000"/>
      </right>
      <top style="thick">
        <color rgb="FF000000"/>
      </top>
      <bottom style="thin">
        <color rgb="FF000000"/>
      </bottom>
      <diagonal/>
    </border>
    <border>
      <left style="thin">
        <color rgb="FF000000"/>
      </left>
      <right style="double">
        <color rgb="FF000000"/>
      </right>
      <top style="thick">
        <color rgb="FF000000"/>
      </top>
      <bottom style="thin">
        <color rgb="FF000000"/>
      </bottom>
      <diagonal/>
    </border>
    <border>
      <left style="double">
        <color rgb="FF000000"/>
      </left>
      <right style="thin">
        <color rgb="FF000000"/>
      </right>
      <top style="thin">
        <color rgb="FF000000"/>
      </top>
      <bottom/>
      <diagonal/>
    </border>
    <border>
      <left style="thin">
        <color rgb="FF000000"/>
      </left>
      <right style="double">
        <color rgb="FF000000"/>
      </right>
      <top style="thin">
        <color rgb="FF000000"/>
      </top>
      <bottom/>
      <diagonal/>
    </border>
    <border>
      <left style="thin">
        <color rgb="FF000000"/>
      </left>
      <right style="double">
        <color rgb="FF000000"/>
      </right>
      <top/>
      <bottom/>
      <diagonal/>
    </border>
    <border>
      <left/>
      <right style="double">
        <color rgb="FF000000"/>
      </right>
      <top/>
      <bottom style="thick">
        <color rgb="FF000000"/>
      </bottom>
      <diagonal/>
    </border>
    <border>
      <left style="thin">
        <color rgb="FF000000"/>
      </left>
      <right style="thin">
        <color rgb="FF000000"/>
      </right>
      <top style="thick">
        <color rgb="FF000000"/>
      </top>
      <bottom/>
      <diagonal/>
    </border>
    <border>
      <left/>
      <right style="thin">
        <color rgb="FF000000"/>
      </right>
      <top/>
      <bottom style="thin">
        <color rgb="FF000000"/>
      </bottom>
      <diagonal/>
    </border>
    <border>
      <left/>
      <right style="thin">
        <color rgb="FF000000"/>
      </right>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diagonal/>
    </border>
    <border>
      <left style="thin">
        <color rgb="FF000000"/>
      </left>
      <right style="medium">
        <color rgb="FF000000"/>
      </right>
      <top/>
      <bottom/>
      <diagonal/>
    </border>
    <border>
      <left style="double">
        <color rgb="FF000000"/>
      </left>
      <right style="thin">
        <color rgb="FF000000"/>
      </right>
      <top style="thin">
        <color rgb="FF000000"/>
      </top>
      <bottom style="thick">
        <color rgb="FF000000"/>
      </bottom>
      <diagonal/>
    </border>
    <border>
      <left style="thin">
        <color rgb="FF000000"/>
      </left>
      <right style="thin">
        <color rgb="FF000000"/>
      </right>
      <top/>
      <bottom style="thick">
        <color rgb="FF000000"/>
      </bottom>
      <diagonal/>
    </border>
    <border>
      <left style="thin">
        <color rgb="FF000000"/>
      </left>
      <right style="double">
        <color rgb="FF000000"/>
      </right>
      <top style="thin">
        <color rgb="FF000000"/>
      </top>
      <bottom style="thick">
        <color rgb="FF000000"/>
      </bottom>
      <diagonal/>
    </border>
    <border>
      <left style="medium">
        <color rgb="FF000000"/>
      </left>
      <right style="thin">
        <color rgb="FF000000"/>
      </right>
      <top style="thick">
        <color rgb="FF000000"/>
      </top>
      <bottom style="thin">
        <color rgb="FF000000"/>
      </bottom>
      <diagonal/>
    </border>
    <border>
      <left/>
      <right style="thick">
        <color rgb="FF000000"/>
      </right>
      <top style="thick">
        <color rgb="FF000000"/>
      </top>
      <bottom style="thick">
        <color rgb="FF000000"/>
      </bottom>
      <diagonal/>
    </border>
    <border>
      <left style="thin">
        <color rgb="FF000000"/>
      </left>
      <right style="medium">
        <color rgb="FF000000"/>
      </right>
      <top style="thick">
        <color rgb="FF000000"/>
      </top>
      <bottom style="thin">
        <color rgb="FF000000"/>
      </bottom>
      <diagonal/>
    </border>
    <border>
      <left style="double">
        <color rgb="FF000000"/>
      </left>
      <right style="thin">
        <color rgb="FF000000"/>
      </right>
      <top style="double">
        <color rgb="FF000000"/>
      </top>
      <bottom style="thin">
        <color rgb="FF000000"/>
      </bottom>
      <diagonal/>
    </border>
    <border>
      <left style="medium">
        <color rgb="FF000000"/>
      </left>
      <right style="thin">
        <color rgb="FF000000"/>
      </right>
      <top style="thin">
        <color rgb="FF000000"/>
      </top>
      <bottom style="thick">
        <color rgb="FF000000"/>
      </bottom>
      <diagonal/>
    </border>
    <border>
      <left style="thin">
        <color rgb="FF000000"/>
      </left>
      <right style="medium">
        <color rgb="FF000000"/>
      </right>
      <top style="thin">
        <color rgb="FF000000"/>
      </top>
      <bottom style="thick">
        <color rgb="FF000000"/>
      </bottom>
      <diagonal/>
    </border>
    <border>
      <left style="medium">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right/>
      <top style="thin">
        <color rgb="FF000000"/>
      </top>
      <bottom/>
      <diagonal/>
    </border>
    <border>
      <left/>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right/>
      <top style="thick">
        <color rgb="FF000000"/>
      </top>
      <bottom/>
      <diagonal/>
    </border>
    <border>
      <left style="thick">
        <color rgb="FF000000"/>
      </left>
      <right/>
      <top style="thick">
        <color rgb="FF000000"/>
      </top>
      <bottom/>
      <diagonal/>
    </border>
    <border>
      <left/>
      <right/>
      <top style="thick">
        <color rgb="FF000000"/>
      </top>
      <bottom/>
      <diagonal/>
    </border>
    <border>
      <left style="thick">
        <color rgb="FF000000"/>
      </left>
      <right/>
      <top style="thick">
        <color rgb="FF000000"/>
      </top>
      <bottom style="thick">
        <color rgb="FF000000"/>
      </bottom>
      <diagonal/>
    </border>
    <border>
      <left style="thick">
        <color rgb="FF000000"/>
      </left>
      <right/>
      <top style="medium">
        <color rgb="FF000000"/>
      </top>
      <bottom style="thick">
        <color rgb="FF000000"/>
      </bottom>
      <diagonal/>
    </border>
    <border>
      <left/>
      <right/>
      <top style="medium">
        <color rgb="FF000000"/>
      </top>
      <bottom style="thick">
        <color rgb="FF000000"/>
      </bottom>
      <diagonal/>
    </border>
    <border>
      <left/>
      <right style="medium">
        <color rgb="FF000000"/>
      </right>
      <top style="medium">
        <color rgb="FF000000"/>
      </top>
      <bottom style="thick">
        <color rgb="FF000000"/>
      </bottom>
      <diagonal/>
    </border>
    <border>
      <left style="thin">
        <color rgb="FF000000"/>
      </left>
      <right/>
      <top style="thick">
        <color rgb="FF000000"/>
      </top>
      <bottom style="thin">
        <color rgb="FF000000"/>
      </bottom>
      <diagonal/>
    </border>
    <border>
      <left/>
      <right/>
      <top style="thick">
        <color rgb="FF000000"/>
      </top>
      <bottom style="thin">
        <color rgb="FF000000"/>
      </bottom>
      <diagonal/>
    </border>
    <border>
      <left/>
      <right style="thin">
        <color rgb="FF000000"/>
      </right>
      <top style="thick">
        <color rgb="FF000000"/>
      </top>
      <bottom style="thin">
        <color rgb="FF000000"/>
      </bottom>
      <diagonal/>
    </border>
    <border>
      <left style="thick">
        <color rgb="FF000000"/>
      </left>
      <right style="thin">
        <color rgb="FF000000"/>
      </right>
      <top/>
      <bottom style="thin">
        <color rgb="FF000000"/>
      </bottom>
      <diagonal/>
    </border>
    <border>
      <left style="thin">
        <color rgb="FF000000"/>
      </left>
      <right style="thick">
        <color rgb="FF000000"/>
      </right>
      <top/>
      <bottom style="thin">
        <color rgb="FF000000"/>
      </bottom>
      <diagonal/>
    </border>
    <border>
      <left style="thick">
        <color rgb="FF000000"/>
      </left>
      <right/>
      <top style="thin">
        <color rgb="FF000000"/>
      </top>
      <bottom style="thin">
        <color rgb="FF000000"/>
      </bottom>
      <diagonal/>
    </border>
    <border>
      <left/>
      <right style="thin">
        <color rgb="FF000000"/>
      </right>
      <top style="thin">
        <color rgb="FF000000"/>
      </top>
      <bottom style="thick">
        <color rgb="FF000000"/>
      </bottom>
      <diagonal/>
    </border>
    <border>
      <left/>
      <right style="thick">
        <color rgb="FF000000"/>
      </right>
      <top style="thin">
        <color rgb="FF000000"/>
      </top>
      <bottom style="thick">
        <color rgb="FF000000"/>
      </bottom>
      <diagonal/>
    </border>
    <border>
      <left style="thick">
        <color rgb="FF000000"/>
      </left>
      <right style="thin">
        <color rgb="FF000000"/>
      </right>
      <top style="thick">
        <color rgb="FF000000"/>
      </top>
      <bottom style="medium">
        <color rgb="FF000000"/>
      </bottom>
      <diagonal/>
    </border>
    <border>
      <left style="thin">
        <color rgb="FF000000"/>
      </left>
      <right style="thick">
        <color rgb="FF000000"/>
      </right>
      <top style="thick">
        <color rgb="FF000000"/>
      </top>
      <bottom style="medium">
        <color rgb="FF000000"/>
      </bottom>
      <diagonal/>
    </border>
    <border>
      <left style="thick">
        <color rgb="FF000000"/>
      </left>
      <right style="thin">
        <color rgb="FF000000"/>
      </right>
      <top style="thin">
        <color rgb="FF000000"/>
      </top>
      <bottom/>
      <diagonal/>
    </border>
    <border>
      <left style="thin">
        <color rgb="FF000000"/>
      </left>
      <right style="thick">
        <color rgb="FF000000"/>
      </right>
      <top style="thin">
        <color rgb="FF000000"/>
      </top>
      <bottom/>
      <diagonal/>
    </border>
    <border>
      <left style="thick">
        <color rgb="FF000000"/>
      </left>
      <right style="thin">
        <color rgb="FF000000"/>
      </right>
      <top style="medium">
        <color rgb="FF000000"/>
      </top>
      <bottom style="medium">
        <color rgb="FF000000"/>
      </bottom>
      <diagonal/>
    </border>
    <border>
      <left style="thin">
        <color rgb="FF000000"/>
      </left>
      <right style="thick">
        <color rgb="FF000000"/>
      </right>
      <top style="medium">
        <color rgb="FF000000"/>
      </top>
      <bottom style="medium">
        <color rgb="FF000000"/>
      </bottom>
      <diagonal/>
    </border>
    <border>
      <left/>
      <right style="thin">
        <color rgb="FF000000"/>
      </right>
      <top style="medium">
        <color rgb="FF000000"/>
      </top>
      <bottom style="thin">
        <color rgb="FF000000"/>
      </bottom>
      <diagonal/>
    </border>
    <border>
      <left/>
      <right style="thin">
        <color rgb="FF000000"/>
      </right>
      <top style="thin">
        <color rgb="FF000000"/>
      </top>
      <bottom style="medium">
        <color rgb="FF000000"/>
      </bottom>
      <diagonal/>
    </border>
    <border>
      <left/>
      <right style="thin">
        <color rgb="FF000000"/>
      </right>
      <top/>
      <bottom style="thin">
        <color rgb="FF000000"/>
      </bottom>
      <diagonal/>
    </border>
    <border>
      <left style="thin">
        <color rgb="FF000000"/>
      </left>
      <right/>
      <top style="double">
        <color rgb="FF000000"/>
      </top>
      <bottom style="thin">
        <color rgb="FF000000"/>
      </bottom>
      <diagonal/>
    </border>
    <border>
      <left/>
      <right style="thin">
        <color rgb="FF000000"/>
      </right>
      <top style="double">
        <color rgb="FF000000"/>
      </top>
      <bottom style="thin">
        <color rgb="FF000000"/>
      </bottom>
      <diagonal/>
    </border>
    <border>
      <left style="medium">
        <color rgb="FF000000"/>
      </left>
      <right style="thin">
        <color rgb="FF000000"/>
      </right>
      <top style="medium">
        <color rgb="FF000000"/>
      </top>
      <bottom/>
      <diagonal/>
    </border>
    <border>
      <left style="thin">
        <color rgb="FF000000"/>
      </left>
      <right/>
      <top style="medium">
        <color rgb="FF000000"/>
      </top>
      <bottom/>
      <diagonal/>
    </border>
    <border>
      <left/>
      <right style="thin">
        <color rgb="FF000000"/>
      </right>
      <top style="medium">
        <color rgb="FF000000"/>
      </top>
      <bottom/>
      <diagonal/>
    </border>
    <border>
      <left style="thin">
        <color rgb="FF000000"/>
      </left>
      <right style="medium">
        <color rgb="FF000000"/>
      </right>
      <top style="medium">
        <color rgb="FF000000"/>
      </top>
      <bottom/>
      <diagonal/>
    </border>
    <border>
      <left/>
      <right/>
      <top/>
      <bottom style="double">
        <color rgb="FF000000"/>
      </bottom>
      <diagonal/>
    </border>
    <border>
      <left/>
      <right/>
      <top/>
      <bottom style="double">
        <color rgb="FF000000"/>
      </bottom>
      <diagonal/>
    </border>
    <border>
      <left/>
      <right style="double">
        <color rgb="FF000000"/>
      </right>
      <top style="double">
        <color rgb="FF000000"/>
      </top>
      <bottom style="thin">
        <color rgb="FF000000"/>
      </bottom>
      <diagonal/>
    </border>
    <border>
      <left/>
      <right style="double">
        <color rgb="FF000000"/>
      </right>
      <top style="thin">
        <color rgb="FF000000"/>
      </top>
      <bottom style="double">
        <color rgb="FF000000"/>
      </bottom>
      <diagonal/>
    </border>
    <border>
      <left/>
      <right/>
      <top/>
      <bottom style="thin">
        <color rgb="FF000000"/>
      </bottom>
      <diagonal/>
    </border>
    <border>
      <left/>
      <right style="thin">
        <color rgb="FF000000"/>
      </right>
      <top/>
      <bottom style="medium">
        <color rgb="FF000000"/>
      </bottom>
      <diagonal/>
    </border>
    <border>
      <left/>
      <right style="thin">
        <color rgb="FF000000"/>
      </right>
      <top style="medium">
        <color rgb="FF000000"/>
      </top>
      <bottom style="medium">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style="medium">
        <color rgb="FF000000"/>
      </right>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thin">
        <color rgb="FF000000"/>
      </top>
      <bottom style="medium">
        <color rgb="FF000000"/>
      </bottom>
      <diagonal/>
    </border>
    <border>
      <left style="thick">
        <color rgb="FF000000"/>
      </left>
      <right style="thin">
        <color rgb="FF000000"/>
      </right>
      <top style="thin">
        <color rgb="FF000000"/>
      </top>
      <bottom style="medium">
        <color rgb="FF000000"/>
      </bottom>
      <diagonal/>
    </border>
    <border>
      <left/>
      <right/>
      <top style="medium">
        <color rgb="FF000000"/>
      </top>
      <bottom style="medium">
        <color rgb="FF000000"/>
      </bottom>
      <diagonal/>
    </border>
    <border>
      <left/>
      <right style="medium">
        <color rgb="FFC0C0C0"/>
      </right>
      <top/>
      <bottom style="thin">
        <color rgb="FF000000"/>
      </bottom>
      <diagonal/>
    </border>
    <border>
      <left style="medium">
        <color rgb="FFC0C0C0"/>
      </left>
      <right/>
      <top/>
      <bottom style="thin">
        <color rgb="FF000000"/>
      </bottom>
      <diagonal/>
    </border>
    <border>
      <left style="medium">
        <color rgb="FF000000"/>
      </left>
      <right style="thin">
        <color rgb="FFC0C0C0"/>
      </right>
      <top style="thin">
        <color rgb="FF000000"/>
      </top>
      <bottom style="thin">
        <color rgb="FFC0C0C0"/>
      </bottom>
      <diagonal/>
    </border>
    <border>
      <left style="thin">
        <color rgb="FFC0C0C0"/>
      </left>
      <right/>
      <top style="thin">
        <color rgb="FF000000"/>
      </top>
      <bottom style="thin">
        <color rgb="FFC0C0C0"/>
      </bottom>
      <diagonal/>
    </border>
    <border>
      <left style="medium">
        <color rgb="FF000000"/>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style="medium">
        <color rgb="FF000000"/>
      </left>
      <right style="thin">
        <color rgb="FFC0C0C0"/>
      </right>
      <top style="thin">
        <color rgb="FFC0C0C0"/>
      </top>
      <bottom style="thin">
        <color rgb="FF000000"/>
      </bottom>
      <diagonal/>
    </border>
    <border>
      <left style="thin">
        <color rgb="FFC0C0C0"/>
      </left>
      <right/>
      <top style="thin">
        <color rgb="FFC0C0C0"/>
      </top>
      <bottom style="thin">
        <color rgb="FF000000"/>
      </bottom>
      <diagonal/>
    </border>
    <border>
      <left style="medium">
        <color rgb="FF000000"/>
      </left>
      <right style="medium">
        <color rgb="FFC0C0C0"/>
      </right>
      <top style="thin">
        <color rgb="FF000000"/>
      </top>
      <bottom style="thin">
        <color rgb="FF000000"/>
      </bottom>
      <diagonal/>
    </border>
    <border>
      <left style="medium">
        <color rgb="FFC0C0C0"/>
      </left>
      <right/>
      <top style="thin">
        <color rgb="FF000000"/>
      </top>
      <bottom style="thin">
        <color rgb="FF000000"/>
      </bottom>
      <diagonal/>
    </border>
    <border>
      <left style="medium">
        <color rgb="FF000000"/>
      </left>
      <right style="thin">
        <color rgb="FFC0C0C0"/>
      </right>
      <top style="thin">
        <color rgb="FF000000"/>
      </top>
      <bottom style="medium">
        <color rgb="FF000000"/>
      </bottom>
      <diagonal/>
    </border>
    <border>
      <left style="thin">
        <color rgb="FFC0C0C0"/>
      </left>
      <right/>
      <top style="thin">
        <color rgb="FF000000"/>
      </top>
      <bottom style="medium">
        <color rgb="FF000000"/>
      </bottom>
      <diagonal/>
    </border>
    <border>
      <left style="thin">
        <color rgb="FF000000"/>
      </left>
      <right/>
      <top style="thin">
        <color rgb="FF000000"/>
      </top>
      <bottom style="thick">
        <color rgb="FF000000"/>
      </bottom>
      <diagonal/>
    </border>
    <border>
      <left style="double">
        <color rgb="FF000000"/>
      </left>
      <right/>
      <top style="double">
        <color rgb="FF000000"/>
      </top>
      <bottom style="thin">
        <color rgb="FFFFFFFF"/>
      </bottom>
      <diagonal/>
    </border>
    <border>
      <left style="thin">
        <color rgb="FF000000"/>
      </left>
      <right style="thin">
        <color rgb="FF000000"/>
      </right>
      <top style="double">
        <color rgb="FF000000"/>
      </top>
      <bottom style="thin">
        <color rgb="FFFFFFFF"/>
      </bottom>
      <diagonal/>
    </border>
    <border>
      <left style="thin">
        <color rgb="FF000000"/>
      </left>
      <right style="double">
        <color rgb="FF000000"/>
      </right>
      <top style="double">
        <color rgb="FF000000"/>
      </top>
      <bottom style="thin">
        <color rgb="FFFFFFFF"/>
      </bottom>
      <diagonal/>
    </border>
    <border>
      <left style="double">
        <color rgb="FF000000"/>
      </left>
      <right style="thin">
        <color rgb="FF000000"/>
      </right>
      <top style="thin">
        <color rgb="FFFFFFFF"/>
      </top>
      <bottom style="medium">
        <color rgb="FF000000"/>
      </bottom>
      <diagonal/>
    </border>
    <border>
      <left style="thin">
        <color rgb="FF000000"/>
      </left>
      <right style="thin">
        <color rgb="FF000000"/>
      </right>
      <top style="thin">
        <color rgb="FFFFFFFF"/>
      </top>
      <bottom style="medium">
        <color rgb="FF000000"/>
      </bottom>
      <diagonal/>
    </border>
    <border>
      <left style="thin">
        <color rgb="FF000000"/>
      </left>
      <right style="double">
        <color rgb="FF000000"/>
      </right>
      <top style="thin">
        <color rgb="FFFFFFFF"/>
      </top>
      <bottom style="medium">
        <color rgb="FF000000"/>
      </bottom>
      <diagonal/>
    </border>
    <border>
      <left style="double">
        <color rgb="FF000000"/>
      </left>
      <right style="thin">
        <color rgb="FF000000"/>
      </right>
      <top style="thin">
        <color rgb="FF000000"/>
      </top>
      <bottom style="medium">
        <color rgb="FF000000"/>
      </bottom>
      <diagonal/>
    </border>
    <border>
      <left style="double">
        <color rgb="FF000000"/>
      </left>
      <right style="double">
        <color rgb="FF000000"/>
      </right>
      <top/>
      <bottom style="double">
        <color rgb="FF000000"/>
      </bottom>
      <diagonal/>
    </border>
    <border>
      <left style="thin">
        <color rgb="FF000000"/>
      </left>
      <right/>
      <top style="double">
        <color rgb="FF000000"/>
      </top>
      <bottom style="thin">
        <color rgb="FFFFFFFF"/>
      </bottom>
      <diagonal/>
    </border>
    <border>
      <left style="double">
        <color rgb="FF000000"/>
      </left>
      <right style="double">
        <color rgb="FF000000"/>
      </right>
      <top style="double">
        <color rgb="FF000000"/>
      </top>
      <bottom style="thin">
        <color rgb="FFFFFFFF"/>
      </bottom>
      <diagonal/>
    </border>
    <border>
      <left style="thin">
        <color rgb="FF000000"/>
      </left>
      <right/>
      <top style="thin">
        <color rgb="FFFFFFFF"/>
      </top>
      <bottom style="medium">
        <color rgb="FF000000"/>
      </bottom>
      <diagonal/>
    </border>
    <border>
      <left style="double">
        <color rgb="FF000000"/>
      </left>
      <right style="double">
        <color rgb="FF000000"/>
      </right>
      <top style="thin">
        <color rgb="FFFFFFFF"/>
      </top>
      <bottom style="medium">
        <color rgb="FF000000"/>
      </bottom>
      <diagonal/>
    </border>
    <border>
      <left style="double">
        <color rgb="FF000000"/>
      </left>
      <right style="double">
        <color rgb="FF000000"/>
      </right>
      <top/>
      <bottom style="thin">
        <color rgb="FF000000"/>
      </bottom>
      <diagonal/>
    </border>
    <border>
      <left style="double">
        <color rgb="FF000000"/>
      </left>
      <right style="double">
        <color rgb="FF000000"/>
      </right>
      <top style="thin">
        <color rgb="FF000000"/>
      </top>
      <bottom style="medium">
        <color rgb="FF000000"/>
      </bottom>
      <diagonal/>
    </border>
    <border>
      <left style="thin">
        <color rgb="FF000000"/>
      </left>
      <right/>
      <top/>
      <bottom style="medium">
        <color rgb="FF000000"/>
      </bottom>
      <diagonal/>
    </border>
    <border>
      <left style="double">
        <color rgb="FF000000"/>
      </left>
      <right style="double">
        <color rgb="FF000000"/>
      </right>
      <top/>
      <bottom style="medium">
        <color rgb="FF000000"/>
      </bottom>
      <diagonal/>
    </border>
  </borders>
  <cellStyleXfs count="2">
    <xf numFmtId="0" fontId="0" fillId="0" borderId="0"/>
    <xf numFmtId="0" fontId="137" fillId="0" borderId="229"/>
  </cellStyleXfs>
  <cellXfs count="2460">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4" fillId="0" borderId="0" xfId="0" applyFont="1" applyAlignment="1">
      <alignment horizontal="center"/>
    </xf>
    <xf numFmtId="0" fontId="5" fillId="0" borderId="3" xfId="0" applyFont="1" applyBorder="1" applyAlignment="1">
      <alignment horizontal="center"/>
    </xf>
    <xf numFmtId="164" fontId="5" fillId="0" borderId="3" xfId="0" applyNumberFormat="1" applyFont="1" applyBorder="1" applyAlignment="1">
      <alignment horizontal="center"/>
    </xf>
    <xf numFmtId="0" fontId="7" fillId="0" borderId="0" xfId="0" applyFont="1" applyAlignment="1">
      <alignment horizontal="left"/>
    </xf>
    <xf numFmtId="0" fontId="5" fillId="0" borderId="0" xfId="0" applyFont="1" applyAlignment="1">
      <alignment horizontal="right"/>
    </xf>
    <xf numFmtId="0" fontId="8" fillId="3" borderId="4" xfId="0" applyFont="1" applyFill="1" applyBorder="1" applyAlignment="1">
      <alignment horizontal="center"/>
    </xf>
    <xf numFmtId="3" fontId="5" fillId="0" borderId="3" xfId="0" applyNumberFormat="1" applyFont="1" applyBorder="1" applyAlignment="1">
      <alignment horizontal="center"/>
    </xf>
    <xf numFmtId="0" fontId="3" fillId="0" borderId="5" xfId="0" applyFont="1" applyBorder="1"/>
    <xf numFmtId="0" fontId="8" fillId="0" borderId="0" xfId="0" applyFont="1" applyAlignment="1">
      <alignment horizontal="center"/>
    </xf>
    <xf numFmtId="0" fontId="9" fillId="0" borderId="0" xfId="0" applyFont="1"/>
    <xf numFmtId="0" fontId="8" fillId="4" borderId="6" xfId="0" applyFont="1" applyFill="1" applyBorder="1"/>
    <xf numFmtId="0" fontId="3" fillId="0" borderId="0" xfId="0" applyFont="1" applyAlignment="1">
      <alignment vertical="top"/>
    </xf>
    <xf numFmtId="0" fontId="3" fillId="0" borderId="7" xfId="0" applyFont="1" applyBorder="1"/>
    <xf numFmtId="0" fontId="7" fillId="0" borderId="0" xfId="0" applyFont="1" applyAlignment="1">
      <alignment horizontal="right"/>
    </xf>
    <xf numFmtId="0" fontId="3" fillId="0" borderId="8" xfId="0" applyFont="1" applyBorder="1"/>
    <xf numFmtId="0" fontId="10" fillId="0" borderId="0" xfId="0" applyFont="1"/>
    <xf numFmtId="165" fontId="8" fillId="4" borderId="6" xfId="0" applyNumberFormat="1" applyFont="1" applyFill="1" applyBorder="1"/>
    <xf numFmtId="0" fontId="11" fillId="0" borderId="0" xfId="0" applyFont="1"/>
    <xf numFmtId="166" fontId="5" fillId="0" borderId="3" xfId="0" applyNumberFormat="1" applyFont="1" applyBorder="1" applyAlignment="1">
      <alignment horizontal="center"/>
    </xf>
    <xf numFmtId="0" fontId="3" fillId="0" borderId="12" xfId="0" applyFont="1" applyBorder="1"/>
    <xf numFmtId="0" fontId="8" fillId="4" borderId="13" xfId="0" applyFont="1" applyFill="1" applyBorder="1"/>
    <xf numFmtId="0" fontId="8" fillId="0" borderId="12" xfId="0" applyFont="1" applyBorder="1"/>
    <xf numFmtId="3" fontId="5" fillId="0" borderId="14" xfId="0" applyNumberFormat="1" applyFont="1" applyBorder="1" applyAlignment="1">
      <alignment horizontal="center"/>
    </xf>
    <xf numFmtId="0" fontId="3" fillId="0" borderId="15" xfId="0" applyFont="1" applyBorder="1"/>
    <xf numFmtId="167" fontId="2" fillId="0" borderId="0" xfId="0" applyNumberFormat="1" applyFont="1"/>
    <xf numFmtId="0" fontId="3" fillId="0" borderId="16" xfId="0" applyFont="1" applyBorder="1"/>
    <xf numFmtId="0" fontId="3" fillId="4" borderId="17" xfId="0" applyFont="1" applyFill="1" applyBorder="1"/>
    <xf numFmtId="3" fontId="7" fillId="0" borderId="0" xfId="0" applyNumberFormat="1" applyFont="1" applyAlignment="1">
      <alignment horizontal="right"/>
    </xf>
    <xf numFmtId="168" fontId="12" fillId="4" borderId="17" xfId="0" applyNumberFormat="1" applyFont="1" applyFill="1" applyBorder="1"/>
    <xf numFmtId="0" fontId="5" fillId="0" borderId="5" xfId="0" applyFont="1" applyBorder="1" applyAlignment="1">
      <alignment horizontal="right"/>
    </xf>
    <xf numFmtId="0" fontId="13" fillId="5" borderId="4" xfId="0" applyFont="1" applyFill="1" applyBorder="1"/>
    <xf numFmtId="0" fontId="8" fillId="6" borderId="18" xfId="0" applyFont="1" applyFill="1" applyBorder="1" applyAlignment="1">
      <alignment horizontal="center"/>
    </xf>
    <xf numFmtId="0" fontId="3" fillId="5" borderId="4" xfId="0" applyFont="1" applyFill="1" applyBorder="1"/>
    <xf numFmtId="168" fontId="3" fillId="0" borderId="12" xfId="0" applyNumberFormat="1" applyFont="1" applyBorder="1"/>
    <xf numFmtId="0" fontId="3" fillId="6" borderId="4" xfId="0" applyFont="1" applyFill="1" applyBorder="1"/>
    <xf numFmtId="0" fontId="3" fillId="7" borderId="12" xfId="0" applyFont="1" applyFill="1" applyBorder="1"/>
    <xf numFmtId="0" fontId="12" fillId="0" borderId="0" xfId="0" applyFont="1"/>
    <xf numFmtId="0" fontId="3" fillId="0" borderId="12" xfId="0" applyFont="1" applyBorder="1" applyAlignment="1">
      <alignment horizontal="center"/>
    </xf>
    <xf numFmtId="0" fontId="8" fillId="6" borderId="4" xfId="0" applyFont="1" applyFill="1" applyBorder="1"/>
    <xf numFmtId="168" fontId="12" fillId="0" borderId="12" xfId="0" applyNumberFormat="1" applyFont="1" applyBorder="1"/>
    <xf numFmtId="1" fontId="8" fillId="9" borderId="12" xfId="0" applyNumberFormat="1" applyFont="1" applyFill="1" applyBorder="1" applyAlignment="1">
      <alignment horizontal="center"/>
    </xf>
    <xf numFmtId="0" fontId="3" fillId="0" borderId="9" xfId="0" applyFont="1" applyBorder="1"/>
    <xf numFmtId="0" fontId="8" fillId="0" borderId="21" xfId="0" applyFont="1" applyBorder="1"/>
    <xf numFmtId="0" fontId="8" fillId="0" borderId="22" xfId="0" applyFont="1" applyBorder="1"/>
    <xf numFmtId="0" fontId="3" fillId="0" borderId="23" xfId="0" applyFont="1" applyBorder="1"/>
    <xf numFmtId="0" fontId="3" fillId="10" borderId="23" xfId="0" applyFont="1" applyFill="1" applyBorder="1"/>
    <xf numFmtId="0" fontId="8" fillId="9" borderId="24" xfId="0" applyFont="1" applyFill="1" applyBorder="1"/>
    <xf numFmtId="168" fontId="12" fillId="10" borderId="23" xfId="0" applyNumberFormat="1" applyFont="1" applyFill="1" applyBorder="1"/>
    <xf numFmtId="169" fontId="3" fillId="9" borderId="23" xfId="0" applyNumberFormat="1" applyFont="1" applyFill="1" applyBorder="1" applyAlignment="1">
      <alignment horizontal="center"/>
    </xf>
    <xf numFmtId="0" fontId="8" fillId="10" borderId="24" xfId="0" applyFont="1" applyFill="1" applyBorder="1"/>
    <xf numFmtId="168" fontId="3" fillId="10" borderId="23" xfId="0" applyNumberFormat="1" applyFont="1" applyFill="1" applyBorder="1"/>
    <xf numFmtId="0" fontId="8" fillId="0" borderId="25" xfId="0" applyFont="1" applyBorder="1"/>
    <xf numFmtId="0" fontId="8" fillId="0" borderId="26" xfId="0" applyFont="1" applyBorder="1"/>
    <xf numFmtId="0" fontId="8" fillId="0" borderId="3" xfId="0" applyFont="1" applyBorder="1"/>
    <xf numFmtId="168" fontId="8" fillId="10" borderId="23" xfId="0" applyNumberFormat="1" applyFont="1" applyFill="1" applyBorder="1"/>
    <xf numFmtId="0" fontId="8" fillId="0" borderId="0" xfId="0" applyFont="1"/>
    <xf numFmtId="0" fontId="8" fillId="0" borderId="23" xfId="0" applyFont="1" applyBorder="1"/>
    <xf numFmtId="0" fontId="8" fillId="0" borderId="27" xfId="0" applyFont="1" applyBorder="1"/>
    <xf numFmtId="0" fontId="8" fillId="0" borderId="28" xfId="0" applyFont="1" applyBorder="1"/>
    <xf numFmtId="0" fontId="3" fillId="0" borderId="29" xfId="0" applyFont="1" applyBorder="1"/>
    <xf numFmtId="0" fontId="8" fillId="9" borderId="30" xfId="0" applyFont="1" applyFill="1" applyBorder="1"/>
    <xf numFmtId="0" fontId="3" fillId="0" borderId="23" xfId="0" applyFont="1" applyBorder="1" applyAlignment="1">
      <alignment horizontal="right"/>
    </xf>
    <xf numFmtId="0" fontId="8" fillId="10" borderId="30" xfId="0" applyFont="1" applyFill="1" applyBorder="1"/>
    <xf numFmtId="168" fontId="3" fillId="0" borderId="23" xfId="0" applyNumberFormat="1" applyFont="1" applyBorder="1"/>
    <xf numFmtId="169" fontId="8" fillId="9" borderId="23" xfId="0" applyNumberFormat="1" applyFont="1" applyFill="1" applyBorder="1" applyAlignment="1">
      <alignment horizontal="center"/>
    </xf>
    <xf numFmtId="0" fontId="8" fillId="0" borderId="31" xfId="0" applyFont="1" applyBorder="1"/>
    <xf numFmtId="170" fontId="8" fillId="10" borderId="23" xfId="0" applyNumberFormat="1" applyFont="1" applyFill="1" applyBorder="1"/>
    <xf numFmtId="0" fontId="3" fillId="0" borderId="32" xfId="0" applyFont="1" applyBorder="1"/>
    <xf numFmtId="0" fontId="3" fillId="0" borderId="33" xfId="0" applyFont="1" applyBorder="1"/>
    <xf numFmtId="0" fontId="3" fillId="0" borderId="34" xfId="0" applyFont="1" applyBorder="1"/>
    <xf numFmtId="168" fontId="3" fillId="0" borderId="33" xfId="0" applyNumberFormat="1" applyFont="1" applyBorder="1"/>
    <xf numFmtId="0" fontId="3" fillId="0" borderId="1" xfId="0" applyFont="1" applyBorder="1"/>
    <xf numFmtId="0" fontId="3" fillId="9" borderId="35" xfId="0" applyFont="1" applyFill="1" applyBorder="1"/>
    <xf numFmtId="0" fontId="3" fillId="10" borderId="35" xfId="0" applyFont="1" applyFill="1" applyBorder="1"/>
    <xf numFmtId="0" fontId="3" fillId="0" borderId="36" xfId="0" applyFont="1" applyBorder="1"/>
    <xf numFmtId="0" fontId="8" fillId="4" borderId="12" xfId="0" applyFont="1" applyFill="1" applyBorder="1"/>
    <xf numFmtId="0" fontId="3" fillId="0" borderId="3" xfId="0" applyFont="1" applyBorder="1"/>
    <xf numFmtId="0" fontId="8" fillId="3" borderId="23" xfId="0" applyFont="1" applyFill="1" applyBorder="1" applyAlignment="1">
      <alignment horizontal="right"/>
    </xf>
    <xf numFmtId="168" fontId="15" fillId="3" borderId="23" xfId="0" applyNumberFormat="1" applyFont="1" applyFill="1" applyBorder="1"/>
    <xf numFmtId="0" fontId="8" fillId="0" borderId="37" xfId="0" applyFont="1" applyBorder="1"/>
    <xf numFmtId="3" fontId="8" fillId="10" borderId="23" xfId="0" applyNumberFormat="1" applyFont="1" applyFill="1" applyBorder="1"/>
    <xf numFmtId="168" fontId="16" fillId="3" borderId="23" xfId="0" applyNumberFormat="1" applyFont="1" applyFill="1" applyBorder="1"/>
    <xf numFmtId="0" fontId="3" fillId="0" borderId="38" xfId="0" applyFont="1" applyBorder="1"/>
    <xf numFmtId="168" fontId="17" fillId="3" borderId="23" xfId="0" applyNumberFormat="1" applyFont="1" applyFill="1" applyBorder="1" applyAlignment="1">
      <alignment horizontal="center"/>
    </xf>
    <xf numFmtId="0" fontId="11" fillId="0" borderId="1" xfId="0" applyFont="1" applyBorder="1"/>
    <xf numFmtId="0" fontId="3" fillId="3" borderId="23" xfId="0" applyFont="1" applyFill="1" applyBorder="1"/>
    <xf numFmtId="0" fontId="3" fillId="4" borderId="23" xfId="0" applyFont="1" applyFill="1" applyBorder="1"/>
    <xf numFmtId="168" fontId="12" fillId="0" borderId="23" xfId="0" applyNumberFormat="1" applyFont="1" applyBorder="1"/>
    <xf numFmtId="0" fontId="8" fillId="0" borderId="39" xfId="0" applyFont="1" applyBorder="1"/>
    <xf numFmtId="0" fontId="3" fillId="0" borderId="39" xfId="0" applyFont="1" applyBorder="1"/>
    <xf numFmtId="168" fontId="3" fillId="0" borderId="39" xfId="0" applyNumberFormat="1" applyFont="1" applyBorder="1"/>
    <xf numFmtId="3" fontId="12" fillId="7" borderId="23" xfId="0" applyNumberFormat="1" applyFont="1" applyFill="1" applyBorder="1"/>
    <xf numFmtId="0" fontId="3" fillId="0" borderId="1" xfId="0" applyFont="1" applyBorder="1" applyAlignment="1">
      <alignment horizontal="left"/>
    </xf>
    <xf numFmtId="0" fontId="8" fillId="10" borderId="23" xfId="0" applyFont="1" applyFill="1" applyBorder="1"/>
    <xf numFmtId="168" fontId="18" fillId="0" borderId="23" xfId="0" applyNumberFormat="1" applyFont="1" applyBorder="1"/>
    <xf numFmtId="171" fontId="3" fillId="10" borderId="23" xfId="0" applyNumberFormat="1" applyFont="1" applyFill="1" applyBorder="1"/>
    <xf numFmtId="170" fontId="18" fillId="0" borderId="23" xfId="0" applyNumberFormat="1" applyFont="1" applyBorder="1"/>
    <xf numFmtId="0" fontId="3" fillId="9" borderId="40" xfId="0" applyFont="1" applyFill="1" applyBorder="1"/>
    <xf numFmtId="0" fontId="3" fillId="10" borderId="40" xfId="0" applyFont="1" applyFill="1" applyBorder="1"/>
    <xf numFmtId="0" fontId="3" fillId="0" borderId="41" xfId="0" applyFont="1" applyBorder="1"/>
    <xf numFmtId="0" fontId="18" fillId="7" borderId="23" xfId="0" applyFont="1" applyFill="1" applyBorder="1"/>
    <xf numFmtId="169" fontId="3" fillId="0" borderId="23" xfId="0" applyNumberFormat="1" applyFont="1" applyBorder="1" applyAlignment="1">
      <alignment horizontal="center"/>
    </xf>
    <xf numFmtId="170" fontId="12" fillId="0" borderId="23" xfId="0" applyNumberFormat="1" applyFont="1" applyBorder="1"/>
    <xf numFmtId="170" fontId="3" fillId="10" borderId="23" xfId="0" applyNumberFormat="1" applyFont="1" applyFill="1" applyBorder="1"/>
    <xf numFmtId="39" fontId="12" fillId="0" borderId="23" xfId="0" applyNumberFormat="1" applyFont="1" applyBorder="1"/>
    <xf numFmtId="170" fontId="3" fillId="0" borderId="0" xfId="0" applyNumberFormat="1" applyFont="1"/>
    <xf numFmtId="0" fontId="8" fillId="0" borderId="32" xfId="0" applyFont="1" applyBorder="1"/>
    <xf numFmtId="0" fontId="8" fillId="0" borderId="33" xfId="0" applyFont="1" applyBorder="1"/>
    <xf numFmtId="0" fontId="3" fillId="0" borderId="42" xfId="0" applyFont="1" applyBorder="1"/>
    <xf numFmtId="0" fontId="3" fillId="0" borderId="33" xfId="0" applyFont="1" applyBorder="1" applyAlignment="1">
      <alignment horizontal="center"/>
    </xf>
    <xf numFmtId="171" fontId="3" fillId="0" borderId="23" xfId="0" applyNumberFormat="1" applyFont="1" applyBorder="1"/>
    <xf numFmtId="168" fontId="12" fillId="0" borderId="42" xfId="0" applyNumberFormat="1" applyFont="1" applyBorder="1"/>
    <xf numFmtId="170" fontId="3" fillId="0" borderId="23" xfId="0" applyNumberFormat="1" applyFont="1" applyBorder="1"/>
    <xf numFmtId="168" fontId="3" fillId="0" borderId="42" xfId="0" applyNumberFormat="1" applyFont="1" applyBorder="1"/>
    <xf numFmtId="170" fontId="3" fillId="9" borderId="35" xfId="0" applyNumberFormat="1" applyFont="1" applyFill="1" applyBorder="1"/>
    <xf numFmtId="3" fontId="18" fillId="7" borderId="42" xfId="0" applyNumberFormat="1" applyFont="1" applyFill="1" applyBorder="1"/>
    <xf numFmtId="170" fontId="3" fillId="10" borderId="35" xfId="0" applyNumberFormat="1" applyFont="1" applyFill="1" applyBorder="1"/>
    <xf numFmtId="170" fontId="12" fillId="0" borderId="42" xfId="0" applyNumberFormat="1" applyFont="1" applyBorder="1"/>
    <xf numFmtId="170" fontId="3" fillId="0" borderId="33" xfId="0" applyNumberFormat="1" applyFont="1" applyBorder="1"/>
    <xf numFmtId="0" fontId="8" fillId="0" borderId="42" xfId="0" applyFont="1" applyBorder="1"/>
    <xf numFmtId="39" fontId="12" fillId="0" borderId="42" xfId="0" applyNumberFormat="1" applyFont="1" applyBorder="1"/>
    <xf numFmtId="170" fontId="3" fillId="0" borderId="36" xfId="0" applyNumberFormat="1" applyFont="1" applyBorder="1"/>
    <xf numFmtId="171" fontId="3" fillId="0" borderId="42" xfId="0" applyNumberFormat="1" applyFont="1" applyBorder="1"/>
    <xf numFmtId="170" fontId="3" fillId="0" borderId="42" xfId="0" applyNumberFormat="1" applyFont="1" applyBorder="1"/>
    <xf numFmtId="0" fontId="3" fillId="4" borderId="13" xfId="0" applyFont="1" applyFill="1" applyBorder="1"/>
    <xf numFmtId="172" fontId="3" fillId="0" borderId="42" xfId="0" applyNumberFormat="1" applyFont="1" applyBorder="1"/>
    <xf numFmtId="0" fontId="3" fillId="0" borderId="27" xfId="0" applyFont="1" applyBorder="1"/>
    <xf numFmtId="168" fontId="3" fillId="4" borderId="13" xfId="0" applyNumberFormat="1" applyFont="1" applyFill="1" applyBorder="1"/>
    <xf numFmtId="0" fontId="3" fillId="0" borderId="28" xfId="0" applyFont="1" applyBorder="1"/>
    <xf numFmtId="0" fontId="3" fillId="0" borderId="28" xfId="0" applyFont="1" applyBorder="1" applyAlignment="1">
      <alignment horizontal="center"/>
    </xf>
    <xf numFmtId="168" fontId="12" fillId="4" borderId="13" xfId="0" applyNumberFormat="1" applyFont="1" applyFill="1" applyBorder="1"/>
    <xf numFmtId="168" fontId="3" fillId="0" borderId="28" xfId="0" applyNumberFormat="1" applyFont="1" applyBorder="1"/>
    <xf numFmtId="170" fontId="12" fillId="4" borderId="13" xfId="0" applyNumberFormat="1" applyFont="1" applyFill="1" applyBorder="1"/>
    <xf numFmtId="170" fontId="3" fillId="9" borderId="30" xfId="0" applyNumberFormat="1" applyFont="1" applyFill="1" applyBorder="1"/>
    <xf numFmtId="170" fontId="3" fillId="10" borderId="30" xfId="0" applyNumberFormat="1" applyFont="1" applyFill="1" applyBorder="1"/>
    <xf numFmtId="0" fontId="3" fillId="4" borderId="12" xfId="0" applyFont="1" applyFill="1" applyBorder="1"/>
    <xf numFmtId="170" fontId="3" fillId="0" borderId="28" xfId="0" applyNumberFormat="1" applyFont="1" applyBorder="1"/>
    <xf numFmtId="168" fontId="3" fillId="4" borderId="12" xfId="0" applyNumberFormat="1" applyFont="1" applyFill="1" applyBorder="1"/>
    <xf numFmtId="170" fontId="12" fillId="0" borderId="12" xfId="0" applyNumberFormat="1" applyFont="1" applyBorder="1"/>
    <xf numFmtId="170" fontId="3" fillId="0" borderId="31" xfId="0" applyNumberFormat="1" applyFont="1" applyBorder="1"/>
    <xf numFmtId="0" fontId="3" fillId="0" borderId="39" xfId="0" applyFont="1" applyBorder="1" applyAlignment="1">
      <alignment horizontal="center"/>
    </xf>
    <xf numFmtId="0" fontId="8" fillId="6" borderId="23" xfId="0" applyFont="1" applyFill="1" applyBorder="1" applyAlignment="1">
      <alignment horizontal="center"/>
    </xf>
    <xf numFmtId="0" fontId="3" fillId="7" borderId="23" xfId="0" applyFont="1" applyFill="1" applyBorder="1"/>
    <xf numFmtId="170" fontId="3" fillId="9" borderId="40" xfId="0" applyNumberFormat="1" applyFont="1" applyFill="1" applyBorder="1"/>
    <xf numFmtId="0" fontId="3" fillId="6" borderId="23" xfId="0" applyFont="1" applyFill="1" applyBorder="1"/>
    <xf numFmtId="170" fontId="3" fillId="10" borderId="40" xfId="0" applyNumberFormat="1" applyFont="1" applyFill="1" applyBorder="1"/>
    <xf numFmtId="170" fontId="3" fillId="0" borderId="39" xfId="0" applyNumberFormat="1" applyFont="1" applyBorder="1"/>
    <xf numFmtId="170" fontId="3" fillId="0" borderId="41" xfId="0" applyNumberFormat="1" applyFont="1" applyBorder="1"/>
    <xf numFmtId="172" fontId="12" fillId="0" borderId="23" xfId="0" applyNumberFormat="1" applyFont="1" applyBorder="1"/>
    <xf numFmtId="0" fontId="3" fillId="0" borderId="23" xfId="0" applyFont="1" applyBorder="1" applyAlignment="1">
      <alignment horizontal="center"/>
    </xf>
    <xf numFmtId="0" fontId="3" fillId="10" borderId="23" xfId="0" applyFont="1" applyFill="1" applyBorder="1" applyAlignment="1">
      <alignment horizontal="center"/>
    </xf>
    <xf numFmtId="0" fontId="8" fillId="4" borderId="23" xfId="0" applyFont="1" applyFill="1" applyBorder="1"/>
    <xf numFmtId="171" fontId="18" fillId="10" borderId="23" xfId="0" applyNumberFormat="1" applyFont="1" applyFill="1" applyBorder="1"/>
    <xf numFmtId="168" fontId="17" fillId="3" borderId="23" xfId="0" applyNumberFormat="1" applyFont="1" applyFill="1" applyBorder="1"/>
    <xf numFmtId="0" fontId="8" fillId="0" borderId="23" xfId="0" applyFont="1" applyBorder="1" applyAlignment="1">
      <alignment horizontal="right"/>
    </xf>
    <xf numFmtId="168" fontId="19" fillId="0" borderId="23" xfId="0" applyNumberFormat="1" applyFont="1" applyBorder="1"/>
    <xf numFmtId="173" fontId="12" fillId="10" borderId="23" xfId="0" applyNumberFormat="1" applyFont="1" applyFill="1" applyBorder="1"/>
    <xf numFmtId="168" fontId="17" fillId="0" borderId="23" xfId="0" applyNumberFormat="1" applyFont="1" applyBorder="1"/>
    <xf numFmtId="174" fontId="12" fillId="10" borderId="23" xfId="0" applyNumberFormat="1" applyFont="1" applyFill="1" applyBorder="1"/>
    <xf numFmtId="168" fontId="12" fillId="7" borderId="23" xfId="0" applyNumberFormat="1" applyFont="1" applyFill="1" applyBorder="1"/>
    <xf numFmtId="168" fontId="13" fillId="0" borderId="23" xfId="0" applyNumberFormat="1" applyFont="1" applyBorder="1"/>
    <xf numFmtId="170" fontId="20" fillId="0" borderId="23" xfId="0" applyNumberFormat="1" applyFont="1" applyBorder="1"/>
    <xf numFmtId="168" fontId="3" fillId="10" borderId="35" xfId="0" applyNumberFormat="1" applyFont="1" applyFill="1" applyBorder="1"/>
    <xf numFmtId="168" fontId="18" fillId="10" borderId="23" xfId="0" applyNumberFormat="1" applyFont="1" applyFill="1" applyBorder="1"/>
    <xf numFmtId="170" fontId="18" fillId="10" borderId="23" xfId="0" applyNumberFormat="1" applyFont="1" applyFill="1" applyBorder="1"/>
    <xf numFmtId="168" fontId="3" fillId="0" borderId="0" xfId="0" applyNumberFormat="1" applyFont="1"/>
    <xf numFmtId="0" fontId="3" fillId="0" borderId="42" xfId="0" applyFont="1" applyBorder="1" applyAlignment="1">
      <alignment horizontal="center"/>
    </xf>
    <xf numFmtId="168" fontId="12" fillId="7" borderId="42" xfId="0" applyNumberFormat="1" applyFont="1" applyFill="1" applyBorder="1"/>
    <xf numFmtId="168" fontId="13" fillId="0" borderId="42" xfId="0" applyNumberFormat="1" applyFont="1" applyBorder="1"/>
    <xf numFmtId="170" fontId="13" fillId="0" borderId="42" xfId="0" applyNumberFormat="1" applyFont="1" applyBorder="1"/>
    <xf numFmtId="0" fontId="3" fillId="4" borderId="13" xfId="0" applyFont="1" applyFill="1" applyBorder="1" applyAlignment="1">
      <alignment horizontal="center"/>
    </xf>
    <xf numFmtId="168" fontId="3" fillId="4" borderId="43" xfId="0" applyNumberFormat="1" applyFont="1" applyFill="1" applyBorder="1"/>
    <xf numFmtId="0" fontId="3" fillId="4" borderId="43" xfId="0" applyFont="1" applyFill="1" applyBorder="1"/>
    <xf numFmtId="0" fontId="3" fillId="0" borderId="44" xfId="0" applyFont="1" applyBorder="1"/>
    <xf numFmtId="0" fontId="3" fillId="0" borderId="45" xfId="0" applyFont="1" applyBorder="1"/>
    <xf numFmtId="0" fontId="8" fillId="0" borderId="45" xfId="0" applyFont="1" applyBorder="1"/>
    <xf numFmtId="0" fontId="3" fillId="0" borderId="45" xfId="0" applyFont="1" applyBorder="1" applyAlignment="1">
      <alignment horizontal="right"/>
    </xf>
    <xf numFmtId="0" fontId="8" fillId="3" borderId="13" xfId="0" applyFont="1" applyFill="1" applyBorder="1" applyAlignment="1">
      <alignment horizontal="right"/>
    </xf>
    <xf numFmtId="0" fontId="8" fillId="0" borderId="45" xfId="0" applyFont="1" applyBorder="1" applyAlignment="1">
      <alignment horizontal="right"/>
    </xf>
    <xf numFmtId="0" fontId="3" fillId="0" borderId="46" xfId="0" applyFont="1" applyBorder="1"/>
    <xf numFmtId="168" fontId="18" fillId="7" borderId="23" xfId="0" applyNumberFormat="1" applyFont="1" applyFill="1" applyBorder="1"/>
    <xf numFmtId="0" fontId="8" fillId="10" borderId="13" xfId="0" applyFont="1" applyFill="1" applyBorder="1"/>
    <xf numFmtId="170" fontId="13" fillId="0" borderId="23" xfId="0" applyNumberFormat="1" applyFont="1" applyBorder="1"/>
    <xf numFmtId="175" fontId="3" fillId="10" borderId="23" xfId="0" applyNumberFormat="1" applyFont="1" applyFill="1" applyBorder="1"/>
    <xf numFmtId="168" fontId="3" fillId="9" borderId="35" xfId="0" applyNumberFormat="1" applyFont="1" applyFill="1" applyBorder="1"/>
    <xf numFmtId="172" fontId="3" fillId="0" borderId="23" xfId="0" applyNumberFormat="1" applyFont="1" applyBorder="1"/>
    <xf numFmtId="170" fontId="3" fillId="10" borderId="47" xfId="0" applyNumberFormat="1" applyFont="1" applyFill="1" applyBorder="1"/>
    <xf numFmtId="168" fontId="3" fillId="4" borderId="42" xfId="0" applyNumberFormat="1" applyFont="1" applyFill="1" applyBorder="1"/>
    <xf numFmtId="0" fontId="3" fillId="4" borderId="42" xfId="0" applyFont="1" applyFill="1" applyBorder="1"/>
    <xf numFmtId="0" fontId="3" fillId="0" borderId="48" xfId="0" applyFont="1" applyBorder="1"/>
    <xf numFmtId="0" fontId="3" fillId="0" borderId="49" xfId="0" applyFont="1" applyBorder="1"/>
    <xf numFmtId="0" fontId="8" fillId="6" borderId="49" xfId="0" applyFont="1" applyFill="1" applyBorder="1" applyAlignment="1">
      <alignment horizontal="center"/>
    </xf>
    <xf numFmtId="0" fontId="3" fillId="6" borderId="49" xfId="0" applyFont="1" applyFill="1" applyBorder="1"/>
    <xf numFmtId="0" fontId="3" fillId="6" borderId="50" xfId="0" applyFont="1" applyFill="1" applyBorder="1"/>
    <xf numFmtId="0" fontId="3" fillId="11" borderId="51" xfId="0" applyFont="1" applyFill="1" applyBorder="1"/>
    <xf numFmtId="0" fontId="3" fillId="11" borderId="52" xfId="0" applyFont="1" applyFill="1" applyBorder="1"/>
    <xf numFmtId="0" fontId="3" fillId="0" borderId="53" xfId="0" applyFont="1" applyBorder="1"/>
    <xf numFmtId="172" fontId="18" fillId="0" borderId="23" xfId="0" applyNumberFormat="1" applyFont="1" applyBorder="1"/>
    <xf numFmtId="0" fontId="8" fillId="11" borderId="52" xfId="0" applyFont="1" applyFill="1" applyBorder="1"/>
    <xf numFmtId="0" fontId="3" fillId="0" borderId="3" xfId="0" applyFont="1" applyBorder="1" applyAlignment="1">
      <alignment horizontal="center"/>
    </xf>
    <xf numFmtId="168" fontId="3" fillId="7" borderId="23" xfId="0" applyNumberFormat="1" applyFont="1" applyFill="1" applyBorder="1"/>
    <xf numFmtId="0" fontId="3" fillId="0" borderId="54" xfId="0" applyFont="1" applyBorder="1"/>
    <xf numFmtId="168" fontId="8" fillId="11" borderId="52" xfId="0" applyNumberFormat="1" applyFont="1" applyFill="1" applyBorder="1"/>
    <xf numFmtId="168" fontId="3" fillId="11" borderId="52" xfId="0" applyNumberFormat="1" applyFont="1" applyFill="1" applyBorder="1"/>
    <xf numFmtId="0" fontId="3" fillId="0" borderId="55" xfId="0" applyFont="1" applyBorder="1"/>
    <xf numFmtId="0" fontId="3" fillId="0" borderId="56" xfId="0" applyFont="1" applyBorder="1"/>
    <xf numFmtId="168" fontId="8" fillId="11" borderId="57" xfId="0" applyNumberFormat="1" applyFont="1" applyFill="1" applyBorder="1"/>
    <xf numFmtId="168" fontId="3" fillId="0" borderId="56" xfId="0" applyNumberFormat="1" applyFont="1" applyBorder="1"/>
    <xf numFmtId="168" fontId="8" fillId="0" borderId="33" xfId="0" applyNumberFormat="1" applyFont="1" applyBorder="1"/>
    <xf numFmtId="168" fontId="18" fillId="7" borderId="42" xfId="0" applyNumberFormat="1" applyFont="1" applyFill="1" applyBorder="1"/>
    <xf numFmtId="0" fontId="3" fillId="0" borderId="58" xfId="0" applyFont="1" applyBorder="1"/>
    <xf numFmtId="168" fontId="8" fillId="0" borderId="59" xfId="0" applyNumberFormat="1" applyFont="1" applyBorder="1"/>
    <xf numFmtId="168" fontId="18" fillId="0" borderId="42" xfId="0" applyNumberFormat="1" applyFont="1" applyBorder="1"/>
    <xf numFmtId="168" fontId="8" fillId="0" borderId="46" xfId="0" applyNumberFormat="1" applyFont="1" applyBorder="1"/>
    <xf numFmtId="172" fontId="18" fillId="0" borderId="42" xfId="0" applyNumberFormat="1" applyFont="1" applyBorder="1"/>
    <xf numFmtId="170" fontId="18" fillId="0" borderId="42" xfId="0" applyNumberFormat="1" applyFont="1" applyBorder="1"/>
    <xf numFmtId="0" fontId="8" fillId="4" borderId="60" xfId="0" applyFont="1" applyFill="1" applyBorder="1"/>
    <xf numFmtId="168" fontId="8" fillId="4" borderId="60" xfId="0" applyNumberFormat="1" applyFont="1" applyFill="1" applyBorder="1"/>
    <xf numFmtId="168" fontId="3" fillId="7" borderId="12" xfId="0" applyNumberFormat="1" applyFont="1" applyFill="1" applyBorder="1"/>
    <xf numFmtId="0" fontId="3" fillId="4" borderId="60" xfId="0" applyFont="1" applyFill="1" applyBorder="1"/>
    <xf numFmtId="168" fontId="3" fillId="4" borderId="60" xfId="0" applyNumberFormat="1" applyFont="1" applyFill="1" applyBorder="1"/>
    <xf numFmtId="0" fontId="3" fillId="4" borderId="61" xfId="0" applyFont="1" applyFill="1" applyBorder="1"/>
    <xf numFmtId="0" fontId="8" fillId="4" borderId="62" xfId="0" applyFont="1" applyFill="1" applyBorder="1"/>
    <xf numFmtId="0" fontId="8" fillId="4" borderId="63" xfId="0" applyFont="1" applyFill="1" applyBorder="1"/>
    <xf numFmtId="0" fontId="8" fillId="4" borderId="64" xfId="0" applyFont="1" applyFill="1" applyBorder="1"/>
    <xf numFmtId="0" fontId="8" fillId="0" borderId="65" xfId="0" applyFont="1" applyBorder="1"/>
    <xf numFmtId="174" fontId="8" fillId="10" borderId="66" xfId="0" applyNumberFormat="1" applyFont="1" applyFill="1" applyBorder="1"/>
    <xf numFmtId="0" fontId="8" fillId="4" borderId="69" xfId="0" applyFont="1" applyFill="1" applyBorder="1"/>
    <xf numFmtId="0" fontId="8" fillId="4" borderId="17" xfId="0" applyFont="1" applyFill="1" applyBorder="1"/>
    <xf numFmtId="0" fontId="8" fillId="4" borderId="70" xfId="0" applyFont="1" applyFill="1" applyBorder="1"/>
    <xf numFmtId="174" fontId="8" fillId="4" borderId="60" xfId="0" applyNumberFormat="1" applyFont="1" applyFill="1" applyBorder="1"/>
    <xf numFmtId="0" fontId="4" fillId="2" borderId="3" xfId="0" applyFont="1" applyFill="1" applyBorder="1"/>
    <xf numFmtId="0" fontId="8" fillId="0" borderId="71" xfId="0" applyFont="1" applyBorder="1"/>
    <xf numFmtId="0" fontId="8" fillId="0" borderId="72" xfId="0" applyFont="1" applyBorder="1"/>
    <xf numFmtId="174" fontId="8" fillId="4" borderId="61" xfId="0" applyNumberFormat="1" applyFont="1" applyFill="1" applyBorder="1"/>
    <xf numFmtId="0" fontId="8" fillId="0" borderId="73" xfId="0" applyFont="1" applyBorder="1"/>
    <xf numFmtId="0" fontId="7" fillId="2" borderId="3" xfId="0" applyFont="1" applyFill="1" applyBorder="1"/>
    <xf numFmtId="170" fontId="3" fillId="0" borderId="59" xfId="0" applyNumberFormat="1" applyFont="1" applyBorder="1"/>
    <xf numFmtId="3" fontId="7" fillId="2" borderId="3" xfId="0" applyNumberFormat="1" applyFont="1" applyFill="1" applyBorder="1" applyAlignment="1">
      <alignment horizontal="right"/>
    </xf>
    <xf numFmtId="0" fontId="3" fillId="0" borderId="74" xfId="0" applyFont="1" applyBorder="1"/>
    <xf numFmtId="169" fontId="3" fillId="0" borderId="75" xfId="0" applyNumberFormat="1" applyFont="1" applyBorder="1"/>
    <xf numFmtId="2" fontId="3" fillId="0" borderId="65" xfId="0" applyNumberFormat="1" applyFont="1" applyBorder="1"/>
    <xf numFmtId="0" fontId="3" fillId="11" borderId="76" xfId="0" applyFont="1" applyFill="1" applyBorder="1"/>
    <xf numFmtId="0" fontId="3" fillId="11" borderId="52" xfId="0" applyFont="1" applyFill="1" applyBorder="1" applyAlignment="1">
      <alignment horizontal="center"/>
    </xf>
    <xf numFmtId="0" fontId="8" fillId="11" borderId="77" xfId="0" applyFont="1" applyFill="1" applyBorder="1"/>
    <xf numFmtId="170" fontId="8" fillId="11" borderId="52" xfId="0" applyNumberFormat="1" applyFont="1" applyFill="1" applyBorder="1"/>
    <xf numFmtId="170" fontId="8" fillId="11" borderId="57" xfId="0" applyNumberFormat="1" applyFont="1" applyFill="1" applyBorder="1"/>
    <xf numFmtId="0" fontId="8" fillId="0" borderId="59" xfId="0" applyFont="1" applyBorder="1"/>
    <xf numFmtId="170" fontId="8" fillId="0" borderId="33" xfId="0" applyNumberFormat="1" applyFont="1" applyBorder="1"/>
    <xf numFmtId="170" fontId="8" fillId="0" borderId="36" xfId="0" applyNumberFormat="1" applyFont="1" applyBorder="1"/>
    <xf numFmtId="0" fontId="8" fillId="4" borderId="66" xfId="0" applyFont="1" applyFill="1" applyBorder="1"/>
    <xf numFmtId="174" fontId="8" fillId="10" borderId="60" xfId="0" applyNumberFormat="1" applyFont="1" applyFill="1" applyBorder="1"/>
    <xf numFmtId="0" fontId="3" fillId="0" borderId="78" xfId="0" applyFont="1" applyBorder="1"/>
    <xf numFmtId="176" fontId="8" fillId="4" borderId="60" xfId="0" applyNumberFormat="1" applyFont="1" applyFill="1" applyBorder="1"/>
    <xf numFmtId="0" fontId="8" fillId="0" borderId="79" xfId="0" applyFont="1" applyBorder="1"/>
    <xf numFmtId="168" fontId="8" fillId="0" borderId="79" xfId="0" applyNumberFormat="1" applyFont="1" applyBorder="1"/>
    <xf numFmtId="169" fontId="8" fillId="0" borderId="80" xfId="0" applyNumberFormat="1" applyFont="1" applyBorder="1"/>
    <xf numFmtId="2" fontId="8" fillId="0" borderId="65" xfId="0" applyNumberFormat="1" applyFont="1" applyBorder="1"/>
    <xf numFmtId="176" fontId="8" fillId="4" borderId="81" xfId="0" applyNumberFormat="1" applyFont="1" applyFill="1" applyBorder="1"/>
    <xf numFmtId="0" fontId="8" fillId="4" borderId="82" xfId="0" applyFont="1" applyFill="1" applyBorder="1"/>
    <xf numFmtId="0" fontId="3" fillId="0" borderId="83" xfId="0" applyFont="1" applyBorder="1"/>
    <xf numFmtId="0" fontId="3" fillId="0" borderId="84" xfId="0" applyFont="1" applyBorder="1"/>
    <xf numFmtId="168" fontId="8" fillId="4" borderId="85" xfId="0" applyNumberFormat="1" applyFont="1" applyFill="1" applyBorder="1"/>
    <xf numFmtId="0" fontId="3" fillId="0" borderId="84" xfId="0" applyFont="1" applyBorder="1" applyAlignment="1">
      <alignment horizontal="center"/>
    </xf>
    <xf numFmtId="168" fontId="3" fillId="0" borderId="84" xfId="0" applyNumberFormat="1" applyFont="1" applyBorder="1"/>
    <xf numFmtId="170" fontId="3" fillId="0" borderId="84" xfId="0" applyNumberFormat="1" applyFont="1" applyBorder="1"/>
    <xf numFmtId="170" fontId="3" fillId="0" borderId="86" xfId="0" applyNumberFormat="1" applyFont="1" applyBorder="1"/>
    <xf numFmtId="168" fontId="8" fillId="4" borderId="52" xfId="0" applyNumberFormat="1" applyFont="1" applyFill="1" applyBorder="1"/>
    <xf numFmtId="169" fontId="8" fillId="4" borderId="57" xfId="0" applyNumberFormat="1" applyFont="1" applyFill="1" applyBorder="1"/>
    <xf numFmtId="0" fontId="3" fillId="4" borderId="23" xfId="0" applyFont="1" applyFill="1" applyBorder="1" applyAlignment="1">
      <alignment horizontal="center"/>
    </xf>
    <xf numFmtId="167" fontId="8" fillId="0" borderId="65" xfId="0" applyNumberFormat="1" applyFont="1" applyBorder="1"/>
    <xf numFmtId="168" fontId="8" fillId="7" borderId="23" xfId="0" applyNumberFormat="1" applyFont="1" applyFill="1" applyBorder="1"/>
    <xf numFmtId="0" fontId="3" fillId="0" borderId="86" xfId="0" applyFont="1" applyBorder="1"/>
    <xf numFmtId="0" fontId="3" fillId="0" borderId="65" xfId="0" applyFont="1" applyBorder="1"/>
    <xf numFmtId="0" fontId="8" fillId="0" borderId="87" xfId="0" applyFont="1" applyBorder="1"/>
    <xf numFmtId="0" fontId="8" fillId="0" borderId="88" xfId="0" applyFont="1" applyBorder="1"/>
    <xf numFmtId="165" fontId="8" fillId="7" borderId="89" xfId="0" applyNumberFormat="1" applyFont="1" applyFill="1" applyBorder="1"/>
    <xf numFmtId="0" fontId="8" fillId="10" borderId="63" xfId="0" applyFont="1" applyFill="1" applyBorder="1"/>
    <xf numFmtId="0" fontId="8" fillId="0" borderId="90" xfId="0" applyFont="1" applyBorder="1"/>
    <xf numFmtId="0" fontId="8" fillId="4" borderId="91" xfId="0" applyFont="1" applyFill="1" applyBorder="1"/>
    <xf numFmtId="0" fontId="8" fillId="0" borderId="92" xfId="0" applyFont="1" applyBorder="1"/>
    <xf numFmtId="0" fontId="8" fillId="12" borderId="13" xfId="0" applyFont="1" applyFill="1" applyBorder="1"/>
    <xf numFmtId="0" fontId="8" fillId="7" borderId="93" xfId="0" applyFont="1" applyFill="1" applyBorder="1"/>
    <xf numFmtId="0" fontId="8" fillId="4" borderId="94" xfId="0" applyFont="1" applyFill="1" applyBorder="1"/>
    <xf numFmtId="0" fontId="8" fillId="0" borderId="95" xfId="0" applyFont="1" applyBorder="1"/>
    <xf numFmtId="0" fontId="8" fillId="4" borderId="96" xfId="0" applyFont="1" applyFill="1" applyBorder="1"/>
    <xf numFmtId="0" fontId="3" fillId="0" borderId="97" xfId="0" applyFont="1" applyBorder="1"/>
    <xf numFmtId="0" fontId="3" fillId="0" borderId="98" xfId="0" applyFont="1" applyBorder="1"/>
    <xf numFmtId="0" fontId="3" fillId="7" borderId="93" xfId="0" applyFont="1" applyFill="1" applyBorder="1"/>
    <xf numFmtId="168" fontId="12" fillId="10" borderId="13" xfId="0" applyNumberFormat="1" applyFont="1" applyFill="1" applyBorder="1"/>
    <xf numFmtId="0" fontId="3" fillId="0" borderId="95" xfId="0" applyFont="1" applyBorder="1"/>
    <xf numFmtId="174" fontId="18" fillId="0" borderId="23" xfId="0" applyNumberFormat="1" applyFont="1" applyBorder="1"/>
    <xf numFmtId="0" fontId="3" fillId="0" borderId="99" xfId="0" applyFont="1" applyBorder="1"/>
    <xf numFmtId="0" fontId="3" fillId="7" borderId="100" xfId="0" applyFont="1" applyFill="1" applyBorder="1"/>
    <xf numFmtId="174" fontId="12" fillId="0" borderId="23" xfId="0" applyNumberFormat="1" applyFont="1" applyBorder="1"/>
    <xf numFmtId="168" fontId="12" fillId="10" borderId="12" xfId="0" applyNumberFormat="1" applyFont="1" applyFill="1" applyBorder="1"/>
    <xf numFmtId="0" fontId="3" fillId="0" borderId="101" xfId="0" applyFont="1" applyBorder="1"/>
    <xf numFmtId="3" fontId="8" fillId="10" borderId="102" xfId="0" applyNumberFormat="1" applyFont="1" applyFill="1" applyBorder="1"/>
    <xf numFmtId="170" fontId="8" fillId="10" borderId="75" xfId="0" applyNumberFormat="1" applyFont="1" applyFill="1" applyBorder="1"/>
    <xf numFmtId="3" fontId="12" fillId="7" borderId="102" xfId="0" applyNumberFormat="1" applyFont="1" applyFill="1" applyBorder="1"/>
    <xf numFmtId="170" fontId="18" fillId="0" borderId="75" xfId="0" applyNumberFormat="1" applyFont="1" applyBorder="1"/>
    <xf numFmtId="0" fontId="8" fillId="13" borderId="82" xfId="0" applyFont="1" applyFill="1" applyBorder="1"/>
    <xf numFmtId="168" fontId="8" fillId="13" borderId="85" xfId="0" applyNumberFormat="1" applyFont="1" applyFill="1" applyBorder="1"/>
    <xf numFmtId="0" fontId="18" fillId="7" borderId="102" xfId="0" applyFont="1" applyFill="1" applyBorder="1"/>
    <xf numFmtId="174" fontId="8" fillId="13" borderId="85" xfId="0" applyNumberFormat="1" applyFont="1" applyFill="1" applyBorder="1"/>
    <xf numFmtId="170" fontId="12" fillId="10" borderId="23" xfId="0" applyNumberFormat="1" applyFont="1" applyFill="1" applyBorder="1"/>
    <xf numFmtId="39" fontId="12" fillId="0" borderId="75" xfId="0" applyNumberFormat="1" applyFont="1" applyBorder="1"/>
    <xf numFmtId="172" fontId="8" fillId="13" borderId="85" xfId="0" applyNumberFormat="1" applyFont="1" applyFill="1" applyBorder="1"/>
    <xf numFmtId="168" fontId="3" fillId="0" borderId="45" xfId="0" applyNumberFormat="1" applyFont="1" applyBorder="1"/>
    <xf numFmtId="169" fontId="8" fillId="13" borderId="103" xfId="0" applyNumberFormat="1" applyFont="1" applyFill="1" applyBorder="1"/>
    <xf numFmtId="168" fontId="3" fillId="7" borderId="93" xfId="0" applyNumberFormat="1" applyFont="1" applyFill="1" applyBorder="1"/>
    <xf numFmtId="170" fontId="12" fillId="0" borderId="45" xfId="0" applyNumberFormat="1" applyFont="1" applyBorder="1"/>
    <xf numFmtId="170" fontId="12" fillId="0" borderId="95" xfId="0" applyNumberFormat="1" applyFont="1" applyBorder="1"/>
    <xf numFmtId="0" fontId="3" fillId="0" borderId="104" xfId="0" applyFont="1" applyBorder="1"/>
    <xf numFmtId="0" fontId="3" fillId="0" borderId="105" xfId="0" applyFont="1" applyBorder="1"/>
    <xf numFmtId="0" fontId="3" fillId="0" borderId="106" xfId="0" applyFont="1" applyBorder="1"/>
    <xf numFmtId="170" fontId="12" fillId="0" borderId="101" xfId="0" applyNumberFormat="1" applyFont="1" applyBorder="1"/>
    <xf numFmtId="168" fontId="8" fillId="10" borderId="102" xfId="0" applyNumberFormat="1" applyFont="1" applyFill="1" applyBorder="1"/>
    <xf numFmtId="173" fontId="12" fillId="10" borderId="75" xfId="0" applyNumberFormat="1" applyFont="1" applyFill="1" applyBorder="1"/>
    <xf numFmtId="168" fontId="12" fillId="7" borderId="102" xfId="0" applyNumberFormat="1" applyFont="1" applyFill="1" applyBorder="1"/>
    <xf numFmtId="170" fontId="12" fillId="0" borderId="75" xfId="0" applyNumberFormat="1" applyFont="1" applyBorder="1"/>
    <xf numFmtId="170" fontId="18" fillId="10" borderId="75" xfId="0" applyNumberFormat="1" applyFont="1" applyFill="1" applyBorder="1"/>
    <xf numFmtId="0" fontId="3" fillId="0" borderId="107" xfId="0" applyFont="1" applyBorder="1"/>
    <xf numFmtId="168" fontId="12" fillId="7" borderId="108" xfId="0" applyNumberFormat="1" applyFont="1" applyFill="1" applyBorder="1"/>
    <xf numFmtId="168" fontId="18" fillId="10" borderId="42" xfId="0" applyNumberFormat="1" applyFont="1" applyFill="1" applyBorder="1"/>
    <xf numFmtId="170" fontId="12" fillId="0" borderId="109" xfId="0" applyNumberFormat="1" applyFont="1" applyBorder="1"/>
    <xf numFmtId="174" fontId="3" fillId="0" borderId="23" xfId="0" applyNumberFormat="1" applyFont="1" applyBorder="1"/>
    <xf numFmtId="168" fontId="18" fillId="7" borderId="102" xfId="0" applyNumberFormat="1" applyFont="1" applyFill="1" applyBorder="1"/>
    <xf numFmtId="168" fontId="3" fillId="7" borderId="102" xfId="0" applyNumberFormat="1" applyFont="1" applyFill="1" applyBorder="1"/>
    <xf numFmtId="0" fontId="8" fillId="14" borderId="82" xfId="0" applyFont="1" applyFill="1" applyBorder="1"/>
    <xf numFmtId="168" fontId="8" fillId="14" borderId="85" xfId="0" applyNumberFormat="1" applyFont="1" applyFill="1" applyBorder="1"/>
    <xf numFmtId="174" fontId="8" fillId="14" borderId="85" xfId="0" applyNumberFormat="1" applyFont="1" applyFill="1" applyBorder="1"/>
    <xf numFmtId="167" fontId="8" fillId="14" borderId="103" xfId="0" applyNumberFormat="1" applyFont="1" applyFill="1" applyBorder="1"/>
    <xf numFmtId="168" fontId="18" fillId="7" borderId="108" xfId="0" applyNumberFormat="1" applyFont="1" applyFill="1" applyBorder="1"/>
    <xf numFmtId="170" fontId="18" fillId="0" borderId="109" xfId="0" applyNumberFormat="1" applyFont="1" applyBorder="1"/>
    <xf numFmtId="168" fontId="3" fillId="7" borderId="100" xfId="0" applyNumberFormat="1" applyFont="1" applyFill="1" applyBorder="1"/>
    <xf numFmtId="177" fontId="12" fillId="0" borderId="23" xfId="0" applyNumberFormat="1" applyFont="1" applyBorder="1"/>
    <xf numFmtId="168" fontId="3" fillId="7" borderId="42" xfId="0" applyNumberFormat="1" applyFont="1" applyFill="1" applyBorder="1"/>
    <xf numFmtId="0" fontId="3" fillId="0" borderId="79" xfId="0" applyFont="1" applyBorder="1"/>
    <xf numFmtId="0" fontId="3" fillId="10" borderId="18" xfId="0" applyFont="1" applyFill="1" applyBorder="1"/>
    <xf numFmtId="168" fontId="12" fillId="10" borderId="18" xfId="0" applyNumberFormat="1" applyFont="1" applyFill="1" applyBorder="1"/>
    <xf numFmtId="168" fontId="3" fillId="10" borderId="18" xfId="0" applyNumberFormat="1" applyFont="1" applyFill="1" applyBorder="1"/>
    <xf numFmtId="177" fontId="12" fillId="0" borderId="75" xfId="0" applyNumberFormat="1" applyFont="1" applyBorder="1"/>
    <xf numFmtId="168" fontId="3" fillId="7" borderId="108" xfId="0" applyNumberFormat="1" applyFont="1" applyFill="1" applyBorder="1"/>
    <xf numFmtId="0" fontId="3" fillId="4" borderId="4" xfId="0" applyFont="1" applyFill="1" applyBorder="1"/>
    <xf numFmtId="168" fontId="12" fillId="10" borderId="42" xfId="0" applyNumberFormat="1" applyFont="1" applyFill="1" applyBorder="1"/>
    <xf numFmtId="0" fontId="3" fillId="4" borderId="110" xfId="0" applyFont="1" applyFill="1" applyBorder="1"/>
    <xf numFmtId="174" fontId="3" fillId="9" borderId="23" xfId="0" applyNumberFormat="1" applyFont="1" applyFill="1" applyBorder="1"/>
    <xf numFmtId="168" fontId="8" fillId="7" borderId="102" xfId="0" applyNumberFormat="1" applyFont="1" applyFill="1" applyBorder="1"/>
    <xf numFmtId="168" fontId="8" fillId="7" borderId="108" xfId="0" applyNumberFormat="1" applyFont="1" applyFill="1" applyBorder="1"/>
    <xf numFmtId="39" fontId="18" fillId="0" borderId="42" xfId="0" applyNumberFormat="1" applyFont="1" applyBorder="1"/>
    <xf numFmtId="168" fontId="18" fillId="10" borderId="102" xfId="0" applyNumberFormat="1" applyFont="1" applyFill="1" applyBorder="1"/>
    <xf numFmtId="174" fontId="18" fillId="10" borderId="23" xfId="0" applyNumberFormat="1" applyFont="1" applyFill="1" applyBorder="1"/>
    <xf numFmtId="172" fontId="18" fillId="10" borderId="23" xfId="0" applyNumberFormat="1" applyFont="1" applyFill="1" applyBorder="1"/>
    <xf numFmtId="2" fontId="18" fillId="10" borderId="23" xfId="0" applyNumberFormat="1" applyFont="1" applyFill="1" applyBorder="1"/>
    <xf numFmtId="168" fontId="12" fillId="10" borderId="102" xfId="0" applyNumberFormat="1" applyFont="1" applyFill="1" applyBorder="1"/>
    <xf numFmtId="38" fontId="3" fillId="0" borderId="23" xfId="0" applyNumberFormat="1" applyFont="1" applyBorder="1"/>
    <xf numFmtId="168" fontId="12" fillId="0" borderId="45" xfId="0" applyNumberFormat="1" applyFont="1" applyBorder="1"/>
    <xf numFmtId="168" fontId="12" fillId="0" borderId="16" xfId="0" applyNumberFormat="1" applyFont="1" applyBorder="1"/>
    <xf numFmtId="168" fontId="18" fillId="10" borderId="13" xfId="0" applyNumberFormat="1" applyFont="1" applyFill="1" applyBorder="1"/>
    <xf numFmtId="176" fontId="12" fillId="10" borderId="23" xfId="0" applyNumberFormat="1" applyFont="1" applyFill="1" applyBorder="1"/>
    <xf numFmtId="38" fontId="3" fillId="0" borderId="42" xfId="0" applyNumberFormat="1" applyFont="1" applyBorder="1"/>
    <xf numFmtId="38" fontId="3" fillId="0" borderId="45" xfId="0" applyNumberFormat="1" applyFont="1" applyBorder="1"/>
    <xf numFmtId="38" fontId="3" fillId="0" borderId="12" xfId="0" applyNumberFormat="1" applyFont="1" applyBorder="1"/>
    <xf numFmtId="39" fontId="18" fillId="0" borderId="23" xfId="0" applyNumberFormat="1" applyFont="1" applyBorder="1"/>
    <xf numFmtId="39" fontId="18" fillId="0" borderId="75" xfId="0" applyNumberFormat="1" applyFont="1" applyBorder="1"/>
    <xf numFmtId="170" fontId="18" fillId="10" borderId="42" xfId="0" applyNumberFormat="1" applyFont="1" applyFill="1" applyBorder="1"/>
    <xf numFmtId="39" fontId="18" fillId="0" borderId="109" xfId="0" applyNumberFormat="1" applyFont="1" applyBorder="1"/>
    <xf numFmtId="168" fontId="8" fillId="7" borderId="42" xfId="0" applyNumberFormat="1" applyFont="1" applyFill="1" applyBorder="1"/>
    <xf numFmtId="0" fontId="8" fillId="0" borderId="29" xfId="0" applyFont="1" applyBorder="1"/>
    <xf numFmtId="169" fontId="8" fillId="9" borderId="23" xfId="0" applyNumberFormat="1" applyFont="1" applyFill="1" applyBorder="1" applyAlignment="1">
      <alignment horizontal="center" wrapText="1"/>
    </xf>
    <xf numFmtId="0" fontId="21" fillId="0" borderId="12" xfId="0" applyFont="1" applyBorder="1"/>
    <xf numFmtId="168" fontId="18" fillId="10" borderId="12" xfId="0" applyNumberFormat="1" applyFont="1" applyFill="1" applyBorder="1"/>
    <xf numFmtId="0" fontId="3" fillId="0" borderId="45" xfId="0" applyFont="1" applyBorder="1" applyAlignment="1">
      <alignment horizontal="center"/>
    </xf>
    <xf numFmtId="168" fontId="12" fillId="7" borderId="93" xfId="0" applyNumberFormat="1" applyFont="1" applyFill="1" applyBorder="1"/>
    <xf numFmtId="168" fontId="12" fillId="7" borderId="100" xfId="0" applyNumberFormat="1" applyFont="1" applyFill="1" applyBorder="1"/>
    <xf numFmtId="0" fontId="3" fillId="0" borderId="111" xfId="0" applyFont="1" applyBorder="1"/>
    <xf numFmtId="168" fontId="12" fillId="0" borderId="98" xfId="0" applyNumberFormat="1" applyFont="1" applyBorder="1"/>
    <xf numFmtId="168" fontId="3" fillId="0" borderId="98" xfId="0" applyNumberFormat="1" applyFont="1" applyBorder="1"/>
    <xf numFmtId="168" fontId="12" fillId="7" borderId="112" xfId="0" applyNumberFormat="1" applyFont="1" applyFill="1" applyBorder="1"/>
    <xf numFmtId="168" fontId="12" fillId="10" borderId="17" xfId="0" applyNumberFormat="1" applyFont="1" applyFill="1" applyBorder="1"/>
    <xf numFmtId="170" fontId="12" fillId="0" borderId="98" xfId="0" applyNumberFormat="1" applyFont="1" applyBorder="1"/>
    <xf numFmtId="170" fontId="12" fillId="0" borderId="113" xfId="0" applyNumberFormat="1" applyFont="1" applyBorder="1"/>
    <xf numFmtId="168" fontId="18" fillId="10" borderId="75" xfId="0" applyNumberFormat="1" applyFont="1" applyFill="1" applyBorder="1"/>
    <xf numFmtId="168" fontId="18" fillId="4" borderId="13" xfId="0" applyNumberFormat="1" applyFont="1" applyFill="1" applyBorder="1"/>
    <xf numFmtId="172" fontId="12" fillId="0" borderId="75" xfId="0" applyNumberFormat="1" applyFont="1" applyBorder="1"/>
    <xf numFmtId="0" fontId="3" fillId="7" borderId="108" xfId="0" applyFont="1" applyFill="1" applyBorder="1"/>
    <xf numFmtId="0" fontId="3" fillId="0" borderId="72" xfId="0" applyFont="1" applyBorder="1"/>
    <xf numFmtId="168" fontId="12" fillId="0" borderId="72" xfId="0" applyNumberFormat="1" applyFont="1" applyBorder="1"/>
    <xf numFmtId="168" fontId="3" fillId="0" borderId="72" xfId="0" applyNumberFormat="1" applyFont="1" applyBorder="1"/>
    <xf numFmtId="0" fontId="3" fillId="7" borderId="114" xfId="0" applyFont="1" applyFill="1" applyBorder="1"/>
    <xf numFmtId="168" fontId="12" fillId="10" borderId="40" xfId="0" applyNumberFormat="1" applyFont="1" applyFill="1" applyBorder="1"/>
    <xf numFmtId="170" fontId="12" fillId="0" borderId="39" xfId="0" applyNumberFormat="1" applyFont="1" applyBorder="1"/>
    <xf numFmtId="170" fontId="12" fillId="0" borderId="41" xfId="0" applyNumberFormat="1" applyFont="1" applyBorder="1"/>
    <xf numFmtId="0" fontId="3" fillId="12" borderId="115" xfId="0" applyFont="1" applyFill="1" applyBorder="1"/>
    <xf numFmtId="0" fontId="3" fillId="12" borderId="4" xfId="0" applyFont="1" applyFill="1" applyBorder="1"/>
    <xf numFmtId="38" fontId="3" fillId="12" borderId="4" xfId="0" applyNumberFormat="1" applyFont="1" applyFill="1" applyBorder="1"/>
    <xf numFmtId="168" fontId="3" fillId="0" borderId="45" xfId="0" applyNumberFormat="1" applyFont="1" applyBorder="1" applyAlignment="1">
      <alignment horizontal="center"/>
    </xf>
    <xf numFmtId="168" fontId="3" fillId="12" borderId="4" xfId="0" applyNumberFormat="1" applyFont="1" applyFill="1" applyBorder="1"/>
    <xf numFmtId="168" fontId="3" fillId="7" borderId="47" xfId="0" applyNumberFormat="1" applyFont="1" applyFill="1" applyBorder="1"/>
    <xf numFmtId="170" fontId="12" fillId="0" borderId="33" xfId="0" applyNumberFormat="1" applyFont="1" applyBorder="1"/>
    <xf numFmtId="170" fontId="12" fillId="0" borderId="36" xfId="0" applyNumberFormat="1" applyFont="1" applyBorder="1"/>
    <xf numFmtId="0" fontId="3" fillId="0" borderId="116" xfId="0" applyFont="1" applyBorder="1"/>
    <xf numFmtId="0" fontId="8" fillId="0" borderId="116" xfId="0" applyFont="1" applyBorder="1"/>
    <xf numFmtId="3" fontId="3" fillId="0" borderId="23" xfId="0" applyNumberFormat="1" applyFont="1" applyBorder="1"/>
    <xf numFmtId="168" fontId="8" fillId="7" borderId="117" xfId="0" applyNumberFormat="1" applyFont="1" applyFill="1" applyBorder="1"/>
    <xf numFmtId="170" fontId="18" fillId="10" borderId="3" xfId="0" applyNumberFormat="1" applyFont="1" applyFill="1" applyBorder="1"/>
    <xf numFmtId="170" fontId="18" fillId="10" borderId="118" xfId="0" applyNumberFormat="1" applyFont="1" applyFill="1" applyBorder="1"/>
    <xf numFmtId="169" fontId="3" fillId="0" borderId="23" xfId="0" applyNumberFormat="1" applyFont="1" applyBorder="1"/>
    <xf numFmtId="1" fontId="3" fillId="0" borderId="23" xfId="0" applyNumberFormat="1" applyFont="1" applyBorder="1"/>
    <xf numFmtId="3" fontId="8" fillId="0" borderId="23" xfId="0" applyNumberFormat="1" applyFont="1" applyBorder="1"/>
    <xf numFmtId="3" fontId="13" fillId="0" borderId="23" xfId="0" applyNumberFormat="1" applyFont="1" applyBorder="1"/>
    <xf numFmtId="0" fontId="13" fillId="0" borderId="23" xfId="0" applyFont="1" applyBorder="1"/>
    <xf numFmtId="0" fontId="8" fillId="0" borderId="107" xfId="0" applyFont="1" applyBorder="1"/>
    <xf numFmtId="3" fontId="3" fillId="0" borderId="12" xfId="0" applyNumberFormat="1" applyFont="1" applyBorder="1"/>
    <xf numFmtId="0" fontId="3" fillId="12" borderId="23" xfId="0" applyFont="1" applyFill="1" applyBorder="1"/>
    <xf numFmtId="170" fontId="3" fillId="7" borderId="100" xfId="0" applyNumberFormat="1" applyFont="1" applyFill="1" applyBorder="1"/>
    <xf numFmtId="170" fontId="3" fillId="0" borderId="12" xfId="0" applyNumberFormat="1" applyFont="1" applyBorder="1"/>
    <xf numFmtId="170" fontId="3" fillId="0" borderId="101" xfId="0" applyNumberFormat="1" applyFont="1" applyBorder="1"/>
    <xf numFmtId="0" fontId="3" fillId="0" borderId="119" xfId="0" applyFont="1" applyBorder="1"/>
    <xf numFmtId="11" fontId="3" fillId="0" borderId="23" xfId="0" applyNumberFormat="1" applyFont="1" applyBorder="1"/>
    <xf numFmtId="174" fontId="12" fillId="0" borderId="75" xfId="0" applyNumberFormat="1" applyFont="1" applyBorder="1"/>
    <xf numFmtId="167" fontId="3" fillId="0" borderId="23" xfId="0" applyNumberFormat="1" applyFont="1" applyBorder="1"/>
    <xf numFmtId="169" fontId="12" fillId="0" borderId="75" xfId="0" applyNumberFormat="1" applyFont="1" applyBorder="1"/>
    <xf numFmtId="170" fontId="12" fillId="10" borderId="42" xfId="0" applyNumberFormat="1" applyFont="1" applyFill="1" applyBorder="1"/>
    <xf numFmtId="172" fontId="12" fillId="0" borderId="42" xfId="0" applyNumberFormat="1" applyFont="1" applyBorder="1"/>
    <xf numFmtId="169" fontId="12" fillId="0" borderId="109" xfId="0" applyNumberFormat="1" applyFont="1" applyBorder="1"/>
    <xf numFmtId="0" fontId="3" fillId="10" borderId="12" xfId="0" applyFont="1" applyFill="1" applyBorder="1"/>
    <xf numFmtId="170" fontId="3" fillId="7" borderId="102" xfId="0" applyNumberFormat="1" applyFont="1" applyFill="1" applyBorder="1"/>
    <xf numFmtId="170" fontId="3" fillId="0" borderId="75" xfId="0" applyNumberFormat="1" applyFont="1" applyBorder="1"/>
    <xf numFmtId="167" fontId="13" fillId="0" borderId="23" xfId="0" applyNumberFormat="1" applyFont="1" applyBorder="1"/>
    <xf numFmtId="170" fontId="8" fillId="7" borderId="102" xfId="0" applyNumberFormat="1" applyFont="1" applyFill="1" applyBorder="1"/>
    <xf numFmtId="170" fontId="12" fillId="7" borderId="102" xfId="0" applyNumberFormat="1" applyFont="1" applyFill="1" applyBorder="1"/>
    <xf numFmtId="170" fontId="8" fillId="0" borderId="23" xfId="0" applyNumberFormat="1" applyFont="1" applyBorder="1"/>
    <xf numFmtId="172" fontId="8" fillId="0" borderId="75" xfId="0" applyNumberFormat="1" applyFont="1" applyBorder="1"/>
    <xf numFmtId="177" fontId="18" fillId="0" borderId="75" xfId="0" applyNumberFormat="1" applyFont="1" applyBorder="1"/>
    <xf numFmtId="170" fontId="8" fillId="7" borderId="108" xfId="0" applyNumberFormat="1" applyFont="1" applyFill="1" applyBorder="1"/>
    <xf numFmtId="0" fontId="3" fillId="10" borderId="13" xfId="0" applyFont="1" applyFill="1" applyBorder="1"/>
    <xf numFmtId="169" fontId="13" fillId="0" borderId="23" xfId="0" applyNumberFormat="1" applyFont="1" applyBorder="1"/>
    <xf numFmtId="170" fontId="3" fillId="0" borderId="45" xfId="0" applyNumberFormat="1" applyFont="1" applyBorder="1"/>
    <xf numFmtId="170" fontId="3" fillId="0" borderId="95" xfId="0" applyNumberFormat="1" applyFont="1" applyBorder="1"/>
    <xf numFmtId="170" fontId="3" fillId="10" borderId="12" xfId="0" applyNumberFormat="1" applyFont="1" applyFill="1" applyBorder="1"/>
    <xf numFmtId="0" fontId="8" fillId="0" borderId="120" xfId="0" applyFont="1" applyBorder="1"/>
    <xf numFmtId="0" fontId="8" fillId="0" borderId="1" xfId="0" applyFont="1" applyBorder="1"/>
    <xf numFmtId="0" fontId="12" fillId="7" borderId="108" xfId="0" applyFont="1" applyFill="1" applyBorder="1"/>
    <xf numFmtId="0" fontId="12" fillId="10" borderId="42" xfId="0" applyFont="1" applyFill="1" applyBorder="1"/>
    <xf numFmtId="0" fontId="20" fillId="10" borderId="13" xfId="0" applyFont="1" applyFill="1" applyBorder="1"/>
    <xf numFmtId="168" fontId="13" fillId="10" borderId="12" xfId="0" applyNumberFormat="1" applyFont="1" applyFill="1" applyBorder="1"/>
    <xf numFmtId="0" fontId="13" fillId="10" borderId="13" xfId="0" applyFont="1" applyFill="1" applyBorder="1"/>
    <xf numFmtId="39" fontId="3" fillId="0" borderId="95" xfId="0" applyNumberFormat="1" applyFont="1" applyBorder="1"/>
    <xf numFmtId="170" fontId="18" fillId="7" borderId="23" xfId="0" applyNumberFormat="1" applyFont="1" applyFill="1" applyBorder="1"/>
    <xf numFmtId="178" fontId="3" fillId="0" borderId="23" xfId="0" applyNumberFormat="1" applyFont="1" applyBorder="1"/>
    <xf numFmtId="170" fontId="18" fillId="7" borderId="42" xfId="0" applyNumberFormat="1" applyFont="1" applyFill="1" applyBorder="1"/>
    <xf numFmtId="0" fontId="3" fillId="7" borderId="13" xfId="0" applyFont="1" applyFill="1" applyBorder="1"/>
    <xf numFmtId="170" fontId="3" fillId="10" borderId="13" xfId="0" applyNumberFormat="1" applyFont="1" applyFill="1" applyBorder="1"/>
    <xf numFmtId="170" fontId="18" fillId="0" borderId="95" xfId="0" applyNumberFormat="1" applyFont="1" applyBorder="1"/>
    <xf numFmtId="0" fontId="3" fillId="0" borderId="85" xfId="0" applyFont="1" applyBorder="1"/>
    <xf numFmtId="0" fontId="3" fillId="0" borderId="85" xfId="0" applyFont="1" applyBorder="1" applyAlignment="1">
      <alignment horizontal="center"/>
    </xf>
    <xf numFmtId="168" fontId="3" fillId="0" borderId="85" xfId="0" applyNumberFormat="1" applyFont="1" applyBorder="1"/>
    <xf numFmtId="170" fontId="3" fillId="7" borderId="85" xfId="0" applyNumberFormat="1" applyFont="1" applyFill="1" applyBorder="1"/>
    <xf numFmtId="0" fontId="8" fillId="5" borderId="4" xfId="0" applyFont="1" applyFill="1" applyBorder="1" applyAlignment="1">
      <alignment horizontal="center"/>
    </xf>
    <xf numFmtId="0" fontId="8" fillId="0" borderId="48" xfId="0" applyFont="1" applyBorder="1"/>
    <xf numFmtId="0" fontId="3" fillId="0" borderId="49" xfId="0" applyFont="1" applyBorder="1" applyAlignment="1">
      <alignment horizontal="center"/>
    </xf>
    <xf numFmtId="170" fontId="3" fillId="10" borderId="85" xfId="0" applyNumberFormat="1" applyFont="1" applyFill="1" applyBorder="1"/>
    <xf numFmtId="167" fontId="3" fillId="0" borderId="50" xfId="0" applyNumberFormat="1" applyFont="1" applyBorder="1"/>
    <xf numFmtId="0" fontId="8" fillId="0" borderId="53" xfId="0" applyFont="1" applyBorder="1"/>
    <xf numFmtId="170" fontId="3" fillId="0" borderId="85" xfId="0" applyNumberFormat="1" applyFont="1" applyBorder="1"/>
    <xf numFmtId="179" fontId="3" fillId="0" borderId="54" xfId="0" applyNumberFormat="1" applyFont="1" applyBorder="1"/>
    <xf numFmtId="170" fontId="3" fillId="0" borderId="103" xfId="0" applyNumberFormat="1" applyFont="1" applyBorder="1"/>
    <xf numFmtId="180" fontId="3" fillId="0" borderId="54" xfId="0" applyNumberFormat="1" applyFont="1" applyBorder="1"/>
    <xf numFmtId="3" fontId="3" fillId="0" borderId="45" xfId="0" applyNumberFormat="1" applyFont="1" applyBorder="1"/>
    <xf numFmtId="2" fontId="18" fillId="7" borderId="121" xfId="0" applyNumberFormat="1" applyFont="1" applyFill="1" applyBorder="1"/>
    <xf numFmtId="0" fontId="8" fillId="0" borderId="56" xfId="0" applyFont="1" applyBorder="1" applyAlignment="1">
      <alignment horizontal="center"/>
    </xf>
    <xf numFmtId="165" fontId="18" fillId="10" borderId="121" xfId="0" applyNumberFormat="1" applyFont="1" applyFill="1" applyBorder="1"/>
    <xf numFmtId="0" fontId="8" fillId="0" borderId="58" xfId="0" applyFont="1" applyBorder="1" applyAlignment="1">
      <alignment horizontal="center"/>
    </xf>
    <xf numFmtId="170" fontId="18" fillId="0" borderId="122" xfId="0" applyNumberFormat="1" applyFont="1" applyBorder="1"/>
    <xf numFmtId="170" fontId="18" fillId="0" borderId="123" xfId="0" applyNumberFormat="1" applyFont="1" applyBorder="1"/>
    <xf numFmtId="0" fontId="3" fillId="11" borderId="125" xfId="0" applyFont="1" applyFill="1" applyBorder="1"/>
    <xf numFmtId="0" fontId="8" fillId="11" borderId="60" xfId="0" applyFont="1" applyFill="1" applyBorder="1"/>
    <xf numFmtId="0" fontId="3" fillId="11" borderId="60" xfId="0" applyFont="1" applyFill="1" applyBorder="1"/>
    <xf numFmtId="0" fontId="8" fillId="0" borderId="12" xfId="0" applyFont="1" applyBorder="1" applyAlignment="1">
      <alignment horizontal="center"/>
    </xf>
    <xf numFmtId="3" fontId="8" fillId="11" borderId="60" xfId="0" applyNumberFormat="1" applyFont="1" applyFill="1" applyBorder="1"/>
    <xf numFmtId="0" fontId="8" fillId="0" borderId="11" xfId="0" applyFont="1" applyBorder="1" applyAlignment="1">
      <alignment horizontal="center"/>
    </xf>
    <xf numFmtId="168" fontId="3" fillId="11" borderId="60" xfId="0" applyNumberFormat="1" applyFont="1" applyFill="1" applyBorder="1"/>
    <xf numFmtId="0" fontId="3" fillId="11" borderId="61" xfId="0" applyFont="1" applyFill="1" applyBorder="1"/>
    <xf numFmtId="0" fontId="8" fillId="0" borderId="126" xfId="0" applyFont="1" applyBorder="1"/>
    <xf numFmtId="0" fontId="8" fillId="6" borderId="102" xfId="0" applyFont="1" applyFill="1" applyBorder="1" applyAlignment="1">
      <alignment horizontal="center"/>
    </xf>
    <xf numFmtId="0" fontId="11" fillId="0" borderId="127" xfId="0" applyFont="1" applyBorder="1"/>
    <xf numFmtId="170" fontId="8" fillId="11" borderId="128" xfId="0" applyNumberFormat="1" applyFont="1" applyFill="1" applyBorder="1"/>
    <xf numFmtId="169" fontId="12" fillId="0" borderId="23" xfId="0" applyNumberFormat="1" applyFont="1" applyBorder="1"/>
    <xf numFmtId="0" fontId="3" fillId="0" borderId="127" xfId="0" applyFont="1" applyBorder="1"/>
    <xf numFmtId="169" fontId="12" fillId="0" borderId="23" xfId="0" applyNumberFormat="1" applyFont="1" applyBorder="1" applyAlignment="1">
      <alignment horizontal="center"/>
    </xf>
    <xf numFmtId="0" fontId="3" fillId="0" borderId="129" xfId="0" applyFont="1" applyBorder="1"/>
    <xf numFmtId="0" fontId="3" fillId="0" borderId="130" xfId="0" applyFont="1" applyBorder="1"/>
    <xf numFmtId="170" fontId="8" fillId="11" borderId="131" xfId="0" applyNumberFormat="1" applyFont="1" applyFill="1" applyBorder="1"/>
    <xf numFmtId="0" fontId="3" fillId="0" borderId="79" xfId="0" applyFont="1" applyBorder="1" applyAlignment="1">
      <alignment horizontal="center"/>
    </xf>
    <xf numFmtId="0" fontId="3" fillId="0" borderId="132" xfId="0" applyFont="1" applyBorder="1" applyAlignment="1">
      <alignment horizontal="center"/>
    </xf>
    <xf numFmtId="0" fontId="3" fillId="0" borderId="133" xfId="0" applyFont="1" applyBorder="1"/>
    <xf numFmtId="0" fontId="8" fillId="0" borderId="134" xfId="0" applyFont="1" applyBorder="1"/>
    <xf numFmtId="0" fontId="3" fillId="0" borderId="134" xfId="0" applyFont="1" applyBorder="1"/>
    <xf numFmtId="3" fontId="8" fillId="0" borderId="134" xfId="0" applyNumberFormat="1" applyFont="1" applyBorder="1"/>
    <xf numFmtId="168" fontId="3" fillId="0" borderId="134" xfId="0" applyNumberFormat="1" applyFont="1" applyBorder="1"/>
    <xf numFmtId="0" fontId="3" fillId="4" borderId="135" xfId="0" applyFont="1" applyFill="1" applyBorder="1"/>
    <xf numFmtId="170" fontId="8" fillId="0" borderId="122" xfId="0" applyNumberFormat="1" applyFont="1" applyBorder="1"/>
    <xf numFmtId="0" fontId="3" fillId="4" borderId="136" xfId="0" applyFont="1" applyFill="1" applyBorder="1"/>
    <xf numFmtId="170" fontId="8" fillId="0" borderId="123" xfId="0" applyNumberFormat="1" applyFont="1" applyBorder="1"/>
    <xf numFmtId="0" fontId="3" fillId="4" borderId="100" xfId="0" applyFont="1" applyFill="1" applyBorder="1"/>
    <xf numFmtId="0" fontId="3" fillId="4" borderId="137" xfId="0" applyFont="1" applyFill="1" applyBorder="1"/>
    <xf numFmtId="0" fontId="8" fillId="4" borderId="138" xfId="0" applyFont="1" applyFill="1" applyBorder="1"/>
    <xf numFmtId="0" fontId="3" fillId="4" borderId="138" xfId="0" applyFont="1" applyFill="1" applyBorder="1"/>
    <xf numFmtId="0" fontId="8" fillId="4" borderId="115" xfId="0" applyFont="1" applyFill="1" applyBorder="1"/>
    <xf numFmtId="0" fontId="3" fillId="4" borderId="4" xfId="0" applyFont="1" applyFill="1" applyBorder="1" applyAlignment="1">
      <alignment horizontal="right"/>
    </xf>
    <xf numFmtId="168" fontId="3" fillId="4" borderId="23" xfId="0" applyNumberFormat="1" applyFont="1" applyFill="1" applyBorder="1"/>
    <xf numFmtId="3" fontId="8" fillId="4" borderId="138" xfId="0" applyNumberFormat="1" applyFont="1" applyFill="1" applyBorder="1"/>
    <xf numFmtId="168" fontId="3" fillId="4" borderId="102" xfId="0" applyNumberFormat="1" applyFont="1" applyFill="1" applyBorder="1"/>
    <xf numFmtId="168" fontId="3" fillId="4" borderId="138" xfId="0" applyNumberFormat="1" applyFont="1" applyFill="1" applyBorder="1"/>
    <xf numFmtId="168" fontId="8" fillId="4" borderId="23" xfId="0" applyNumberFormat="1" applyFont="1" applyFill="1" applyBorder="1"/>
    <xf numFmtId="170" fontId="8" fillId="4" borderId="128" xfId="0" applyNumberFormat="1" applyFont="1" applyFill="1" applyBorder="1"/>
    <xf numFmtId="0" fontId="3" fillId="4" borderId="115" xfId="0" applyFont="1" applyFill="1" applyBorder="1"/>
    <xf numFmtId="0" fontId="3" fillId="3" borderId="96" xfId="0" applyFont="1" applyFill="1" applyBorder="1"/>
    <xf numFmtId="177" fontId="8" fillId="10" borderId="128" xfId="0" applyNumberFormat="1" applyFont="1" applyFill="1" applyBorder="1"/>
    <xf numFmtId="0" fontId="3" fillId="3" borderId="139" xfId="0" applyFont="1" applyFill="1" applyBorder="1" applyAlignment="1">
      <alignment horizontal="right"/>
    </xf>
    <xf numFmtId="177" fontId="8" fillId="4" borderId="128" xfId="0" applyNumberFormat="1" applyFont="1" applyFill="1" applyBorder="1"/>
    <xf numFmtId="168" fontId="17" fillId="3" borderId="42" xfId="0" applyNumberFormat="1" applyFont="1" applyFill="1" applyBorder="1"/>
    <xf numFmtId="177" fontId="8" fillId="4" borderId="131" xfId="0" applyNumberFormat="1" applyFont="1" applyFill="1" applyBorder="1"/>
    <xf numFmtId="168" fontId="19" fillId="3" borderId="42" xfId="0" applyNumberFormat="1" applyFont="1" applyFill="1" applyBorder="1"/>
    <xf numFmtId="0" fontId="8" fillId="0" borderId="140" xfId="0" applyFont="1" applyBorder="1"/>
    <xf numFmtId="0" fontId="3" fillId="0" borderId="140" xfId="0" applyFont="1" applyBorder="1"/>
    <xf numFmtId="3" fontId="8" fillId="0" borderId="140" xfId="0" applyNumberFormat="1" applyFont="1" applyBorder="1"/>
    <xf numFmtId="168" fontId="3" fillId="0" borderId="140" xfId="0" applyNumberFormat="1" applyFont="1" applyBorder="1"/>
    <xf numFmtId="170" fontId="8" fillId="0" borderId="140" xfId="0" applyNumberFormat="1" applyFont="1" applyBorder="1"/>
    <xf numFmtId="170" fontId="8" fillId="0" borderId="141" xfId="0" applyNumberFormat="1" applyFont="1" applyBorder="1"/>
    <xf numFmtId="168" fontId="3" fillId="3" borderId="42" xfId="0" applyNumberFormat="1" applyFont="1" applyFill="1" applyBorder="1"/>
    <xf numFmtId="168" fontId="17" fillId="3" borderId="108" xfId="0" applyNumberFormat="1" applyFont="1" applyFill="1" applyBorder="1"/>
    <xf numFmtId="168" fontId="3" fillId="0" borderId="142" xfId="0" applyNumberFormat="1" applyFont="1" applyBorder="1"/>
    <xf numFmtId="168" fontId="3" fillId="0" borderId="124" xfId="0" applyNumberFormat="1" applyFont="1" applyBorder="1"/>
    <xf numFmtId="38" fontId="8" fillId="0" borderId="0" xfId="0" applyNumberFormat="1" applyFont="1"/>
    <xf numFmtId="168" fontId="8" fillId="0" borderId="0" xfId="0" applyNumberFormat="1" applyFont="1"/>
    <xf numFmtId="38" fontId="3" fillId="0" borderId="0" xfId="0" applyNumberFormat="1" applyFont="1"/>
    <xf numFmtId="168" fontId="12" fillId="0" borderId="0" xfId="0" applyNumberFormat="1" applyFont="1"/>
    <xf numFmtId="168" fontId="18" fillId="0" borderId="0" xfId="0" applyNumberFormat="1" applyFont="1"/>
    <xf numFmtId="0" fontId="3" fillId="7" borderId="112" xfId="0" applyFont="1" applyFill="1" applyBorder="1"/>
    <xf numFmtId="10" fontId="3" fillId="10" borderId="23" xfId="0" applyNumberFormat="1" applyFont="1" applyFill="1" applyBorder="1"/>
    <xf numFmtId="0" fontId="3" fillId="0" borderId="113" xfId="0" applyFont="1" applyBorder="1"/>
    <xf numFmtId="0" fontId="3" fillId="0" borderId="143" xfId="0" applyFont="1" applyBorder="1"/>
    <xf numFmtId="168" fontId="8" fillId="16" borderId="102" xfId="0" applyNumberFormat="1" applyFont="1" applyFill="1" applyBorder="1"/>
    <xf numFmtId="0" fontId="8" fillId="0" borderId="142" xfId="0" applyFont="1" applyBorder="1"/>
    <xf numFmtId="0" fontId="3" fillId="0" borderId="142" xfId="0" applyFont="1" applyBorder="1"/>
    <xf numFmtId="0" fontId="8" fillId="12" borderId="115" xfId="0" applyFont="1" applyFill="1" applyBorder="1"/>
    <xf numFmtId="168" fontId="3" fillId="7" borderId="144" xfId="0" applyNumberFormat="1" applyFont="1" applyFill="1" applyBorder="1"/>
    <xf numFmtId="168" fontId="12" fillId="10" borderId="43" xfId="0" applyNumberFormat="1" applyFont="1" applyFill="1" applyBorder="1"/>
    <xf numFmtId="170" fontId="12" fillId="0" borderId="142" xfId="0" applyNumberFormat="1" applyFont="1" applyBorder="1"/>
    <xf numFmtId="170" fontId="12" fillId="0" borderId="145" xfId="0" applyNumberFormat="1" applyFont="1" applyBorder="1"/>
    <xf numFmtId="10" fontId="3" fillId="0" borderId="23" xfId="0" applyNumberFormat="1" applyFont="1" applyBorder="1"/>
    <xf numFmtId="170" fontId="8" fillId="16" borderId="102" xfId="0" applyNumberFormat="1" applyFont="1" applyFill="1" applyBorder="1"/>
    <xf numFmtId="0" fontId="8" fillId="0" borderId="146" xfId="0" applyFont="1" applyBorder="1"/>
    <xf numFmtId="177" fontId="3" fillId="0" borderId="42" xfId="0" applyNumberFormat="1" applyFont="1" applyBorder="1"/>
    <xf numFmtId="10" fontId="3" fillId="0" borderId="42" xfId="0" applyNumberFormat="1" applyFont="1" applyBorder="1"/>
    <xf numFmtId="170" fontId="8" fillId="16" borderId="108" xfId="0" applyNumberFormat="1" applyFont="1" applyFill="1" applyBorder="1"/>
    <xf numFmtId="0" fontId="3" fillId="0" borderId="92" xfId="0" applyFont="1" applyBorder="1"/>
    <xf numFmtId="168" fontId="3" fillId="0" borderId="16" xfId="0" applyNumberFormat="1" applyFont="1" applyBorder="1"/>
    <xf numFmtId="0" fontId="11" fillId="0" borderId="147" xfId="0" applyFont="1" applyBorder="1"/>
    <xf numFmtId="0" fontId="3" fillId="0" borderId="148" xfId="0" applyFont="1" applyBorder="1"/>
    <xf numFmtId="0" fontId="3" fillId="0" borderId="149" xfId="0" applyFont="1" applyBorder="1"/>
    <xf numFmtId="169" fontId="3" fillId="0" borderId="42" xfId="0" applyNumberFormat="1" applyFont="1" applyBorder="1"/>
    <xf numFmtId="0" fontId="8" fillId="10" borderId="150" xfId="0" applyFont="1" applyFill="1" applyBorder="1"/>
    <xf numFmtId="169" fontId="3" fillId="0" borderId="0" xfId="0" applyNumberFormat="1" applyFont="1" applyAlignment="1">
      <alignment horizontal="center"/>
    </xf>
    <xf numFmtId="169" fontId="3" fillId="0" borderId="0" xfId="0" applyNumberFormat="1" applyFont="1"/>
    <xf numFmtId="169" fontId="3" fillId="0" borderId="151" xfId="0" applyNumberFormat="1" applyFont="1" applyBorder="1" applyAlignment="1">
      <alignment horizontal="center"/>
    </xf>
    <xf numFmtId="0" fontId="4" fillId="0" borderId="48" xfId="0" applyFont="1" applyBorder="1"/>
    <xf numFmtId="170" fontId="12" fillId="10" borderId="75" xfId="0" applyNumberFormat="1" applyFont="1" applyFill="1" applyBorder="1"/>
    <xf numFmtId="169" fontId="22" fillId="17" borderId="49" xfId="0" applyNumberFormat="1" applyFont="1" applyFill="1" applyBorder="1" applyAlignment="1">
      <alignment horizontal="center"/>
    </xf>
    <xf numFmtId="169" fontId="22" fillId="17" borderId="50" xfId="0" applyNumberFormat="1" applyFont="1" applyFill="1" applyBorder="1" applyAlignment="1">
      <alignment horizontal="center"/>
    </xf>
    <xf numFmtId="0" fontId="4" fillId="0" borderId="53" xfId="0" applyFont="1" applyBorder="1"/>
    <xf numFmtId="169" fontId="4" fillId="0" borderId="3" xfId="0" applyNumberFormat="1" applyFont="1" applyBorder="1" applyAlignment="1">
      <alignment horizontal="center"/>
    </xf>
    <xf numFmtId="169" fontId="4" fillId="0" borderId="54" xfId="0" applyNumberFormat="1" applyFont="1" applyBorder="1" applyAlignment="1">
      <alignment horizontal="center"/>
    </xf>
    <xf numFmtId="0" fontId="8" fillId="10" borderId="135" xfId="0" applyFont="1" applyFill="1" applyBorder="1"/>
    <xf numFmtId="168" fontId="3" fillId="10" borderId="6" xfId="0" applyNumberFormat="1" applyFont="1" applyFill="1" applyBorder="1"/>
    <xf numFmtId="170" fontId="18" fillId="7" borderId="102" xfId="0" applyNumberFormat="1" applyFont="1" applyFill="1" applyBorder="1"/>
    <xf numFmtId="168" fontId="8" fillId="10" borderId="6" xfId="0" applyNumberFormat="1" applyFont="1" applyFill="1" applyBorder="1"/>
    <xf numFmtId="10" fontId="3" fillId="10" borderId="6" xfId="0" applyNumberFormat="1" applyFont="1" applyFill="1" applyBorder="1"/>
    <xf numFmtId="168" fontId="8" fillId="16" borderId="152" xfId="0" applyNumberFormat="1" applyFont="1" applyFill="1" applyBorder="1"/>
    <xf numFmtId="0" fontId="3" fillId="0" borderId="153" xfId="0" applyFont="1" applyBorder="1"/>
    <xf numFmtId="0" fontId="8" fillId="0" borderId="15" xfId="0" applyFont="1" applyBorder="1"/>
    <xf numFmtId="3" fontId="3" fillId="0" borderId="72" xfId="0" applyNumberFormat="1" applyFont="1" applyBorder="1"/>
    <xf numFmtId="172" fontId="3" fillId="0" borderId="45" xfId="0" applyNumberFormat="1" applyFont="1" applyBorder="1"/>
    <xf numFmtId="2" fontId="18" fillId="7" borderId="6" xfId="0" applyNumberFormat="1" applyFont="1" applyFill="1" applyBorder="1"/>
    <xf numFmtId="165" fontId="18" fillId="10" borderId="6" xfId="0" applyNumberFormat="1" applyFont="1" applyFill="1" applyBorder="1"/>
    <xf numFmtId="0" fontId="4" fillId="0" borderId="55" xfId="0" applyFont="1" applyBorder="1"/>
    <xf numFmtId="170" fontId="18" fillId="0" borderId="72" xfId="0" applyNumberFormat="1" applyFont="1" applyBorder="1"/>
    <xf numFmtId="170" fontId="18" fillId="0" borderId="73" xfId="0" applyNumberFormat="1" applyFont="1" applyBorder="1"/>
    <xf numFmtId="10" fontId="3" fillId="0" borderId="45" xfId="0" applyNumberFormat="1" applyFont="1" applyBorder="1"/>
    <xf numFmtId="0" fontId="3" fillId="4" borderId="3" xfId="0" applyFont="1" applyFill="1" applyBorder="1"/>
    <xf numFmtId="169" fontId="4" fillId="0" borderId="154" xfId="0" applyNumberFormat="1" applyFont="1" applyBorder="1" applyAlignment="1">
      <alignment horizontal="center"/>
    </xf>
    <xf numFmtId="170" fontId="8" fillId="16" borderId="93" xfId="0" applyNumberFormat="1" applyFont="1" applyFill="1" applyBorder="1"/>
    <xf numFmtId="169" fontId="4" fillId="0" borderId="58" xfId="0" applyNumberFormat="1" applyFont="1" applyBorder="1" applyAlignment="1">
      <alignment horizontal="center"/>
    </xf>
    <xf numFmtId="0" fontId="8" fillId="0" borderId="129" xfId="0" applyFont="1" applyBorder="1"/>
    <xf numFmtId="164" fontId="3" fillId="0" borderId="0" xfId="0" applyNumberFormat="1" applyFont="1"/>
    <xf numFmtId="170" fontId="3" fillId="0" borderId="98" xfId="0" applyNumberFormat="1" applyFont="1" applyBorder="1"/>
    <xf numFmtId="177" fontId="3" fillId="0" borderId="98" xfId="0" applyNumberFormat="1" applyFont="1" applyBorder="1"/>
    <xf numFmtId="10" fontId="3" fillId="0" borderId="98" xfId="0" applyNumberFormat="1" applyFont="1" applyBorder="1"/>
    <xf numFmtId="170" fontId="8" fillId="16" borderId="112" xfId="0" applyNumberFormat="1" applyFont="1" applyFill="1" applyBorder="1"/>
    <xf numFmtId="0" fontId="3" fillId="0" borderId="19" xfId="0" applyFont="1" applyBorder="1"/>
    <xf numFmtId="0" fontId="3" fillId="0" borderId="155" xfId="0" applyFont="1" applyBorder="1"/>
    <xf numFmtId="170" fontId="3" fillId="7" borderId="13" xfId="0" applyNumberFormat="1" applyFont="1" applyFill="1" applyBorder="1"/>
    <xf numFmtId="168" fontId="3" fillId="0" borderId="155" xfId="0" applyNumberFormat="1" applyFont="1" applyBorder="1"/>
    <xf numFmtId="168" fontId="3" fillId="0" borderId="20" xfId="0" applyNumberFormat="1" applyFont="1" applyBorder="1"/>
    <xf numFmtId="168" fontId="3" fillId="0" borderId="98" xfId="0" applyNumberFormat="1" applyFont="1" applyBorder="1" applyAlignment="1">
      <alignment horizontal="center"/>
    </xf>
    <xf numFmtId="168" fontId="3" fillId="7" borderId="17" xfId="0" applyNumberFormat="1" applyFont="1" applyFill="1" applyBorder="1"/>
    <xf numFmtId="170" fontId="3" fillId="10" borderId="17" xfId="0" applyNumberFormat="1" applyFont="1" applyFill="1" applyBorder="1"/>
    <xf numFmtId="170" fontId="18" fillId="0" borderId="113" xfId="0" applyNumberFormat="1" applyFont="1" applyBorder="1"/>
    <xf numFmtId="0" fontId="8" fillId="0" borderId="153" xfId="0" applyFont="1" applyBorder="1"/>
    <xf numFmtId="168" fontId="3" fillId="0" borderId="72" xfId="0" applyNumberFormat="1" applyFont="1" applyBorder="1" applyAlignment="1">
      <alignment horizontal="center"/>
    </xf>
    <xf numFmtId="0" fontId="8" fillId="0" borderId="156" xfId="0" applyFont="1" applyBorder="1"/>
    <xf numFmtId="168" fontId="3" fillId="7" borderId="6" xfId="0" applyNumberFormat="1" applyFont="1" applyFill="1" applyBorder="1"/>
    <xf numFmtId="170" fontId="3" fillId="10" borderId="6" xfId="0" applyNumberFormat="1" applyFont="1" applyFill="1" applyBorder="1"/>
    <xf numFmtId="170" fontId="3" fillId="0" borderId="72" xfId="0" applyNumberFormat="1" applyFont="1" applyBorder="1"/>
    <xf numFmtId="179" fontId="3" fillId="0" borderId="23" xfId="0" applyNumberFormat="1" applyFont="1" applyBorder="1"/>
    <xf numFmtId="0" fontId="3" fillId="0" borderId="157" xfId="0" applyFont="1" applyBorder="1"/>
    <xf numFmtId="168" fontId="3" fillId="0" borderId="3" xfId="0" applyNumberFormat="1" applyFont="1" applyBorder="1"/>
    <xf numFmtId="168" fontId="3" fillId="7" borderId="13" xfId="0" applyNumberFormat="1" applyFont="1" applyFill="1" applyBorder="1"/>
    <xf numFmtId="169" fontId="3" fillId="0" borderId="1" xfId="0" applyNumberFormat="1" applyFont="1" applyBorder="1"/>
    <xf numFmtId="169" fontId="3" fillId="0" borderId="65" xfId="0" applyNumberFormat="1" applyFont="1" applyBorder="1"/>
    <xf numFmtId="171" fontId="3" fillId="7" borderId="23" xfId="0" applyNumberFormat="1" applyFont="1" applyFill="1" applyBorder="1"/>
    <xf numFmtId="39" fontId="3" fillId="0" borderId="23" xfId="0" applyNumberFormat="1" applyFont="1" applyBorder="1"/>
    <xf numFmtId="39" fontId="8" fillId="0" borderId="75" xfId="0" applyNumberFormat="1" applyFont="1" applyBorder="1"/>
    <xf numFmtId="0" fontId="3" fillId="0" borderId="158" xfId="0" applyFont="1" applyBorder="1"/>
    <xf numFmtId="0" fontId="3" fillId="11" borderId="94" xfId="0" applyFont="1" applyFill="1" applyBorder="1"/>
    <xf numFmtId="0" fontId="8" fillId="0" borderId="14" xfId="0" applyFont="1" applyBorder="1"/>
    <xf numFmtId="0" fontId="8" fillId="11" borderId="17" xfId="0" applyFont="1" applyFill="1" applyBorder="1"/>
    <xf numFmtId="168" fontId="8" fillId="0" borderId="14" xfId="0" applyNumberFormat="1" applyFont="1" applyBorder="1"/>
    <xf numFmtId="0" fontId="3" fillId="11" borderId="17" xfId="0" applyFont="1" applyFill="1" applyBorder="1"/>
    <xf numFmtId="169" fontId="8" fillId="0" borderId="159" xfId="0" applyNumberFormat="1" applyFont="1" applyBorder="1"/>
    <xf numFmtId="0" fontId="8" fillId="4" borderId="51" xfId="0" applyFont="1" applyFill="1" applyBorder="1"/>
    <xf numFmtId="2" fontId="3" fillId="0" borderId="23" xfId="0" applyNumberFormat="1" applyFont="1" applyBorder="1"/>
    <xf numFmtId="169" fontId="8" fillId="4" borderId="160" xfId="0" applyNumberFormat="1" applyFont="1" applyFill="1" applyBorder="1"/>
    <xf numFmtId="169" fontId="8" fillId="0" borderId="65" xfId="0" applyNumberFormat="1" applyFont="1" applyBorder="1"/>
    <xf numFmtId="3" fontId="3" fillId="11" borderId="17" xfId="0" applyNumberFormat="1" applyFont="1" applyFill="1" applyBorder="1"/>
    <xf numFmtId="0" fontId="3" fillId="0" borderId="161" xfId="0" applyFont="1" applyBorder="1"/>
    <xf numFmtId="168" fontId="3" fillId="11" borderId="17" xfId="0" applyNumberFormat="1" applyFont="1" applyFill="1" applyBorder="1"/>
    <xf numFmtId="0" fontId="3" fillId="0" borderId="162" xfId="0" applyFont="1" applyBorder="1"/>
    <xf numFmtId="170" fontId="3" fillId="11" borderId="17" xfId="0" applyNumberFormat="1" applyFont="1" applyFill="1" applyBorder="1"/>
    <xf numFmtId="170" fontId="3" fillId="11" borderId="70" xfId="0" applyNumberFormat="1" applyFont="1" applyFill="1" applyBorder="1"/>
    <xf numFmtId="172" fontId="3" fillId="0" borderId="3" xfId="0" applyNumberFormat="1" applyFont="1" applyBorder="1"/>
    <xf numFmtId="0" fontId="3" fillId="0" borderId="163" xfId="0" applyFont="1" applyBorder="1"/>
    <xf numFmtId="177" fontId="8" fillId="4" borderId="82" xfId="0" applyNumberFormat="1" applyFont="1" applyFill="1" applyBorder="1"/>
    <xf numFmtId="177" fontId="8" fillId="4" borderId="164" xfId="0" applyNumberFormat="1" applyFont="1" applyFill="1" applyBorder="1"/>
    <xf numFmtId="167" fontId="3" fillId="0" borderId="1" xfId="0" applyNumberFormat="1" applyFont="1" applyBorder="1"/>
    <xf numFmtId="177" fontId="8" fillId="4" borderId="85" xfId="0" applyNumberFormat="1" applyFont="1" applyFill="1" applyBorder="1"/>
    <xf numFmtId="174" fontId="3" fillId="0" borderId="3" xfId="0" applyNumberFormat="1" applyFont="1" applyBorder="1"/>
    <xf numFmtId="177" fontId="8" fillId="4" borderId="103" xfId="0" applyNumberFormat="1" applyFont="1" applyFill="1" applyBorder="1"/>
    <xf numFmtId="0" fontId="3" fillId="0" borderId="141" xfId="0" applyFont="1" applyBorder="1"/>
    <xf numFmtId="0" fontId="8" fillId="13" borderId="165" xfId="0" applyFont="1" applyFill="1" applyBorder="1"/>
    <xf numFmtId="0" fontId="8" fillId="13" borderId="166" xfId="0" applyFont="1" applyFill="1" applyBorder="1"/>
    <xf numFmtId="2" fontId="8" fillId="0" borderId="159" xfId="0" applyNumberFormat="1" applyFont="1" applyBorder="1"/>
    <xf numFmtId="0" fontId="8" fillId="13" borderId="51" xfId="0" applyFont="1" applyFill="1" applyBorder="1"/>
    <xf numFmtId="168" fontId="8" fillId="13" borderId="52" xfId="0" applyNumberFormat="1" applyFont="1" applyFill="1" applyBorder="1"/>
    <xf numFmtId="168" fontId="23" fillId="13" borderId="166" xfId="0" applyNumberFormat="1" applyFont="1" applyFill="1" applyBorder="1"/>
    <xf numFmtId="172" fontId="8" fillId="13" borderId="52" xfId="0" applyNumberFormat="1" applyFont="1" applyFill="1" applyBorder="1"/>
    <xf numFmtId="167" fontId="8" fillId="13" borderId="160" xfId="0" applyNumberFormat="1" applyFont="1" applyFill="1" applyBorder="1"/>
    <xf numFmtId="170" fontId="23" fillId="13" borderId="166" xfId="0" applyNumberFormat="1" applyFont="1" applyFill="1" applyBorder="1"/>
    <xf numFmtId="177" fontId="23" fillId="13" borderId="166" xfId="0" applyNumberFormat="1" applyFont="1" applyFill="1" applyBorder="1"/>
    <xf numFmtId="177" fontId="23" fillId="13" borderId="169" xfId="0" applyNumberFormat="1" applyFont="1" applyFill="1" applyBorder="1"/>
    <xf numFmtId="0" fontId="23" fillId="0" borderId="0" xfId="0" applyFont="1"/>
    <xf numFmtId="168" fontId="23" fillId="0" borderId="0" xfId="0" applyNumberFormat="1" applyFont="1"/>
    <xf numFmtId="170" fontId="23" fillId="0" borderId="0" xfId="0" applyNumberFormat="1" applyFont="1"/>
    <xf numFmtId="0" fontId="8" fillId="9" borderId="63" xfId="0" applyFont="1" applyFill="1" applyBorder="1"/>
    <xf numFmtId="170" fontId="3" fillId="0" borderId="3" xfId="0" applyNumberFormat="1" applyFont="1" applyBorder="1"/>
    <xf numFmtId="0" fontId="8" fillId="9" borderId="13" xfId="0" applyFont="1" applyFill="1" applyBorder="1"/>
    <xf numFmtId="164" fontId="3" fillId="0" borderId="1" xfId="0" applyNumberFormat="1" applyFont="1" applyBorder="1"/>
    <xf numFmtId="0" fontId="3" fillId="9" borderId="17" xfId="0" applyFont="1" applyFill="1" applyBorder="1"/>
    <xf numFmtId="0" fontId="3" fillId="10" borderId="17" xfId="0" applyFont="1" applyFill="1" applyBorder="1"/>
    <xf numFmtId="0" fontId="3" fillId="9" borderId="6" xfId="0" applyFont="1" applyFill="1" applyBorder="1"/>
    <xf numFmtId="0" fontId="3" fillId="10" borderId="6" xfId="0" applyFont="1" applyFill="1" applyBorder="1"/>
    <xf numFmtId="0" fontId="3" fillId="0" borderId="73" xfId="0" applyFont="1" applyBorder="1"/>
    <xf numFmtId="168" fontId="3" fillId="9" borderId="13" xfId="0" applyNumberFormat="1" applyFont="1" applyFill="1" applyBorder="1"/>
    <xf numFmtId="39" fontId="3" fillId="0" borderId="45" xfId="0" applyNumberFormat="1" applyFont="1" applyBorder="1"/>
    <xf numFmtId="168" fontId="3" fillId="9" borderId="17" xfId="0" applyNumberFormat="1" applyFont="1" applyFill="1" applyBorder="1"/>
    <xf numFmtId="170" fontId="3" fillId="0" borderId="113" xfId="0" applyNumberFormat="1" applyFont="1" applyBorder="1"/>
    <xf numFmtId="168" fontId="3" fillId="9" borderId="6" xfId="0" applyNumberFormat="1" applyFont="1" applyFill="1" applyBorder="1"/>
    <xf numFmtId="170" fontId="3" fillId="0" borderId="73" xfId="0" applyNumberFormat="1" applyFont="1" applyBorder="1"/>
    <xf numFmtId="170" fontId="8" fillId="0" borderId="14" xfId="0" applyNumberFormat="1" applyFont="1" applyBorder="1"/>
    <xf numFmtId="0" fontId="8" fillId="14" borderId="51" xfId="0" applyFont="1" applyFill="1" applyBorder="1"/>
    <xf numFmtId="168" fontId="8" fillId="14" borderId="52" xfId="0" applyNumberFormat="1" applyFont="1" applyFill="1" applyBorder="1"/>
    <xf numFmtId="170" fontId="8" fillId="14" borderId="52" xfId="0" applyNumberFormat="1" applyFont="1" applyFill="1" applyBorder="1"/>
    <xf numFmtId="169" fontId="8" fillId="14" borderId="160" xfId="0" applyNumberFormat="1" applyFont="1" applyFill="1" applyBorder="1"/>
    <xf numFmtId="174" fontId="3" fillId="9" borderId="13" xfId="0" applyNumberFormat="1" applyFont="1" applyFill="1" applyBorder="1"/>
    <xf numFmtId="0" fontId="3" fillId="4" borderId="170" xfId="0" applyFont="1" applyFill="1" applyBorder="1"/>
    <xf numFmtId="177" fontId="3" fillId="10" borderId="13" xfId="0" applyNumberFormat="1" applyFont="1" applyFill="1" applyBorder="1"/>
    <xf numFmtId="181" fontId="3" fillId="0" borderId="45" xfId="0" applyNumberFormat="1" applyFont="1" applyBorder="1"/>
    <xf numFmtId="181" fontId="3" fillId="0" borderId="95" xfId="0" applyNumberFormat="1" applyFont="1" applyBorder="1"/>
    <xf numFmtId="170" fontId="3" fillId="9" borderId="13" xfId="0" applyNumberFormat="1" applyFont="1" applyFill="1" applyBorder="1" applyAlignment="1">
      <alignment horizontal="right"/>
    </xf>
    <xf numFmtId="170" fontId="12" fillId="9" borderId="13" xfId="0" applyNumberFormat="1" applyFont="1" applyFill="1" applyBorder="1" applyAlignment="1">
      <alignment horizontal="right"/>
    </xf>
    <xf numFmtId="168" fontId="3" fillId="10" borderId="13" xfId="0" applyNumberFormat="1" applyFont="1" applyFill="1" applyBorder="1"/>
    <xf numFmtId="2" fontId="3" fillId="0" borderId="45" xfId="0" applyNumberFormat="1" applyFont="1" applyBorder="1"/>
    <xf numFmtId="0" fontId="3" fillId="0" borderId="72" xfId="0" applyFont="1" applyBorder="1" applyAlignment="1">
      <alignment horizontal="center"/>
    </xf>
    <xf numFmtId="170" fontId="3" fillId="9" borderId="13" xfId="0" applyNumberFormat="1" applyFont="1" applyFill="1" applyBorder="1"/>
    <xf numFmtId="0" fontId="3" fillId="11" borderId="171" xfId="0" applyFont="1" applyFill="1" applyBorder="1"/>
    <xf numFmtId="0" fontId="3" fillId="11" borderId="85" xfId="0" applyFont="1" applyFill="1" applyBorder="1"/>
    <xf numFmtId="168" fontId="8" fillId="11" borderId="85" xfId="0" applyNumberFormat="1" applyFont="1" applyFill="1" applyBorder="1"/>
    <xf numFmtId="168" fontId="3" fillId="11" borderId="85" xfId="0" applyNumberFormat="1" applyFont="1" applyFill="1" applyBorder="1"/>
    <xf numFmtId="170" fontId="3" fillId="11" borderId="85" xfId="0" applyNumberFormat="1" applyFont="1" applyFill="1" applyBorder="1"/>
    <xf numFmtId="170" fontId="3" fillId="11" borderId="103" xfId="0" applyNumberFormat="1" applyFont="1" applyFill="1" applyBorder="1"/>
    <xf numFmtId="0" fontId="3" fillId="0" borderId="71" xfId="0" applyFont="1" applyBorder="1"/>
    <xf numFmtId="0" fontId="3" fillId="0" borderId="156" xfId="0" applyFont="1" applyBorder="1"/>
    <xf numFmtId="168" fontId="8" fillId="0" borderId="156" xfId="0" applyNumberFormat="1" applyFont="1" applyBorder="1"/>
    <xf numFmtId="168" fontId="3" fillId="0" borderId="156" xfId="0" applyNumberFormat="1" applyFont="1" applyBorder="1"/>
    <xf numFmtId="0" fontId="8" fillId="4" borderId="172" xfId="0" applyFont="1" applyFill="1" applyBorder="1"/>
    <xf numFmtId="0" fontId="8" fillId="4" borderId="136" xfId="0" applyFont="1" applyFill="1" applyBorder="1"/>
    <xf numFmtId="168" fontId="8" fillId="4" borderId="136" xfId="0" applyNumberFormat="1" applyFont="1" applyFill="1" applyBorder="1"/>
    <xf numFmtId="170" fontId="8" fillId="4" borderId="85" xfId="0" applyNumberFormat="1" applyFont="1" applyFill="1" applyBorder="1"/>
    <xf numFmtId="174" fontId="8" fillId="4" borderId="85" xfId="0" applyNumberFormat="1" applyFont="1" applyFill="1" applyBorder="1"/>
    <xf numFmtId="174" fontId="8" fillId="4" borderId="103" xfId="0" applyNumberFormat="1" applyFont="1" applyFill="1" applyBorder="1"/>
    <xf numFmtId="0" fontId="3" fillId="0" borderId="173" xfId="0" applyFont="1" applyBorder="1"/>
    <xf numFmtId="0" fontId="3" fillId="0" borderId="174" xfId="0" applyFont="1" applyBorder="1"/>
    <xf numFmtId="0" fontId="3" fillId="0" borderId="175" xfId="0" applyFont="1" applyBorder="1"/>
    <xf numFmtId="0" fontId="13" fillId="0" borderId="0" xfId="0" applyFont="1"/>
    <xf numFmtId="0" fontId="8" fillId="0" borderId="97" xfId="0" applyFont="1" applyBorder="1"/>
    <xf numFmtId="0" fontId="8" fillId="0" borderId="98" xfId="0" applyFont="1" applyBorder="1"/>
    <xf numFmtId="0" fontId="8" fillId="0" borderId="113" xfId="0" applyFont="1" applyBorder="1"/>
    <xf numFmtId="0" fontId="8" fillId="0" borderId="176" xfId="0" applyFont="1" applyBorder="1"/>
    <xf numFmtId="0" fontId="3" fillId="0" borderId="177" xfId="0" applyFont="1" applyBorder="1"/>
    <xf numFmtId="168" fontId="3" fillId="0" borderId="178" xfId="0" applyNumberFormat="1" applyFont="1" applyBorder="1"/>
    <xf numFmtId="2" fontId="3" fillId="0" borderId="178" xfId="0" applyNumberFormat="1" applyFont="1" applyBorder="1"/>
    <xf numFmtId="2" fontId="3" fillId="0" borderId="179" xfId="0" applyNumberFormat="1" applyFont="1" applyBorder="1"/>
    <xf numFmtId="2" fontId="3" fillId="0" borderId="3" xfId="0" applyNumberFormat="1" applyFont="1" applyBorder="1"/>
    <xf numFmtId="2" fontId="3" fillId="0" borderId="118" xfId="0" applyNumberFormat="1" applyFont="1" applyBorder="1"/>
    <xf numFmtId="2" fontId="8" fillId="0" borderId="14" xfId="0" applyNumberFormat="1" applyFont="1" applyBorder="1"/>
    <xf numFmtId="2" fontId="8" fillId="0" borderId="180" xfId="0" applyNumberFormat="1" applyFont="1" applyBorder="1"/>
    <xf numFmtId="0" fontId="8" fillId="7" borderId="181" xfId="0" applyFont="1" applyFill="1" applyBorder="1"/>
    <xf numFmtId="0" fontId="3" fillId="4" borderId="52" xfId="0" applyFont="1" applyFill="1" applyBorder="1"/>
    <xf numFmtId="0" fontId="3" fillId="7" borderId="164" xfId="0" applyFont="1" applyFill="1" applyBorder="1"/>
    <xf numFmtId="0" fontId="3" fillId="7" borderId="110" xfId="0" applyFont="1" applyFill="1" applyBorder="1"/>
    <xf numFmtId="2" fontId="8" fillId="4" borderId="52" xfId="0" applyNumberFormat="1" applyFont="1" applyFill="1" applyBorder="1"/>
    <xf numFmtId="0" fontId="8" fillId="0" borderId="49" xfId="0" applyFont="1" applyBorder="1"/>
    <xf numFmtId="2" fontId="8" fillId="4" borderId="57" xfId="0" applyNumberFormat="1" applyFont="1" applyFill="1" applyBorder="1"/>
    <xf numFmtId="0" fontId="8" fillId="0" borderId="182" xfId="0" applyFont="1" applyBorder="1"/>
    <xf numFmtId="0" fontId="8" fillId="0" borderId="10" xfId="0" applyFont="1" applyBorder="1"/>
    <xf numFmtId="0" fontId="8" fillId="0" borderId="50" xfId="0" applyFont="1" applyBorder="1"/>
    <xf numFmtId="0" fontId="3" fillId="0" borderId="183" xfId="0" applyFont="1" applyBorder="1"/>
    <xf numFmtId="0" fontId="3" fillId="0" borderId="53" xfId="0" applyFont="1" applyBorder="1" applyAlignment="1">
      <alignment horizontal="left"/>
    </xf>
    <xf numFmtId="3" fontId="3" fillId="0" borderId="3" xfId="0" applyNumberFormat="1" applyFont="1" applyBorder="1" applyAlignment="1">
      <alignment horizontal="right"/>
    </xf>
    <xf numFmtId="3" fontId="3" fillId="0" borderId="3" xfId="0" applyNumberFormat="1" applyFont="1" applyBorder="1"/>
    <xf numFmtId="3" fontId="3" fillId="0" borderId="1" xfId="0" applyNumberFormat="1" applyFont="1" applyBorder="1"/>
    <xf numFmtId="3" fontId="3" fillId="0" borderId="183" xfId="0" applyNumberFormat="1" applyFont="1" applyBorder="1" applyAlignment="1">
      <alignment horizontal="right"/>
    </xf>
    <xf numFmtId="3" fontId="3" fillId="0" borderId="183" xfId="0" applyNumberFormat="1" applyFont="1" applyBorder="1"/>
    <xf numFmtId="0" fontId="10" fillId="0" borderId="21" xfId="0" applyFont="1" applyBorder="1"/>
    <xf numFmtId="168" fontId="3" fillId="0" borderId="54" xfId="0" applyNumberFormat="1" applyFont="1" applyBorder="1"/>
    <xf numFmtId="0" fontId="21" fillId="0" borderId="22" xfId="0" applyFont="1" applyBorder="1" applyAlignment="1">
      <alignment horizontal="center"/>
    </xf>
    <xf numFmtId="0" fontId="8" fillId="0" borderId="22" xfId="0" applyFont="1" applyBorder="1" applyAlignment="1">
      <alignment horizontal="center"/>
    </xf>
    <xf numFmtId="0" fontId="8" fillId="0" borderId="25" xfId="0" applyFont="1" applyBorder="1" applyAlignment="1">
      <alignment horizontal="center"/>
    </xf>
    <xf numFmtId="0" fontId="3" fillId="0" borderId="55" xfId="0" applyFont="1" applyBorder="1" applyAlignment="1">
      <alignment horizontal="left"/>
    </xf>
    <xf numFmtId="3" fontId="3" fillId="0" borderId="56" xfId="0" applyNumberFormat="1" applyFont="1" applyBorder="1" applyAlignment="1">
      <alignment horizontal="right"/>
    </xf>
    <xf numFmtId="3" fontId="3" fillId="0" borderId="56" xfId="0" applyNumberFormat="1" applyFont="1" applyBorder="1"/>
    <xf numFmtId="3" fontId="3" fillId="0" borderId="154" xfId="0" applyNumberFormat="1" applyFont="1" applyBorder="1"/>
    <xf numFmtId="3" fontId="3" fillId="0" borderId="184" xfId="0" applyNumberFormat="1" applyFont="1" applyBorder="1" applyAlignment="1">
      <alignment horizontal="right"/>
    </xf>
    <xf numFmtId="3" fontId="3" fillId="0" borderId="184" xfId="0" applyNumberFormat="1" applyFont="1" applyBorder="1"/>
    <xf numFmtId="168" fontId="3" fillId="0" borderId="58" xfId="0" applyNumberFormat="1" applyFont="1" applyBorder="1"/>
    <xf numFmtId="0" fontId="21" fillId="0" borderId="177" xfId="0" applyFont="1" applyBorder="1"/>
    <xf numFmtId="0" fontId="21" fillId="0" borderId="178" xfId="0" applyFont="1" applyBorder="1" applyAlignment="1">
      <alignment horizontal="center"/>
    </xf>
    <xf numFmtId="0" fontId="8" fillId="0" borderId="178" xfId="0" applyFont="1" applyBorder="1" applyAlignment="1">
      <alignment horizontal="center"/>
    </xf>
    <xf numFmtId="0" fontId="8" fillId="0" borderId="179" xfId="0" applyFont="1" applyBorder="1" applyAlignment="1">
      <alignment horizontal="center"/>
    </xf>
    <xf numFmtId="0" fontId="20" fillId="0" borderId="0" xfId="0" applyFont="1"/>
    <xf numFmtId="0" fontId="8" fillId="7" borderId="110" xfId="0" applyFont="1" applyFill="1" applyBorder="1"/>
    <xf numFmtId="0" fontId="10" fillId="0" borderId="157" xfId="0" applyFont="1" applyBorder="1"/>
    <xf numFmtId="3" fontId="3" fillId="0" borderId="54" xfId="0" applyNumberFormat="1" applyFont="1" applyBorder="1"/>
    <xf numFmtId="168" fontId="10" fillId="0" borderId="3" xfId="0" applyNumberFormat="1" applyFont="1" applyBorder="1"/>
    <xf numFmtId="170" fontId="10" fillId="0" borderId="3" xfId="0" applyNumberFormat="1" applyFont="1" applyBorder="1"/>
    <xf numFmtId="169" fontId="3" fillId="0" borderId="118" xfId="0" applyNumberFormat="1" applyFont="1" applyBorder="1"/>
    <xf numFmtId="0" fontId="3" fillId="0" borderId="185" xfId="0" applyFont="1" applyBorder="1"/>
    <xf numFmtId="0" fontId="3" fillId="0" borderId="14" xfId="0" applyFont="1" applyBorder="1"/>
    <xf numFmtId="3" fontId="3" fillId="0" borderId="14" xfId="0" applyNumberFormat="1" applyFont="1" applyBorder="1"/>
    <xf numFmtId="3" fontId="3" fillId="0" borderId="159" xfId="0" applyNumberFormat="1" applyFont="1" applyBorder="1"/>
    <xf numFmtId="0" fontId="3" fillId="4" borderId="186" xfId="0" applyFont="1" applyFill="1" applyBorder="1"/>
    <xf numFmtId="3" fontId="3" fillId="4" borderId="52" xfId="0" applyNumberFormat="1" applyFont="1" applyFill="1" applyBorder="1"/>
    <xf numFmtId="168" fontId="3" fillId="4" borderId="52" xfId="0" applyNumberFormat="1" applyFont="1" applyFill="1" applyBorder="1"/>
    <xf numFmtId="3" fontId="3" fillId="4" borderId="160" xfId="0" applyNumberFormat="1" applyFont="1" applyFill="1" applyBorder="1"/>
    <xf numFmtId="3" fontId="3" fillId="4" borderId="56" xfId="0" applyNumberFormat="1" applyFont="1" applyFill="1" applyBorder="1"/>
    <xf numFmtId="3" fontId="3" fillId="4" borderId="3" xfId="0" applyNumberFormat="1" applyFont="1" applyFill="1" applyBorder="1"/>
    <xf numFmtId="3" fontId="3" fillId="4" borderId="58" xfId="0" applyNumberFormat="1" applyFont="1" applyFill="1" applyBorder="1"/>
    <xf numFmtId="3" fontId="3" fillId="0" borderId="0" xfId="0" applyNumberFormat="1" applyFont="1"/>
    <xf numFmtId="0" fontId="18" fillId="0" borderId="0" xfId="0" applyFont="1"/>
    <xf numFmtId="0" fontId="8" fillId="0" borderId="11" xfId="0" applyFont="1" applyBorder="1"/>
    <xf numFmtId="0" fontId="10" fillId="12" borderId="187" xfId="0" applyFont="1" applyFill="1" applyBorder="1"/>
    <xf numFmtId="0" fontId="8" fillId="18" borderId="55" xfId="0" applyFont="1" applyFill="1" applyBorder="1"/>
    <xf numFmtId="0" fontId="10" fillId="12" borderId="188" xfId="0" applyFont="1" applyFill="1" applyBorder="1"/>
    <xf numFmtId="168" fontId="3" fillId="18" borderId="189" xfId="0" applyNumberFormat="1" applyFont="1" applyFill="1" applyBorder="1"/>
    <xf numFmtId="170" fontId="21" fillId="12" borderId="188" xfId="0" applyNumberFormat="1" applyFont="1" applyFill="1" applyBorder="1"/>
    <xf numFmtId="0" fontId="8" fillId="4" borderId="188" xfId="0" applyFont="1" applyFill="1" applyBorder="1" applyAlignment="1">
      <alignment horizontal="center"/>
    </xf>
    <xf numFmtId="169" fontId="21" fillId="4" borderId="190" xfId="0" applyNumberFormat="1" applyFont="1" applyFill="1" applyBorder="1"/>
    <xf numFmtId="0" fontId="8" fillId="7" borderId="164" xfId="0" applyFont="1" applyFill="1" applyBorder="1"/>
    <xf numFmtId="0" fontId="8" fillId="10" borderId="55" xfId="0" applyFont="1" applyFill="1" applyBorder="1" applyAlignment="1">
      <alignment wrapText="1"/>
    </xf>
    <xf numFmtId="0" fontId="3" fillId="0" borderId="191" xfId="0" applyFont="1" applyBorder="1"/>
    <xf numFmtId="168" fontId="3" fillId="10" borderId="56" xfId="0" applyNumberFormat="1" applyFont="1" applyFill="1" applyBorder="1"/>
    <xf numFmtId="0" fontId="21" fillId="0" borderId="162" xfId="0" applyFont="1" applyBorder="1" applyAlignment="1">
      <alignment horizontal="center"/>
    </xf>
    <xf numFmtId="0" fontId="8" fillId="0" borderId="162" xfId="0" applyFont="1" applyBorder="1" applyAlignment="1">
      <alignment horizontal="center"/>
    </xf>
    <xf numFmtId="0" fontId="8" fillId="0" borderId="192" xfId="0" applyFont="1" applyBorder="1" applyAlignment="1">
      <alignment horizontal="center"/>
    </xf>
    <xf numFmtId="0" fontId="8" fillId="0" borderId="193" xfId="0" applyFont="1" applyBorder="1"/>
    <xf numFmtId="0" fontId="21" fillId="0" borderId="151" xfId="0" applyFont="1" applyBorder="1" applyAlignment="1">
      <alignment horizontal="center"/>
    </xf>
    <xf numFmtId="0" fontId="8" fillId="0" borderId="151" xfId="0" applyFont="1" applyBorder="1" applyAlignment="1">
      <alignment horizontal="center"/>
    </xf>
    <xf numFmtId="0" fontId="8" fillId="0" borderId="194" xfId="0" applyFont="1" applyBorder="1" applyAlignment="1">
      <alignment horizontal="center"/>
    </xf>
    <xf numFmtId="0" fontId="17" fillId="7" borderId="110" xfId="0" applyFont="1" applyFill="1" applyBorder="1"/>
    <xf numFmtId="167" fontId="10" fillId="0" borderId="3" xfId="0" applyNumberFormat="1" applyFont="1" applyBorder="1"/>
    <xf numFmtId="0" fontId="16" fillId="0" borderId="0" xfId="0" applyFont="1"/>
    <xf numFmtId="170" fontId="3" fillId="0" borderId="118" xfId="0" applyNumberFormat="1" applyFont="1" applyBorder="1"/>
    <xf numFmtId="168" fontId="3" fillId="0" borderId="53" xfId="0" applyNumberFormat="1" applyFont="1" applyBorder="1"/>
    <xf numFmtId="168" fontId="3" fillId="0" borderId="14" xfId="0" applyNumberFormat="1" applyFont="1" applyBorder="1"/>
    <xf numFmtId="0" fontId="8" fillId="19" borderId="186" xfId="0" applyFont="1" applyFill="1" applyBorder="1" applyAlignment="1">
      <alignment wrapText="1"/>
    </xf>
    <xf numFmtId="168" fontId="3" fillId="19" borderId="52" xfId="0" applyNumberFormat="1" applyFont="1" applyFill="1" applyBorder="1"/>
    <xf numFmtId="168" fontId="3" fillId="19" borderId="195" xfId="0" applyNumberFormat="1" applyFont="1" applyFill="1" applyBorder="1"/>
    <xf numFmtId="3" fontId="3" fillId="19" borderId="52" xfId="0" applyNumberFormat="1" applyFont="1" applyFill="1" applyBorder="1"/>
    <xf numFmtId="3" fontId="3" fillId="19" borderId="160" xfId="0" applyNumberFormat="1" applyFont="1" applyFill="1" applyBorder="1"/>
    <xf numFmtId="0" fontId="3" fillId="12" borderId="187" xfId="0" applyFont="1" applyFill="1" applyBorder="1"/>
    <xf numFmtId="168" fontId="3" fillId="19" borderId="56" xfId="0" applyNumberFormat="1" applyFont="1" applyFill="1" applyBorder="1"/>
    <xf numFmtId="168" fontId="3" fillId="19" borderId="58" xfId="0" applyNumberFormat="1" applyFont="1" applyFill="1" applyBorder="1"/>
    <xf numFmtId="177" fontId="21" fillId="4" borderId="190" xfId="0" applyNumberFormat="1" applyFont="1" applyFill="1" applyBorder="1"/>
    <xf numFmtId="0" fontId="8" fillId="6" borderId="186" xfId="0" applyFont="1" applyFill="1" applyBorder="1" applyAlignment="1">
      <alignment wrapText="1"/>
    </xf>
    <xf numFmtId="169" fontId="21" fillId="0" borderId="0" xfId="0" applyNumberFormat="1" applyFont="1"/>
    <xf numFmtId="170" fontId="3" fillId="6" borderId="52" xfId="0" applyNumberFormat="1" applyFont="1" applyFill="1" applyBorder="1"/>
    <xf numFmtId="168" fontId="3" fillId="6" borderId="52" xfId="0" applyNumberFormat="1" applyFont="1" applyFill="1" applyBorder="1"/>
    <xf numFmtId="0" fontId="3" fillId="0" borderId="87" xfId="0" applyFont="1" applyBorder="1"/>
    <xf numFmtId="0" fontId="3" fillId="0" borderId="88" xfId="0" applyFont="1" applyBorder="1"/>
    <xf numFmtId="0" fontId="8" fillId="0" borderId="196" xfId="0" applyFont="1" applyBorder="1" applyAlignment="1">
      <alignment horizontal="center"/>
    </xf>
    <xf numFmtId="0" fontId="8" fillId="0" borderId="88" xfId="0" applyFont="1" applyBorder="1" applyAlignment="1">
      <alignment horizontal="center"/>
    </xf>
    <xf numFmtId="0" fontId="8" fillId="0" borderId="90" xfId="0" applyFont="1" applyBorder="1" applyAlignment="1">
      <alignment horizontal="center"/>
    </xf>
    <xf numFmtId="0" fontId="21" fillId="0" borderId="45" xfId="0" applyFont="1" applyBorder="1" applyAlignment="1">
      <alignment horizontal="center"/>
    </xf>
    <xf numFmtId="0" fontId="8" fillId="0" borderId="16" xfId="0" applyFont="1" applyBorder="1" applyAlignment="1">
      <alignment horizontal="center"/>
    </xf>
    <xf numFmtId="0" fontId="8" fillId="0" borderId="45" xfId="0" applyFont="1" applyBorder="1" applyAlignment="1">
      <alignment horizontal="center"/>
    </xf>
    <xf numFmtId="0" fontId="8" fillId="0" borderId="95" xfId="0" applyFont="1" applyBorder="1" applyAlignment="1">
      <alignment horizontal="center"/>
    </xf>
    <xf numFmtId="0" fontId="8" fillId="0" borderId="197" xfId="0" applyFont="1" applyBorder="1"/>
    <xf numFmtId="0" fontId="3" fillId="7" borderId="198" xfId="0" applyFont="1" applyFill="1" applyBorder="1"/>
    <xf numFmtId="0" fontId="8" fillId="20" borderId="55" xfId="0" applyFont="1" applyFill="1" applyBorder="1" applyAlignment="1">
      <alignment wrapText="1"/>
    </xf>
    <xf numFmtId="0" fontId="3" fillId="7" borderId="199" xfId="0" applyFont="1" applyFill="1" applyBorder="1"/>
    <xf numFmtId="0" fontId="8" fillId="0" borderId="143" xfId="0" applyFont="1" applyBorder="1"/>
    <xf numFmtId="0" fontId="21" fillId="0" borderId="98" xfId="0" applyFont="1" applyBorder="1" applyAlignment="1">
      <alignment horizontal="center"/>
    </xf>
    <xf numFmtId="0" fontId="3" fillId="0" borderId="192" xfId="0" applyFont="1" applyBorder="1"/>
    <xf numFmtId="168" fontId="3" fillId="0" borderId="189" xfId="0" applyNumberFormat="1" applyFont="1" applyBorder="1"/>
    <xf numFmtId="0" fontId="3" fillId="7" borderId="4" xfId="0" applyFont="1" applyFill="1" applyBorder="1"/>
    <xf numFmtId="168" fontId="10" fillId="0" borderId="49" xfId="0" applyNumberFormat="1" applyFont="1" applyBorder="1"/>
    <xf numFmtId="0" fontId="3" fillId="0" borderId="37" xfId="0" applyFont="1" applyBorder="1"/>
    <xf numFmtId="0" fontId="3" fillId="0" borderId="21" xfId="0" applyFont="1" applyBorder="1"/>
    <xf numFmtId="0" fontId="8" fillId="0" borderId="39" xfId="0" applyFont="1" applyBorder="1" applyAlignment="1">
      <alignment horizontal="center"/>
    </xf>
    <xf numFmtId="0" fontId="8" fillId="0" borderId="41" xfId="0" applyFont="1" applyBorder="1" applyAlignment="1">
      <alignment horizontal="center"/>
    </xf>
    <xf numFmtId="169" fontId="3" fillId="0" borderId="49" xfId="0" applyNumberFormat="1" applyFont="1" applyBorder="1" applyAlignment="1">
      <alignment horizontal="center"/>
    </xf>
    <xf numFmtId="168" fontId="3" fillId="0" borderId="200" xfId="0" applyNumberFormat="1" applyFont="1" applyBorder="1"/>
    <xf numFmtId="0" fontId="8" fillId="0" borderId="28" xfId="0" applyFont="1" applyBorder="1" applyAlignment="1">
      <alignment horizontal="center"/>
    </xf>
    <xf numFmtId="0" fontId="8" fillId="0" borderId="31" xfId="0" applyFont="1" applyBorder="1" applyAlignment="1">
      <alignment horizontal="center"/>
    </xf>
    <xf numFmtId="0" fontId="8" fillId="0" borderId="157" xfId="0" applyFont="1" applyBorder="1"/>
    <xf numFmtId="0" fontId="8" fillId="0" borderId="33" xfId="0" applyFont="1" applyBorder="1" applyAlignment="1">
      <alignment horizontal="center"/>
    </xf>
    <xf numFmtId="0" fontId="8" fillId="12" borderId="4" xfId="0" applyFont="1" applyFill="1" applyBorder="1"/>
    <xf numFmtId="174" fontId="3" fillId="0" borderId="201" xfId="0" applyNumberFormat="1" applyFont="1" applyBorder="1" applyAlignment="1">
      <alignment horizontal="right"/>
    </xf>
    <xf numFmtId="0" fontId="8" fillId="0" borderId="36" xfId="0" applyFont="1" applyBorder="1" applyAlignment="1">
      <alignment horizontal="center"/>
    </xf>
    <xf numFmtId="182" fontId="3" fillId="0" borderId="178" xfId="0" applyNumberFormat="1" applyFont="1" applyBorder="1"/>
    <xf numFmtId="182" fontId="3" fillId="0" borderId="3" xfId="0" applyNumberFormat="1" applyFont="1" applyBorder="1"/>
    <xf numFmtId="169" fontId="3" fillId="0" borderId="3" xfId="0" applyNumberFormat="1" applyFont="1" applyBorder="1" applyAlignment="1">
      <alignment horizontal="center"/>
    </xf>
    <xf numFmtId="170" fontId="3" fillId="0" borderId="178" xfId="0" applyNumberFormat="1" applyFont="1" applyBorder="1"/>
    <xf numFmtId="174" fontId="3" fillId="0" borderId="118" xfId="0" applyNumberFormat="1" applyFont="1" applyBorder="1" applyAlignment="1">
      <alignment horizontal="right"/>
    </xf>
    <xf numFmtId="169" fontId="3" fillId="0" borderId="201" xfId="0" applyNumberFormat="1" applyFont="1" applyBorder="1"/>
    <xf numFmtId="3" fontId="3" fillId="0" borderId="0" xfId="0" applyNumberFormat="1" applyFont="1" applyAlignment="1">
      <alignment horizontal="center"/>
    </xf>
    <xf numFmtId="0" fontId="3" fillId="0" borderId="0" xfId="0" applyFont="1" applyAlignment="1">
      <alignment horizontal="center"/>
    </xf>
    <xf numFmtId="179" fontId="3" fillId="0" borderId="0" xfId="0" applyNumberFormat="1" applyFont="1"/>
    <xf numFmtId="183" fontId="3" fillId="0" borderId="118" xfId="0" applyNumberFormat="1" applyFont="1" applyBorder="1"/>
    <xf numFmtId="0" fontId="8" fillId="4" borderId="48" xfId="0" applyFont="1" applyFill="1" applyBorder="1"/>
    <xf numFmtId="0" fontId="8" fillId="4" borderId="49" xfId="0" applyFont="1" applyFill="1" applyBorder="1"/>
    <xf numFmtId="0" fontId="8" fillId="4" borderId="202" xfId="0" applyFont="1" applyFill="1" applyBorder="1"/>
    <xf numFmtId="0" fontId="8" fillId="4" borderId="40" xfId="0" applyFont="1" applyFill="1" applyBorder="1"/>
    <xf numFmtId="0" fontId="8" fillId="4" borderId="100" xfId="0" applyFont="1" applyFill="1" applyBorder="1"/>
    <xf numFmtId="0" fontId="3" fillId="12" borderId="188" xfId="0" applyFont="1" applyFill="1" applyBorder="1"/>
    <xf numFmtId="0" fontId="8" fillId="21" borderId="53" xfId="0" applyFont="1" applyFill="1" applyBorder="1" applyAlignment="1">
      <alignment wrapText="1"/>
    </xf>
    <xf numFmtId="165" fontId="8" fillId="0" borderId="3" xfId="0" applyNumberFormat="1" applyFont="1" applyBorder="1" applyAlignment="1">
      <alignment horizontal="right"/>
    </xf>
    <xf numFmtId="165" fontId="8" fillId="0" borderId="1" xfId="0" applyNumberFormat="1" applyFont="1" applyBorder="1"/>
    <xf numFmtId="182" fontId="3" fillId="0" borderId="14" xfId="0" applyNumberFormat="1" applyFont="1" applyBorder="1"/>
    <xf numFmtId="170" fontId="3" fillId="0" borderId="14" xfId="0" applyNumberFormat="1" applyFont="1" applyBorder="1"/>
    <xf numFmtId="165" fontId="8" fillId="0" borderId="127" xfId="0" applyNumberFormat="1" applyFont="1" applyBorder="1"/>
    <xf numFmtId="169" fontId="3" fillId="0" borderId="203" xfId="0" applyNumberFormat="1" applyFont="1" applyBorder="1"/>
    <xf numFmtId="169" fontId="8" fillId="12" borderId="188" xfId="0" applyNumberFormat="1" applyFont="1" applyFill="1" applyBorder="1" applyAlignment="1">
      <alignment horizontal="center"/>
    </xf>
    <xf numFmtId="0" fontId="3" fillId="0" borderId="204" xfId="0" applyFont="1" applyBorder="1"/>
    <xf numFmtId="0" fontId="8" fillId="0" borderId="85" xfId="0" applyFont="1" applyBorder="1" applyAlignment="1">
      <alignment horizontal="center"/>
    </xf>
    <xf numFmtId="0" fontId="3" fillId="0" borderId="124" xfId="0" applyFont="1" applyBorder="1"/>
    <xf numFmtId="169" fontId="8" fillId="12" borderId="190" xfId="0" applyNumberFormat="1" applyFont="1" applyFill="1" applyBorder="1"/>
    <xf numFmtId="169" fontId="8" fillId="0" borderId="103" xfId="0" applyNumberFormat="1" applyFont="1" applyBorder="1"/>
    <xf numFmtId="0" fontId="3" fillId="0" borderId="205" xfId="0" applyFont="1" applyBorder="1"/>
    <xf numFmtId="183" fontId="8" fillId="0" borderId="190" xfId="0" applyNumberFormat="1" applyFont="1" applyBorder="1"/>
    <xf numFmtId="0" fontId="10" fillId="7" borderId="4" xfId="0" applyFont="1" applyFill="1" applyBorder="1"/>
    <xf numFmtId="2" fontId="8" fillId="0" borderId="3" xfId="0" applyNumberFormat="1" applyFont="1" applyBorder="1"/>
    <xf numFmtId="0" fontId="3" fillId="22" borderId="3" xfId="0" applyFont="1" applyFill="1" applyBorder="1"/>
    <xf numFmtId="170" fontId="8" fillId="0" borderId="3" xfId="0" applyNumberFormat="1" applyFont="1" applyBorder="1"/>
    <xf numFmtId="2" fontId="8" fillId="0" borderId="1" xfId="0" applyNumberFormat="1" applyFont="1" applyBorder="1"/>
    <xf numFmtId="0" fontId="3" fillId="0" borderId="206" xfId="0" applyFont="1" applyBorder="1"/>
    <xf numFmtId="0" fontId="3" fillId="22" borderId="35" xfId="0" applyFont="1" applyFill="1" applyBorder="1"/>
    <xf numFmtId="167" fontId="3" fillId="0" borderId="178" xfId="0" applyNumberFormat="1" applyFont="1" applyBorder="1"/>
    <xf numFmtId="172" fontId="3" fillId="0" borderId="178" xfId="0" applyNumberFormat="1" applyFont="1" applyBorder="1"/>
    <xf numFmtId="168" fontId="3" fillId="0" borderId="1" xfId="0" applyNumberFormat="1" applyFont="1" applyBorder="1"/>
    <xf numFmtId="168" fontId="8" fillId="0" borderId="127" xfId="0" applyNumberFormat="1" applyFont="1" applyBorder="1"/>
    <xf numFmtId="0" fontId="8" fillId="0" borderId="163" xfId="0" applyFont="1" applyBorder="1" applyAlignment="1">
      <alignment horizontal="center"/>
    </xf>
    <xf numFmtId="167" fontId="3" fillId="0" borderId="3" xfId="0" applyNumberFormat="1" applyFont="1" applyBorder="1"/>
    <xf numFmtId="0" fontId="3" fillId="22" borderId="207" xfId="0" applyFont="1" applyFill="1" applyBorder="1"/>
    <xf numFmtId="170" fontId="3" fillId="0" borderId="159" xfId="0" applyNumberFormat="1" applyFont="1" applyBorder="1"/>
    <xf numFmtId="174" fontId="3" fillId="0" borderId="118" xfId="0" applyNumberFormat="1" applyFont="1" applyBorder="1" applyAlignment="1">
      <alignment horizontal="center"/>
    </xf>
    <xf numFmtId="184" fontId="3" fillId="0" borderId="132" xfId="0" applyNumberFormat="1" applyFont="1" applyBorder="1"/>
    <xf numFmtId="168" fontId="3" fillId="0" borderId="0" xfId="0" applyNumberFormat="1" applyFont="1" applyAlignment="1">
      <alignment horizontal="center"/>
    </xf>
    <xf numFmtId="0" fontId="8" fillId="0" borderId="208" xfId="0" applyFont="1" applyBorder="1" applyAlignment="1">
      <alignment horizontal="center"/>
    </xf>
    <xf numFmtId="169" fontId="8" fillId="0" borderId="209" xfId="0" applyNumberFormat="1" applyFont="1" applyBorder="1"/>
    <xf numFmtId="179" fontId="8" fillId="0" borderId="0" xfId="0" applyNumberFormat="1" applyFont="1"/>
    <xf numFmtId="169" fontId="8" fillId="0" borderId="0" xfId="0" applyNumberFormat="1" applyFont="1"/>
    <xf numFmtId="167" fontId="3" fillId="0" borderId="14" xfId="0" applyNumberFormat="1" applyFont="1" applyBorder="1"/>
    <xf numFmtId="0" fontId="8" fillId="6" borderId="55" xfId="0" applyFont="1" applyFill="1" applyBorder="1" applyAlignment="1">
      <alignment wrapText="1"/>
    </xf>
    <xf numFmtId="174" fontId="3" fillId="0" borderId="14" xfId="0" applyNumberFormat="1" applyFont="1" applyBorder="1"/>
    <xf numFmtId="174" fontId="3" fillId="0" borderId="180" xfId="0" applyNumberFormat="1" applyFont="1" applyBorder="1" applyAlignment="1">
      <alignment horizontal="center"/>
    </xf>
    <xf numFmtId="170" fontId="3" fillId="6" borderId="56" xfId="0" applyNumberFormat="1" applyFont="1" applyFill="1" applyBorder="1"/>
    <xf numFmtId="0" fontId="8" fillId="0" borderId="72" xfId="0" applyFont="1" applyBorder="1" applyAlignment="1">
      <alignment horizontal="center"/>
    </xf>
    <xf numFmtId="0" fontId="3" fillId="0" borderId="210" xfId="0" applyFont="1" applyBorder="1"/>
    <xf numFmtId="0" fontId="8" fillId="0" borderId="73" xfId="0" applyFont="1" applyBorder="1" applyAlignment="1">
      <alignment horizontal="center"/>
    </xf>
    <xf numFmtId="0" fontId="8" fillId="0" borderId="205" xfId="0" applyFont="1" applyBorder="1"/>
    <xf numFmtId="0" fontId="8" fillId="0" borderId="98" xfId="0" applyFont="1" applyBorder="1" applyAlignment="1">
      <alignment horizontal="center"/>
    </xf>
    <xf numFmtId="174" fontId="8" fillId="0" borderId="209" xfId="0" applyNumberFormat="1" applyFont="1" applyBorder="1"/>
    <xf numFmtId="185" fontId="3" fillId="6" borderId="56" xfId="0" applyNumberFormat="1" applyFont="1" applyFill="1" applyBorder="1"/>
    <xf numFmtId="0" fontId="8" fillId="0" borderId="113" xfId="0" applyFont="1" applyBorder="1" applyAlignment="1">
      <alignment horizontal="center"/>
    </xf>
    <xf numFmtId="170" fontId="3" fillId="6" borderId="211" xfId="0" applyNumberFormat="1" applyFont="1" applyFill="1" applyBorder="1"/>
    <xf numFmtId="170" fontId="3" fillId="0" borderId="49" xfId="0" applyNumberFormat="1" applyFont="1" applyBorder="1" applyAlignment="1">
      <alignment horizontal="center"/>
    </xf>
    <xf numFmtId="184" fontId="3" fillId="0" borderId="0" xfId="0" applyNumberFormat="1" applyFont="1"/>
    <xf numFmtId="0" fontId="3" fillId="0" borderId="201" xfId="0" applyFont="1" applyBorder="1"/>
    <xf numFmtId="170" fontId="3" fillId="0" borderId="3" xfId="0" applyNumberFormat="1" applyFont="1" applyBorder="1" applyAlignment="1">
      <alignment horizontal="center"/>
    </xf>
    <xf numFmtId="0" fontId="3" fillId="0" borderId="118" xfId="0" applyFont="1" applyBorder="1"/>
    <xf numFmtId="174" fontId="3" fillId="0" borderId="118" xfId="0" applyNumberFormat="1" applyFont="1" applyBorder="1"/>
    <xf numFmtId="0" fontId="3" fillId="0" borderId="203" xfId="0" applyFont="1" applyBorder="1"/>
    <xf numFmtId="0" fontId="8" fillId="0" borderId="212" xfId="0" applyFont="1" applyBorder="1" applyAlignment="1">
      <alignment horizontal="center"/>
    </xf>
    <xf numFmtId="0" fontId="8" fillId="0" borderId="213" xfId="0" applyFont="1" applyBorder="1"/>
    <xf numFmtId="0" fontId="3" fillId="6" borderId="214" xfId="0" applyFont="1" applyFill="1" applyBorder="1"/>
    <xf numFmtId="0" fontId="3" fillId="6" borderId="215" xfId="0" applyFont="1" applyFill="1" applyBorder="1"/>
    <xf numFmtId="0" fontId="3" fillId="6" borderId="216" xfId="0" applyFont="1" applyFill="1" applyBorder="1"/>
    <xf numFmtId="0" fontId="8" fillId="0" borderId="140" xfId="0" applyFont="1" applyBorder="1" applyAlignment="1">
      <alignment horizontal="center"/>
    </xf>
    <xf numFmtId="0" fontId="3" fillId="0" borderId="217" xfId="0" applyFont="1" applyBorder="1"/>
    <xf numFmtId="0" fontId="3" fillId="0" borderId="218" xfId="0" applyFont="1" applyBorder="1"/>
    <xf numFmtId="174" fontId="8" fillId="0" borderId="190" xfId="0" applyNumberFormat="1" applyFont="1" applyBorder="1"/>
    <xf numFmtId="0" fontId="8" fillId="0" borderId="183" xfId="0" applyFont="1" applyBorder="1" applyAlignment="1">
      <alignment horizontal="center"/>
    </xf>
    <xf numFmtId="0" fontId="8" fillId="0" borderId="74" xfId="0" applyFont="1" applyBorder="1"/>
    <xf numFmtId="0" fontId="10" fillId="6" borderId="4" xfId="0" applyFont="1" applyFill="1" applyBorder="1"/>
    <xf numFmtId="178" fontId="3" fillId="0" borderId="3" xfId="0" applyNumberFormat="1" applyFont="1" applyBorder="1"/>
    <xf numFmtId="0" fontId="3" fillId="0" borderId="183" xfId="0" applyFont="1" applyBorder="1" applyAlignment="1">
      <alignment horizontal="center"/>
    </xf>
    <xf numFmtId="169" fontId="3" fillId="0" borderId="219" xfId="0" applyNumberFormat="1" applyFont="1" applyBorder="1"/>
    <xf numFmtId="186" fontId="3" fillId="0" borderId="118" xfId="0" applyNumberFormat="1" applyFont="1" applyBorder="1"/>
    <xf numFmtId="186" fontId="3" fillId="0" borderId="220" xfId="0" applyNumberFormat="1" applyFont="1" applyBorder="1" applyAlignment="1">
      <alignment horizontal="center"/>
    </xf>
    <xf numFmtId="174" fontId="3" fillId="0" borderId="0" xfId="0" applyNumberFormat="1" applyFont="1"/>
    <xf numFmtId="169" fontId="3" fillId="0" borderId="221" xfId="0" applyNumberFormat="1" applyFont="1" applyBorder="1"/>
    <xf numFmtId="169" fontId="8" fillId="0" borderId="213" xfId="0" applyNumberFormat="1" applyFont="1" applyBorder="1"/>
    <xf numFmtId="0" fontId="8" fillId="0" borderId="141" xfId="0" applyFont="1" applyBorder="1" applyAlignment="1">
      <alignment horizontal="center"/>
    </xf>
    <xf numFmtId="170" fontId="8" fillId="0" borderId="222" xfId="0" applyNumberFormat="1" applyFont="1" applyBorder="1"/>
    <xf numFmtId="174" fontId="8" fillId="0" borderId="0" xfId="0" applyNumberFormat="1" applyFont="1"/>
    <xf numFmtId="0" fontId="3" fillId="0" borderId="0" xfId="0" applyFont="1" applyAlignment="1">
      <alignment wrapText="1"/>
    </xf>
    <xf numFmtId="0" fontId="10" fillId="0" borderId="22" xfId="0" applyFont="1" applyBorder="1"/>
    <xf numFmtId="0" fontId="10" fillId="0" borderId="25" xfId="0" applyFont="1" applyBorder="1"/>
    <xf numFmtId="0" fontId="10" fillId="0" borderId="32" xfId="0" applyFont="1" applyBorder="1"/>
    <xf numFmtId="0" fontId="21" fillId="0" borderId="33" xfId="0" applyFont="1" applyBorder="1" applyAlignment="1">
      <alignment horizontal="center"/>
    </xf>
    <xf numFmtId="0" fontId="10" fillId="0" borderId="33" xfId="0" applyFont="1" applyBorder="1"/>
    <xf numFmtId="0" fontId="21" fillId="0" borderId="0" xfId="0" applyFont="1" applyAlignment="1">
      <alignment horizontal="center"/>
    </xf>
    <xf numFmtId="9" fontId="10" fillId="0" borderId="3" xfId="0" applyNumberFormat="1" applyFont="1" applyBorder="1" applyAlignment="1">
      <alignment horizontal="center"/>
    </xf>
    <xf numFmtId="168" fontId="10" fillId="0" borderId="3" xfId="0" applyNumberFormat="1" applyFont="1" applyBorder="1" applyAlignment="1">
      <alignment horizontal="center"/>
    </xf>
    <xf numFmtId="2" fontId="10" fillId="0" borderId="3" xfId="0" applyNumberFormat="1" applyFont="1" applyBorder="1" applyAlignment="1">
      <alignment horizontal="center"/>
    </xf>
    <xf numFmtId="182" fontId="10" fillId="0" borderId="3" xfId="0" applyNumberFormat="1" applyFont="1" applyBorder="1" applyAlignment="1">
      <alignment horizontal="center"/>
    </xf>
    <xf numFmtId="0" fontId="10" fillId="0" borderId="0" xfId="0" applyFont="1" applyAlignment="1">
      <alignment horizontal="center"/>
    </xf>
    <xf numFmtId="1" fontId="10" fillId="0" borderId="0" xfId="0" applyNumberFormat="1" applyFont="1" applyAlignment="1">
      <alignment horizontal="center"/>
    </xf>
    <xf numFmtId="168" fontId="10" fillId="7" borderId="3" xfId="0" applyNumberFormat="1" applyFont="1" applyFill="1" applyBorder="1"/>
    <xf numFmtId="0" fontId="10" fillId="0" borderId="157" xfId="0" applyFont="1" applyBorder="1" applyAlignment="1">
      <alignment wrapText="1"/>
    </xf>
    <xf numFmtId="0" fontId="8" fillId="22" borderId="3" xfId="0" applyFont="1" applyFill="1" applyBorder="1"/>
    <xf numFmtId="0" fontId="8" fillId="22" borderId="3" xfId="0" applyFont="1" applyFill="1" applyBorder="1" applyAlignment="1">
      <alignment horizontal="center"/>
    </xf>
    <xf numFmtId="2" fontId="3" fillId="0" borderId="3" xfId="0" applyNumberFormat="1" applyFont="1" applyBorder="1" applyAlignment="1">
      <alignment horizontal="center"/>
    </xf>
    <xf numFmtId="168" fontId="8" fillId="22" borderId="3" xfId="0" applyNumberFormat="1" applyFont="1" applyFill="1" applyBorder="1" applyAlignment="1">
      <alignment horizontal="center"/>
    </xf>
    <xf numFmtId="168" fontId="10" fillId="15" borderId="3" xfId="0" applyNumberFormat="1" applyFont="1" applyFill="1" applyBorder="1"/>
    <xf numFmtId="170" fontId="3" fillId="0" borderId="223" xfId="0" applyNumberFormat="1" applyFont="1" applyBorder="1"/>
    <xf numFmtId="4" fontId="3" fillId="0" borderId="0" xfId="0" applyNumberFormat="1" applyFont="1"/>
    <xf numFmtId="168" fontId="12" fillId="0" borderId="3" xfId="0" applyNumberFormat="1" applyFont="1" applyBorder="1"/>
    <xf numFmtId="0" fontId="12" fillId="0" borderId="3" xfId="0" applyFont="1" applyBorder="1"/>
    <xf numFmtId="0" fontId="8" fillId="22" borderId="224" xfId="0" applyFont="1" applyFill="1" applyBorder="1"/>
    <xf numFmtId="0" fontId="8" fillId="22" borderId="4" xfId="0" applyFont="1" applyFill="1" applyBorder="1"/>
    <xf numFmtId="0" fontId="3" fillId="22" borderId="4" xfId="0" applyFont="1" applyFill="1" applyBorder="1"/>
    <xf numFmtId="174" fontId="3" fillId="0" borderId="180" xfId="0" applyNumberFormat="1" applyFont="1" applyBorder="1"/>
    <xf numFmtId="0" fontId="3" fillId="0" borderId="155" xfId="0" applyFont="1" applyBorder="1" applyAlignment="1">
      <alignment horizontal="center"/>
    </xf>
    <xf numFmtId="0" fontId="10" fillId="0" borderId="3" xfId="0" applyFont="1" applyBorder="1"/>
    <xf numFmtId="0" fontId="21" fillId="0" borderId="186" xfId="0" applyFont="1" applyBorder="1"/>
    <xf numFmtId="188" fontId="8" fillId="0" borderId="12" xfId="0" applyNumberFormat="1" applyFont="1" applyBorder="1" applyAlignment="1">
      <alignment horizontal="center" wrapText="1"/>
    </xf>
    <xf numFmtId="174" fontId="21" fillId="0" borderId="57" xfId="0" applyNumberFormat="1" applyFont="1" applyBorder="1"/>
    <xf numFmtId="188" fontId="8" fillId="0" borderId="72" xfId="0" applyNumberFormat="1" applyFont="1" applyBorder="1" applyAlignment="1">
      <alignment horizontal="center"/>
    </xf>
    <xf numFmtId="188" fontId="8" fillId="0" borderId="85" xfId="0" applyNumberFormat="1" applyFont="1" applyBorder="1" applyAlignment="1">
      <alignment horizontal="center" wrapText="1"/>
    </xf>
    <xf numFmtId="0" fontId="3" fillId="0" borderId="187" xfId="0" applyFont="1" applyBorder="1"/>
    <xf numFmtId="177" fontId="8" fillId="0" borderId="0" xfId="0" applyNumberFormat="1" applyFont="1"/>
    <xf numFmtId="0" fontId="3" fillId="0" borderId="188" xfId="0" applyFont="1" applyBorder="1"/>
    <xf numFmtId="188" fontId="8" fillId="0" borderId="0" xfId="0" applyNumberFormat="1" applyFont="1"/>
    <xf numFmtId="0" fontId="10" fillId="3" borderId="4" xfId="0" applyFont="1" applyFill="1" applyBorder="1"/>
    <xf numFmtId="0" fontId="3" fillId="3" borderId="4" xfId="0" applyFont="1" applyFill="1" applyBorder="1"/>
    <xf numFmtId="0" fontId="3" fillId="3" borderId="4" xfId="0" applyFont="1" applyFill="1" applyBorder="1" applyAlignment="1">
      <alignment horizontal="center"/>
    </xf>
    <xf numFmtId="0" fontId="3" fillId="0" borderId="8" xfId="0" applyFont="1" applyBorder="1" applyAlignment="1">
      <alignment horizontal="center"/>
    </xf>
    <xf numFmtId="0" fontId="3" fillId="0" borderId="0" xfId="0" applyFont="1" applyAlignment="1">
      <alignment horizontal="center" wrapText="1"/>
    </xf>
    <xf numFmtId="189" fontId="3" fillId="0" borderId="45" xfId="0" applyNumberFormat="1" applyFont="1" applyBorder="1"/>
    <xf numFmtId="0" fontId="3" fillId="0" borderId="157" xfId="0" applyFont="1" applyBorder="1" applyAlignment="1">
      <alignment vertical="top" wrapText="1"/>
    </xf>
    <xf numFmtId="10" fontId="3" fillId="0" borderId="72" xfId="0" applyNumberFormat="1" applyFont="1" applyBorder="1"/>
    <xf numFmtId="0" fontId="8" fillId="0" borderId="177" xfId="0" applyFont="1" applyBorder="1"/>
    <xf numFmtId="0" fontId="3" fillId="0" borderId="16" xfId="0" applyFont="1" applyBorder="1" applyAlignment="1">
      <alignment horizontal="center"/>
    </xf>
    <xf numFmtId="167" fontId="10" fillId="0" borderId="3" xfId="0" applyNumberFormat="1" applyFont="1" applyBorder="1" applyAlignment="1">
      <alignment horizontal="center"/>
    </xf>
    <xf numFmtId="177" fontId="3" fillId="0" borderId="118" xfId="0" applyNumberFormat="1" applyFont="1" applyBorder="1"/>
    <xf numFmtId="172" fontId="10" fillId="0" borderId="3" xfId="0" applyNumberFormat="1" applyFont="1" applyBorder="1"/>
    <xf numFmtId="0" fontId="3" fillId="0" borderId="2" xfId="0" applyFont="1" applyBorder="1"/>
    <xf numFmtId="168" fontId="8" fillId="0" borderId="3" xfId="0" applyNumberFormat="1" applyFont="1" applyBorder="1"/>
    <xf numFmtId="177" fontId="8" fillId="0" borderId="118" xfId="0" applyNumberFormat="1" applyFont="1" applyBorder="1"/>
    <xf numFmtId="0" fontId="3" fillId="0" borderId="0" xfId="0" applyFont="1" applyAlignment="1">
      <alignment horizontal="left" vertical="top" wrapText="1"/>
    </xf>
    <xf numFmtId="0" fontId="3" fillId="0" borderId="142" xfId="0" applyFont="1" applyBorder="1" applyAlignment="1">
      <alignment horizontal="center"/>
    </xf>
    <xf numFmtId="0" fontId="25" fillId="0" borderId="0" xfId="0" applyFont="1"/>
    <xf numFmtId="0" fontId="8" fillId="0" borderId="48" xfId="0" applyFont="1" applyBorder="1" applyAlignment="1">
      <alignment horizontal="left"/>
    </xf>
    <xf numFmtId="0" fontId="26" fillId="0" borderId="0" xfId="0" applyFont="1"/>
    <xf numFmtId="0" fontId="8" fillId="0" borderId="49" xfId="0" applyFont="1" applyBorder="1" applyAlignment="1">
      <alignment horizontal="center" wrapText="1"/>
    </xf>
    <xf numFmtId="189" fontId="3" fillId="0" borderId="142" xfId="0" applyNumberFormat="1" applyFont="1" applyBorder="1"/>
    <xf numFmtId="10" fontId="3" fillId="0" borderId="142" xfId="0" applyNumberFormat="1" applyFont="1" applyBorder="1"/>
    <xf numFmtId="0" fontId="8" fillId="0" borderId="50" xfId="0" applyFont="1" applyBorder="1" applyAlignment="1">
      <alignment horizontal="center" wrapText="1"/>
    </xf>
    <xf numFmtId="0" fontId="12" fillId="0" borderId="98" xfId="0" applyFont="1" applyBorder="1"/>
    <xf numFmtId="0" fontId="8" fillId="0" borderId="53" xfId="0" applyFont="1" applyBorder="1" applyAlignment="1">
      <alignment horizontal="left"/>
    </xf>
    <xf numFmtId="0" fontId="12" fillId="0" borderId="98" xfId="0" applyFont="1" applyBorder="1" applyAlignment="1">
      <alignment horizontal="center"/>
    </xf>
    <xf numFmtId="0" fontId="10" fillId="10" borderId="4" xfId="0" applyFont="1" applyFill="1" applyBorder="1"/>
    <xf numFmtId="0" fontId="3" fillId="10" borderId="4" xfId="0" applyFont="1" applyFill="1" applyBorder="1"/>
    <xf numFmtId="189" fontId="3" fillId="0" borderId="98" xfId="0" applyNumberFormat="1" applyFont="1" applyBorder="1"/>
    <xf numFmtId="0" fontId="27" fillId="0" borderId="53" xfId="0" applyFont="1" applyBorder="1" applyAlignment="1">
      <alignment horizontal="left"/>
    </xf>
    <xf numFmtId="0" fontId="8" fillId="0" borderId="3" xfId="0" applyFont="1" applyBorder="1" applyAlignment="1">
      <alignment horizontal="left"/>
    </xf>
    <xf numFmtId="3" fontId="3" fillId="6" borderId="3" xfId="0" applyNumberFormat="1" applyFont="1" applyFill="1" applyBorder="1" applyAlignment="1">
      <alignment horizontal="center"/>
    </xf>
    <xf numFmtId="0" fontId="12" fillId="0" borderId="85" xfId="0" applyFont="1" applyBorder="1"/>
    <xf numFmtId="4" fontId="3" fillId="0" borderId="3" xfId="0" applyNumberFormat="1" applyFont="1" applyBorder="1" applyAlignment="1">
      <alignment horizontal="center"/>
    </xf>
    <xf numFmtId="4" fontId="3" fillId="0" borderId="3" xfId="0" applyNumberFormat="1" applyFont="1" applyBorder="1"/>
    <xf numFmtId="0" fontId="3" fillId="0" borderId="20" xfId="0" applyFont="1" applyBorder="1" applyAlignment="1">
      <alignment horizontal="center"/>
    </xf>
    <xf numFmtId="0" fontId="8" fillId="0" borderId="65" xfId="0" applyFont="1" applyBorder="1" applyAlignment="1">
      <alignment horizontal="left"/>
    </xf>
    <xf numFmtId="0" fontId="18" fillId="0" borderId="163" xfId="0" applyFont="1" applyBorder="1"/>
    <xf numFmtId="0" fontId="12" fillId="0" borderId="163" xfId="0" applyFont="1" applyBorder="1"/>
    <xf numFmtId="3" fontId="3" fillId="0" borderId="3" xfId="0" applyNumberFormat="1" applyFont="1" applyBorder="1" applyAlignment="1">
      <alignment horizontal="center"/>
    </xf>
    <xf numFmtId="189" fontId="3" fillId="0" borderId="85" xfId="0" applyNumberFormat="1" applyFont="1" applyBorder="1"/>
    <xf numFmtId="0" fontId="3" fillId="0" borderId="157" xfId="0" applyFont="1" applyBorder="1" applyAlignment="1">
      <alignment horizontal="left" vertical="top" wrapText="1"/>
    </xf>
    <xf numFmtId="169" fontId="3" fillId="0" borderId="3" xfId="0" applyNumberFormat="1" applyFont="1" applyBorder="1"/>
    <xf numFmtId="179" fontId="3" fillId="0" borderId="3" xfId="0" applyNumberFormat="1" applyFont="1" applyBorder="1"/>
    <xf numFmtId="10" fontId="3" fillId="0" borderId="85" xfId="0" applyNumberFormat="1" applyFont="1" applyBorder="1"/>
    <xf numFmtId="0" fontId="3" fillId="0" borderId="3" xfId="0" applyFont="1" applyBorder="1" applyAlignment="1">
      <alignment horizontal="left"/>
    </xf>
    <xf numFmtId="3" fontId="8" fillId="0" borderId="3" xfId="0" applyNumberFormat="1" applyFont="1" applyBorder="1" applyAlignment="1">
      <alignment horizontal="center" wrapText="1"/>
    </xf>
    <xf numFmtId="172" fontId="10" fillId="0" borderId="118" xfId="0" applyNumberFormat="1" applyFont="1" applyBorder="1"/>
    <xf numFmtId="0" fontId="8" fillId="0" borderId="3" xfId="0" applyFont="1" applyBorder="1" applyAlignment="1">
      <alignment horizontal="center" wrapText="1"/>
    </xf>
    <xf numFmtId="172" fontId="10" fillId="0" borderId="65" xfId="0" applyNumberFormat="1" applyFont="1" applyBorder="1"/>
    <xf numFmtId="165" fontId="3" fillId="0" borderId="3" xfId="0" applyNumberFormat="1" applyFont="1" applyBorder="1" applyAlignment="1">
      <alignment horizontal="center"/>
    </xf>
    <xf numFmtId="37" fontId="3" fillId="6" borderId="3" xfId="0" applyNumberFormat="1" applyFont="1" applyFill="1" applyBorder="1" applyAlignment="1">
      <alignment horizontal="center"/>
    </xf>
    <xf numFmtId="0" fontId="8" fillId="0" borderId="3" xfId="0" applyFont="1" applyBorder="1" applyAlignment="1">
      <alignment horizontal="center"/>
    </xf>
    <xf numFmtId="168" fontId="3" fillId="0" borderId="3" xfId="0" applyNumberFormat="1" applyFont="1" applyBorder="1" applyAlignment="1">
      <alignment horizontal="right"/>
    </xf>
    <xf numFmtId="168" fontId="3" fillId="0" borderId="3" xfId="0" applyNumberFormat="1" applyFont="1" applyBorder="1" applyAlignment="1">
      <alignment horizontal="center"/>
    </xf>
    <xf numFmtId="174" fontId="8" fillId="0" borderId="118" xfId="0" applyNumberFormat="1" applyFont="1" applyBorder="1"/>
    <xf numFmtId="168" fontId="10" fillId="0" borderId="0" xfId="0" applyNumberFormat="1" applyFont="1"/>
    <xf numFmtId="2" fontId="3" fillId="0" borderId="0" xfId="0" applyNumberFormat="1" applyFont="1"/>
    <xf numFmtId="165" fontId="3" fillId="0" borderId="3" xfId="0" applyNumberFormat="1" applyFont="1" applyBorder="1"/>
    <xf numFmtId="172" fontId="10" fillId="0" borderId="163" xfId="0" applyNumberFormat="1" applyFont="1" applyBorder="1"/>
    <xf numFmtId="0" fontId="3" fillId="0" borderId="190" xfId="0" applyFont="1" applyBorder="1"/>
    <xf numFmtId="165" fontId="8" fillId="0" borderId="3" xfId="0" applyNumberFormat="1" applyFont="1" applyBorder="1" applyAlignment="1">
      <alignment horizontal="center" wrapText="1"/>
    </xf>
    <xf numFmtId="0" fontId="8" fillId="0" borderId="54" xfId="0" applyFont="1" applyBorder="1" applyAlignment="1">
      <alignment horizontal="center" wrapText="1"/>
    </xf>
    <xf numFmtId="189" fontId="3" fillId="0" borderId="72" xfId="0" applyNumberFormat="1" applyFont="1" applyBorder="1"/>
    <xf numFmtId="0" fontId="10" fillId="0" borderId="191" xfId="0" applyFont="1" applyBorder="1"/>
    <xf numFmtId="0" fontId="10" fillId="0" borderId="162" xfId="0" applyFont="1" applyBorder="1"/>
    <xf numFmtId="0" fontId="10" fillId="0" borderId="192" xfId="0" applyFont="1" applyBorder="1"/>
    <xf numFmtId="168" fontId="10" fillId="0" borderId="45" xfId="0" applyNumberFormat="1" applyFont="1" applyBorder="1"/>
    <xf numFmtId="0" fontId="10" fillId="0" borderId="65" xfId="0" applyFont="1" applyBorder="1"/>
    <xf numFmtId="0" fontId="8" fillId="0" borderId="104" xfId="0" applyFont="1" applyBorder="1"/>
    <xf numFmtId="0" fontId="21" fillId="0" borderId="111" xfId="0" applyFont="1" applyBorder="1"/>
    <xf numFmtId="0" fontId="21" fillId="0" borderId="5" xfId="0" applyFont="1" applyBorder="1" applyAlignment="1">
      <alignment horizontal="center"/>
    </xf>
    <xf numFmtId="0" fontId="8" fillId="0" borderId="5" xfId="0" applyFont="1" applyBorder="1" applyAlignment="1">
      <alignment horizontal="center"/>
    </xf>
    <xf numFmtId="168" fontId="21" fillId="0" borderId="188" xfId="0" applyNumberFormat="1" applyFont="1" applyBorder="1"/>
    <xf numFmtId="0" fontId="12" fillId="0" borderId="45" xfId="0" applyFont="1" applyBorder="1"/>
    <xf numFmtId="0" fontId="8" fillId="0" borderId="230" xfId="0" applyFont="1" applyBorder="1" applyAlignment="1">
      <alignment horizontal="center"/>
    </xf>
    <xf numFmtId="172" fontId="21" fillId="0" borderId="190" xfId="0" applyNumberFormat="1" applyFont="1" applyBorder="1"/>
    <xf numFmtId="172" fontId="21" fillId="0" borderId="65" xfId="0" applyNumberFormat="1" applyFont="1" applyBorder="1"/>
    <xf numFmtId="168" fontId="3" fillId="0" borderId="45" xfId="0" applyNumberFormat="1" applyFont="1" applyBorder="1" applyAlignment="1">
      <alignment horizontal="right"/>
    </xf>
    <xf numFmtId="0" fontId="10" fillId="0" borderId="99" xfId="0" applyFont="1" applyBorder="1"/>
    <xf numFmtId="168" fontId="10" fillId="2" borderId="49" xfId="0" applyNumberFormat="1" applyFont="1" applyFill="1" applyBorder="1" applyAlignment="1">
      <alignment horizontal="center"/>
    </xf>
    <xf numFmtId="167" fontId="10" fillId="0" borderId="49" xfId="0" applyNumberFormat="1" applyFont="1" applyBorder="1" applyAlignment="1">
      <alignment horizontal="center"/>
    </xf>
    <xf numFmtId="174" fontId="10" fillId="0" borderId="10" xfId="0" applyNumberFormat="1" applyFont="1" applyBorder="1" applyAlignment="1">
      <alignment horizontal="center"/>
    </xf>
    <xf numFmtId="174" fontId="3" fillId="0" borderId="231" xfId="0" applyNumberFormat="1" applyFont="1" applyBorder="1"/>
    <xf numFmtId="0" fontId="10" fillId="0" borderId="74" xfId="0" applyFont="1" applyBorder="1"/>
    <xf numFmtId="168" fontId="10" fillId="2" borderId="3" xfId="0" applyNumberFormat="1" applyFont="1" applyFill="1" applyBorder="1" applyAlignment="1">
      <alignment horizontal="center"/>
    </xf>
    <xf numFmtId="174" fontId="10" fillId="0" borderId="183" xfId="0" applyNumberFormat="1" applyFont="1" applyBorder="1" applyAlignment="1">
      <alignment horizontal="center"/>
    </xf>
    <xf numFmtId="0" fontId="10" fillId="23" borderId="4" xfId="0" applyFont="1" applyFill="1" applyBorder="1"/>
    <xf numFmtId="174" fontId="3" fillId="0" borderId="219" xfId="0" applyNumberFormat="1" applyFont="1" applyBorder="1"/>
    <xf numFmtId="0" fontId="3" fillId="23" borderId="4" xfId="0" applyFont="1" applyFill="1" applyBorder="1" applyAlignment="1">
      <alignment horizontal="center"/>
    </xf>
    <xf numFmtId="0" fontId="3" fillId="23" borderId="4" xfId="0" applyFont="1" applyFill="1" applyBorder="1"/>
    <xf numFmtId="0" fontId="10" fillId="0" borderId="74" xfId="0" applyFont="1" applyBorder="1" applyAlignment="1">
      <alignment wrapText="1"/>
    </xf>
    <xf numFmtId="168" fontId="12" fillId="0" borderId="85" xfId="0" applyNumberFormat="1" applyFont="1" applyBorder="1"/>
    <xf numFmtId="0" fontId="8" fillId="0" borderId="3" xfId="0" applyFont="1" applyBorder="1" applyAlignment="1">
      <alignment vertical="center"/>
    </xf>
    <xf numFmtId="168" fontId="3" fillId="0" borderId="163" xfId="0" applyNumberFormat="1" applyFont="1" applyBorder="1"/>
    <xf numFmtId="168" fontId="8" fillId="0" borderId="3" xfId="0" applyNumberFormat="1" applyFont="1" applyBorder="1" applyAlignment="1">
      <alignment horizontal="center"/>
    </xf>
    <xf numFmtId="169" fontId="3" fillId="0" borderId="178" xfId="0" applyNumberFormat="1" applyFont="1" applyBorder="1"/>
    <xf numFmtId="0" fontId="27" fillId="0" borderId="3" xfId="0" applyFont="1" applyBorder="1" applyAlignment="1">
      <alignment horizontal="left"/>
    </xf>
    <xf numFmtId="168" fontId="3" fillId="4" borderId="85" xfId="0" applyNumberFormat="1" applyFont="1" applyFill="1" applyBorder="1"/>
    <xf numFmtId="168" fontId="3" fillId="0" borderId="72" xfId="0" applyNumberFormat="1" applyFont="1" applyBorder="1" applyAlignment="1">
      <alignment horizontal="right"/>
    </xf>
    <xf numFmtId="0" fontId="28" fillId="0" borderId="0" xfId="0" applyFont="1"/>
    <xf numFmtId="168" fontId="8" fillId="0" borderId="0" xfId="0" applyNumberFormat="1" applyFont="1" applyAlignment="1">
      <alignment horizontal="center"/>
    </xf>
    <xf numFmtId="168" fontId="3" fillId="0" borderId="0" xfId="0" applyNumberFormat="1" applyFont="1" applyAlignment="1">
      <alignment horizontal="right"/>
    </xf>
    <xf numFmtId="0" fontId="3" fillId="0" borderId="234" xfId="0" applyFont="1" applyBorder="1" applyAlignment="1">
      <alignment horizontal="left" vertical="top" wrapText="1"/>
    </xf>
    <xf numFmtId="0" fontId="3" fillId="0" borderId="235" xfId="0" applyFont="1" applyBorder="1"/>
    <xf numFmtId="0" fontId="8" fillId="0" borderId="235" xfId="0" applyFont="1" applyBorder="1" applyAlignment="1">
      <alignment horizontal="center" vertical="center" wrapText="1"/>
    </xf>
    <xf numFmtId="0" fontId="8" fillId="0" borderId="235" xfId="0" applyFont="1" applyBorder="1"/>
    <xf numFmtId="187" fontId="3" fillId="0" borderId="79" xfId="0" applyNumberFormat="1" applyFont="1" applyBorder="1" applyAlignment="1">
      <alignment horizontal="left"/>
    </xf>
    <xf numFmtId="0" fontId="8" fillId="0" borderId="235" xfId="0" applyFont="1" applyBorder="1" applyAlignment="1">
      <alignment horizontal="center" wrapText="1"/>
    </xf>
    <xf numFmtId="0" fontId="3" fillId="0" borderId="235" xfId="0" applyFont="1" applyBorder="1" applyAlignment="1">
      <alignment vertical="center"/>
    </xf>
    <xf numFmtId="0" fontId="3" fillId="0" borderId="236" xfId="0" applyFont="1" applyBorder="1"/>
    <xf numFmtId="168" fontId="3" fillId="0" borderId="79" xfId="0" applyNumberFormat="1" applyFont="1" applyBorder="1"/>
    <xf numFmtId="0" fontId="3" fillId="0" borderId="237" xfId="0" applyFont="1" applyBorder="1"/>
    <xf numFmtId="0" fontId="8" fillId="0" borderId="3" xfId="0" applyFont="1" applyBorder="1" applyAlignment="1">
      <alignment horizontal="center" vertical="center" wrapText="1"/>
    </xf>
    <xf numFmtId="10" fontId="3" fillId="0" borderId="3" xfId="0" applyNumberFormat="1" applyFont="1" applyBorder="1"/>
    <xf numFmtId="168" fontId="3" fillId="10" borderId="17" xfId="0" applyNumberFormat="1" applyFont="1" applyFill="1" applyBorder="1"/>
    <xf numFmtId="168" fontId="3" fillId="0" borderId="5" xfId="0" applyNumberFormat="1" applyFont="1" applyBorder="1"/>
    <xf numFmtId="0" fontId="10" fillId="0" borderId="183" xfId="0" applyFont="1" applyBorder="1"/>
    <xf numFmtId="0" fontId="3" fillId="0" borderId="239" xfId="0" applyFont="1" applyBorder="1"/>
    <xf numFmtId="174" fontId="8" fillId="0" borderId="219" xfId="0" applyNumberFormat="1" applyFont="1" applyBorder="1"/>
    <xf numFmtId="0" fontId="3" fillId="0" borderId="0" xfId="0" applyFont="1" applyAlignment="1">
      <alignment horizontal="left"/>
    </xf>
    <xf numFmtId="0" fontId="10" fillId="0" borderId="104" xfId="0" applyFont="1" applyBorder="1"/>
    <xf numFmtId="0" fontId="10" fillId="0" borderId="140" xfId="0" applyFont="1" applyBorder="1"/>
    <xf numFmtId="0" fontId="10" fillId="0" borderId="141" xfId="0" applyFont="1" applyBorder="1"/>
    <xf numFmtId="0" fontId="3" fillId="0" borderId="240" xfId="0" applyFont="1" applyBorder="1"/>
    <xf numFmtId="0" fontId="8" fillId="0" borderId="189" xfId="0" applyFont="1" applyBorder="1" applyAlignment="1">
      <alignment horizontal="center" vertical="center" wrapText="1"/>
    </xf>
    <xf numFmtId="0" fontId="3" fillId="0" borderId="189" xfId="0" applyFont="1" applyBorder="1"/>
    <xf numFmtId="0" fontId="3" fillId="0" borderId="189" xfId="0" applyFont="1" applyBorder="1" applyAlignment="1">
      <alignment horizontal="center"/>
    </xf>
    <xf numFmtId="10" fontId="3" fillId="0" borderId="189" xfId="0" applyNumberFormat="1" applyFont="1" applyBorder="1"/>
    <xf numFmtId="0" fontId="8" fillId="0" borderId="7" xfId="0" applyFont="1" applyBorder="1" applyAlignment="1">
      <alignment horizontal="center"/>
    </xf>
    <xf numFmtId="4" fontId="3" fillId="0" borderId="189" xfId="0" applyNumberFormat="1" applyFont="1" applyBorder="1"/>
    <xf numFmtId="0" fontId="21" fillId="0" borderId="196" xfId="0" applyFont="1" applyBorder="1" applyAlignment="1">
      <alignment horizontal="center"/>
    </xf>
    <xf numFmtId="0" fontId="21" fillId="0" borderId="88" xfId="0" applyFont="1" applyBorder="1" applyAlignment="1">
      <alignment horizontal="center"/>
    </xf>
    <xf numFmtId="0" fontId="3" fillId="0" borderId="200" xfId="0" applyFont="1" applyBorder="1"/>
    <xf numFmtId="0" fontId="8" fillId="0" borderId="8" xfId="0" applyFont="1" applyBorder="1"/>
    <xf numFmtId="0" fontId="21" fillId="0" borderId="90" xfId="0" applyFont="1" applyBorder="1" applyAlignment="1">
      <alignment horizontal="center"/>
    </xf>
    <xf numFmtId="0" fontId="8" fillId="0" borderId="15" xfId="0" applyFont="1" applyBorder="1" applyAlignment="1">
      <alignment horizontal="left"/>
    </xf>
    <xf numFmtId="0" fontId="3" fillId="0" borderId="241" xfId="0" applyFont="1" applyBorder="1"/>
    <xf numFmtId="0" fontId="3" fillId="0" borderId="242" xfId="0" applyFont="1" applyBorder="1"/>
    <xf numFmtId="0" fontId="8" fillId="0" borderId="19" xfId="0" applyFont="1" applyBorder="1"/>
    <xf numFmtId="0" fontId="8" fillId="0" borderId="20" xfId="0" applyFont="1" applyBorder="1"/>
    <xf numFmtId="0" fontId="3" fillId="0" borderId="5" xfId="0" applyFont="1" applyBorder="1" applyAlignment="1">
      <alignment horizontal="center"/>
    </xf>
    <xf numFmtId="0" fontId="3" fillId="0" borderId="243" xfId="0" applyFont="1" applyBorder="1"/>
    <xf numFmtId="0" fontId="10" fillId="18" borderId="244" xfId="0" applyFont="1" applyFill="1" applyBorder="1"/>
    <xf numFmtId="0" fontId="10" fillId="18" borderId="4" xfId="0" applyFont="1" applyFill="1" applyBorder="1"/>
    <xf numFmtId="168" fontId="10" fillId="2" borderId="3" xfId="0" applyNumberFormat="1" applyFont="1" applyFill="1" applyBorder="1"/>
    <xf numFmtId="177" fontId="3" fillId="0" borderId="16" xfId="0" applyNumberFormat="1" applyFont="1" applyBorder="1"/>
    <xf numFmtId="167" fontId="3" fillId="0" borderId="85" xfId="0" applyNumberFormat="1" applyFont="1" applyBorder="1"/>
    <xf numFmtId="173" fontId="3" fillId="0" borderId="0" xfId="0" applyNumberFormat="1" applyFont="1"/>
    <xf numFmtId="174" fontId="10" fillId="0" borderId="3" xfId="0" applyNumberFormat="1" applyFont="1" applyBorder="1" applyAlignment="1">
      <alignment horizontal="center"/>
    </xf>
    <xf numFmtId="9" fontId="3" fillId="0" borderId="20" xfId="0" applyNumberFormat="1" applyFont="1" applyBorder="1" applyAlignment="1">
      <alignment horizontal="center"/>
    </xf>
    <xf numFmtId="0" fontId="3" fillId="0" borderId="245" xfId="0" applyFont="1" applyBorder="1"/>
    <xf numFmtId="0" fontId="10" fillId="0" borderId="246" xfId="0" applyFont="1" applyBorder="1"/>
    <xf numFmtId="174" fontId="10" fillId="0" borderId="3" xfId="0" applyNumberFormat="1" applyFont="1" applyBorder="1"/>
    <xf numFmtId="0" fontId="10" fillId="22" borderId="247" xfId="0" applyFont="1" applyFill="1" applyBorder="1"/>
    <xf numFmtId="0" fontId="10" fillId="22" borderId="248" xfId="0" applyFont="1" applyFill="1" applyBorder="1"/>
    <xf numFmtId="167" fontId="3" fillId="0" borderId="0" xfId="0" applyNumberFormat="1" applyFont="1"/>
    <xf numFmtId="176" fontId="3" fillId="0" borderId="98" xfId="0" applyNumberFormat="1" applyFont="1" applyBorder="1"/>
    <xf numFmtId="0" fontId="21" fillId="22" borderId="248" xfId="0" applyFont="1" applyFill="1" applyBorder="1" applyAlignment="1">
      <alignment horizontal="center"/>
    </xf>
    <xf numFmtId="0" fontId="10" fillId="22" borderId="249" xfId="0" applyFont="1" applyFill="1" applyBorder="1"/>
    <xf numFmtId="0" fontId="11" fillId="0" borderId="15" xfId="0" applyFont="1" applyBorder="1" applyAlignment="1">
      <alignment horizontal="left"/>
    </xf>
    <xf numFmtId="0" fontId="3" fillId="22" borderId="248" xfId="0" applyFont="1" applyFill="1" applyBorder="1"/>
    <xf numFmtId="0" fontId="3" fillId="22" borderId="249" xfId="0" applyFont="1" applyFill="1" applyBorder="1"/>
    <xf numFmtId="0" fontId="3" fillId="22" borderId="247" xfId="0" applyFont="1" applyFill="1" applyBorder="1"/>
    <xf numFmtId="190" fontId="3" fillId="0" borderId="5" xfId="0" applyNumberFormat="1" applyFont="1" applyBorder="1"/>
    <xf numFmtId="0" fontId="21" fillId="22" borderId="248" xfId="0" applyFont="1" applyFill="1" applyBorder="1" applyAlignment="1">
      <alignment horizontal="left"/>
    </xf>
    <xf numFmtId="0" fontId="8" fillId="0" borderId="250" xfId="0" applyFont="1" applyBorder="1" applyAlignment="1">
      <alignment horizontal="center"/>
    </xf>
    <xf numFmtId="176" fontId="3" fillId="0" borderId="5" xfId="0" applyNumberFormat="1" applyFont="1" applyBorder="1"/>
    <xf numFmtId="0" fontId="8" fillId="0" borderId="251" xfId="0" applyFont="1" applyBorder="1" applyAlignment="1">
      <alignment horizontal="center"/>
    </xf>
    <xf numFmtId="176" fontId="8" fillId="0" borderId="130" xfId="0" applyNumberFormat="1" applyFont="1" applyBorder="1"/>
    <xf numFmtId="0" fontId="3" fillId="0" borderId="129" xfId="0" applyFont="1" applyBorder="1" applyAlignment="1">
      <alignment horizontal="left" vertical="top" wrapText="1"/>
    </xf>
    <xf numFmtId="0" fontId="8" fillId="0" borderId="252" xfId="0" applyFont="1" applyBorder="1" applyAlignment="1">
      <alignment horizontal="center"/>
    </xf>
    <xf numFmtId="0" fontId="10" fillId="0" borderId="251" xfId="0" applyFont="1" applyBorder="1"/>
    <xf numFmtId="0" fontId="3" fillId="0" borderId="252" xfId="0" applyFont="1" applyBorder="1"/>
    <xf numFmtId="0" fontId="3" fillId="0" borderId="251" xfId="0" applyFont="1" applyBorder="1"/>
    <xf numFmtId="0" fontId="8" fillId="0" borderId="253" xfId="0" applyFont="1" applyBorder="1" applyAlignment="1">
      <alignment horizontal="center"/>
    </xf>
    <xf numFmtId="0" fontId="21" fillId="0" borderId="246" xfId="0" applyFont="1" applyBorder="1"/>
    <xf numFmtId="0" fontId="21" fillId="0" borderId="251" xfId="0" applyFont="1" applyBorder="1" applyAlignment="1">
      <alignment horizontal="center"/>
    </xf>
    <xf numFmtId="0" fontId="8" fillId="0" borderId="251" xfId="0" applyFont="1" applyBorder="1" applyAlignment="1">
      <alignment horizontal="center" wrapText="1"/>
    </xf>
    <xf numFmtId="0" fontId="8" fillId="0" borderId="0" xfId="0" applyFont="1" applyAlignment="1">
      <alignment horizontal="center" wrapText="1"/>
    </xf>
    <xf numFmtId="0" fontId="8" fillId="0" borderId="5" xfId="0" applyFont="1" applyBorder="1" applyAlignment="1">
      <alignment horizontal="center" wrapText="1"/>
    </xf>
    <xf numFmtId="0" fontId="8" fillId="0" borderId="254" xfId="0" applyFont="1" applyBorder="1" applyAlignment="1">
      <alignment horizontal="center" wrapText="1"/>
    </xf>
    <xf numFmtId="0" fontId="8" fillId="4" borderId="255" xfId="0" applyFont="1" applyFill="1" applyBorder="1" applyAlignment="1">
      <alignment horizontal="center" wrapText="1"/>
    </xf>
    <xf numFmtId="0" fontId="8" fillId="0" borderId="256" xfId="0" applyFont="1" applyBorder="1"/>
    <xf numFmtId="168" fontId="10" fillId="18" borderId="3" xfId="0" applyNumberFormat="1" applyFont="1" applyFill="1" applyBorder="1"/>
    <xf numFmtId="0" fontId="3" fillId="0" borderId="257" xfId="0" applyFont="1" applyBorder="1"/>
    <xf numFmtId="2" fontId="10" fillId="0" borderId="3" xfId="0" applyNumberFormat="1" applyFont="1" applyBorder="1"/>
    <xf numFmtId="182" fontId="10" fillId="0" borderId="3" xfId="0" applyNumberFormat="1" applyFont="1" applyBorder="1"/>
    <xf numFmtId="0" fontId="8" fillId="0" borderId="204" xfId="0" applyFont="1" applyBorder="1"/>
    <xf numFmtId="0" fontId="8" fillId="0" borderId="230" xfId="0" applyFont="1" applyBorder="1"/>
    <xf numFmtId="168" fontId="3" fillId="0" borderId="130" xfId="0" applyNumberFormat="1" applyFont="1" applyBorder="1"/>
    <xf numFmtId="168" fontId="10" fillId="0" borderId="258" xfId="0" applyNumberFormat="1" applyFont="1" applyBorder="1"/>
    <xf numFmtId="174" fontId="8" fillId="0" borderId="163" xfId="0" applyNumberFormat="1" applyFont="1" applyBorder="1"/>
    <xf numFmtId="0" fontId="8" fillId="0" borderId="130" xfId="0" applyFont="1" applyBorder="1"/>
    <xf numFmtId="0" fontId="3" fillId="0" borderId="65" xfId="0" applyFont="1" applyBorder="1" applyAlignment="1">
      <alignment horizontal="left"/>
    </xf>
    <xf numFmtId="174" fontId="3" fillId="0" borderId="163" xfId="0" applyNumberFormat="1" applyFont="1" applyBorder="1"/>
    <xf numFmtId="179" fontId="3" fillId="0" borderId="259" xfId="0" applyNumberFormat="1" applyFont="1" applyBorder="1"/>
    <xf numFmtId="170" fontId="3" fillId="9" borderId="258" xfId="0" applyNumberFormat="1" applyFont="1" applyFill="1" applyBorder="1"/>
    <xf numFmtId="187" fontId="3" fillId="9" borderId="3" xfId="0" applyNumberFormat="1" applyFont="1" applyFill="1" applyBorder="1" applyAlignment="1">
      <alignment horizontal="right"/>
    </xf>
    <xf numFmtId="186" fontId="3" fillId="0" borderId="0" xfId="0" applyNumberFormat="1" applyFont="1"/>
    <xf numFmtId="179" fontId="3" fillId="0" borderId="252" xfId="0" applyNumberFormat="1" applyFont="1" applyBorder="1"/>
    <xf numFmtId="191" fontId="3" fillId="0" borderId="0" xfId="0" applyNumberFormat="1" applyFont="1"/>
    <xf numFmtId="187" fontId="3" fillId="9" borderId="258" xfId="0" applyNumberFormat="1" applyFont="1" applyFill="1" applyBorder="1"/>
    <xf numFmtId="178" fontId="3" fillId="0" borderId="0" xfId="0" applyNumberFormat="1" applyFont="1"/>
    <xf numFmtId="4" fontId="10" fillId="0" borderId="3" xfId="0" applyNumberFormat="1" applyFont="1" applyBorder="1" applyAlignment="1">
      <alignment horizontal="center"/>
    </xf>
    <xf numFmtId="174" fontId="3" fillId="0" borderId="221" xfId="0" applyNumberFormat="1" applyFont="1" applyBorder="1"/>
    <xf numFmtId="191" fontId="3" fillId="0" borderId="252" xfId="0" applyNumberFormat="1" applyFont="1" applyBorder="1"/>
    <xf numFmtId="39" fontId="3" fillId="0" borderId="253" xfId="0" applyNumberFormat="1" applyFont="1" applyBorder="1"/>
    <xf numFmtId="174" fontId="10" fillId="0" borderId="183" xfId="0" applyNumberFormat="1" applyFont="1" applyBorder="1"/>
    <xf numFmtId="192" fontId="3" fillId="0" borderId="0" xfId="0" applyNumberFormat="1" applyFont="1"/>
    <xf numFmtId="174" fontId="8" fillId="0" borderId="3" xfId="0" applyNumberFormat="1" applyFont="1" applyBorder="1" applyAlignment="1">
      <alignment horizontal="center"/>
    </xf>
    <xf numFmtId="174" fontId="8" fillId="0" borderId="3" xfId="0" applyNumberFormat="1" applyFont="1" applyBorder="1"/>
    <xf numFmtId="193" fontId="3" fillId="9" borderId="3" xfId="0" applyNumberFormat="1" applyFont="1" applyFill="1" applyBorder="1"/>
    <xf numFmtId="187" fontId="3" fillId="9" borderId="3" xfId="0" applyNumberFormat="1" applyFont="1" applyFill="1" applyBorder="1"/>
    <xf numFmtId="0" fontId="11" fillId="0" borderId="129" xfId="0" applyFont="1" applyBorder="1" applyAlignment="1">
      <alignment horizontal="left"/>
    </xf>
    <xf numFmtId="0" fontId="3" fillId="0" borderId="253" xfId="0" applyFont="1" applyBorder="1"/>
    <xf numFmtId="0" fontId="3" fillId="0" borderId="246" xfId="0" applyFont="1" applyBorder="1"/>
    <xf numFmtId="193" fontId="3" fillId="9" borderId="260" xfId="0" applyNumberFormat="1" applyFont="1" applyFill="1" applyBorder="1"/>
    <xf numFmtId="187" fontId="3" fillId="9" borderId="260" xfId="0" applyNumberFormat="1" applyFont="1" applyFill="1" applyBorder="1"/>
    <xf numFmtId="187" fontId="3" fillId="9" borderId="261" xfId="0" applyNumberFormat="1" applyFont="1" applyFill="1" applyBorder="1"/>
    <xf numFmtId="0" fontId="10" fillId="18" borderId="3" xfId="0" applyFont="1" applyFill="1" applyBorder="1"/>
    <xf numFmtId="182" fontId="10" fillId="18" borderId="3" xfId="0" applyNumberFormat="1" applyFont="1" applyFill="1" applyBorder="1"/>
    <xf numFmtId="168" fontId="10" fillId="18" borderId="4" xfId="0" applyNumberFormat="1" applyFont="1" applyFill="1" applyBorder="1"/>
    <xf numFmtId="182" fontId="10" fillId="18" borderId="4" xfId="0" applyNumberFormat="1" applyFont="1" applyFill="1" applyBorder="1"/>
    <xf numFmtId="168" fontId="10" fillId="0" borderId="251" xfId="0" applyNumberFormat="1" applyFont="1" applyBorder="1"/>
    <xf numFmtId="179" fontId="8" fillId="4" borderId="262" xfId="0" applyNumberFormat="1" applyFont="1" applyFill="1" applyBorder="1"/>
    <xf numFmtId="0" fontId="10" fillId="0" borderId="263" xfId="0" applyFont="1" applyBorder="1"/>
    <xf numFmtId="0" fontId="10" fillId="0" borderId="264" xfId="0" applyFont="1" applyBorder="1" applyAlignment="1">
      <alignment horizontal="center"/>
    </xf>
    <xf numFmtId="0" fontId="10" fillId="0" borderId="264" xfId="0" applyFont="1" applyBorder="1"/>
    <xf numFmtId="0" fontId="10" fillId="0" borderId="264" xfId="0" applyFont="1" applyBorder="1" applyAlignment="1">
      <alignment horizontal="left"/>
    </xf>
    <xf numFmtId="179" fontId="10" fillId="0" borderId="265" xfId="0" applyNumberFormat="1" applyFont="1" applyBorder="1"/>
    <xf numFmtId="0" fontId="3" fillId="0" borderId="264" xfId="0" applyFont="1" applyBorder="1"/>
    <xf numFmtId="0" fontId="3" fillId="0" borderId="265" xfId="0" applyFont="1" applyBorder="1"/>
    <xf numFmtId="0" fontId="3" fillId="0" borderId="263" xfId="0" applyFont="1" applyBorder="1"/>
    <xf numFmtId="0" fontId="3" fillId="0" borderId="266" xfId="0" applyFont="1" applyBorder="1"/>
    <xf numFmtId="0" fontId="3" fillId="0" borderId="267" xfId="0" applyFont="1" applyBorder="1"/>
    <xf numFmtId="0" fontId="3" fillId="0" borderId="268" xfId="0" applyFont="1" applyBorder="1"/>
    <xf numFmtId="0" fontId="10" fillId="0" borderId="241" xfId="0" applyFont="1" applyBorder="1"/>
    <xf numFmtId="0" fontId="10" fillId="0" borderId="242" xfId="0" applyFont="1" applyBorder="1"/>
    <xf numFmtId="0" fontId="21" fillId="0" borderId="242" xfId="0" applyFont="1" applyBorder="1" applyAlignment="1">
      <alignment horizontal="center"/>
    </xf>
    <xf numFmtId="0" fontId="10" fillId="0" borderId="242" xfId="0" applyFont="1" applyBorder="1" applyAlignment="1">
      <alignment horizontal="center"/>
    </xf>
    <xf numFmtId="0" fontId="10" fillId="0" borderId="242" xfId="0" applyFont="1" applyBorder="1" applyAlignment="1">
      <alignment horizontal="left"/>
    </xf>
    <xf numFmtId="9" fontId="10" fillId="0" borderId="3" xfId="0" applyNumberFormat="1" applyFont="1" applyBorder="1"/>
    <xf numFmtId="179" fontId="8" fillId="4" borderId="3" xfId="0" applyNumberFormat="1" applyFont="1" applyFill="1" applyBorder="1"/>
    <xf numFmtId="0" fontId="10" fillId="0" borderId="267" xfId="0" applyFont="1" applyBorder="1"/>
    <xf numFmtId="168" fontId="10" fillId="0" borderId="134" xfId="0" applyNumberFormat="1" applyFont="1" applyBorder="1"/>
    <xf numFmtId="0" fontId="10" fillId="0" borderId="134" xfId="0" applyFont="1" applyBorder="1" applyAlignment="1">
      <alignment horizontal="center"/>
    </xf>
    <xf numFmtId="9" fontId="10" fillId="0" borderId="134" xfId="0" applyNumberFormat="1" applyFont="1" applyBorder="1"/>
    <xf numFmtId="2" fontId="10" fillId="0" borderId="134" xfId="0" applyNumberFormat="1" applyFont="1" applyBorder="1"/>
    <xf numFmtId="182" fontId="10" fillId="0" borderId="134" xfId="0" applyNumberFormat="1" applyFont="1" applyBorder="1"/>
    <xf numFmtId="179" fontId="3" fillId="0" borderId="134" xfId="0" applyNumberFormat="1" applyFont="1" applyBorder="1"/>
    <xf numFmtId="9" fontId="10" fillId="0" borderId="0" xfId="0" applyNumberFormat="1" applyFont="1"/>
    <xf numFmtId="2" fontId="10" fillId="0" borderId="0" xfId="0" applyNumberFormat="1" applyFont="1"/>
    <xf numFmtId="182" fontId="10" fillId="0" borderId="0" xfId="0" applyNumberFormat="1" applyFont="1"/>
    <xf numFmtId="0" fontId="10" fillId="9" borderId="269" xfId="0" applyFont="1" applyFill="1" applyBorder="1"/>
    <xf numFmtId="0" fontId="10" fillId="9" borderId="270" xfId="0" applyFont="1" applyFill="1" applyBorder="1"/>
    <xf numFmtId="168" fontId="10" fillId="9" borderId="3" xfId="0" applyNumberFormat="1" applyFont="1" applyFill="1" applyBorder="1"/>
    <xf numFmtId="168" fontId="25" fillId="2" borderId="4" xfId="0" applyNumberFormat="1" applyFont="1" applyFill="1" applyBorder="1"/>
    <xf numFmtId="178" fontId="3" fillId="0" borderId="85" xfId="0" applyNumberFormat="1" applyFont="1" applyBorder="1"/>
    <xf numFmtId="178" fontId="8" fillId="4" borderId="85" xfId="0" applyNumberFormat="1" applyFont="1" applyFill="1" applyBorder="1"/>
    <xf numFmtId="0" fontId="21" fillId="0" borderId="267" xfId="0" applyFont="1" applyBorder="1"/>
    <xf numFmtId="168" fontId="25" fillId="2" borderId="271" xfId="0" applyNumberFormat="1" applyFont="1" applyFill="1" applyBorder="1"/>
    <xf numFmtId="0" fontId="10" fillId="0" borderId="134" xfId="0" applyFont="1" applyBorder="1"/>
    <xf numFmtId="178" fontId="3" fillId="0" borderId="134" xfId="0" applyNumberFormat="1" applyFont="1" applyBorder="1"/>
    <xf numFmtId="0" fontId="21" fillId="0" borderId="0" xfId="0" applyFont="1"/>
    <xf numFmtId="168" fontId="25" fillId="2" borderId="270" xfId="0" applyNumberFormat="1" applyFont="1" applyFill="1" applyBorder="1"/>
    <xf numFmtId="182" fontId="10" fillId="0" borderId="242" xfId="0" applyNumberFormat="1" applyFont="1" applyBorder="1"/>
    <xf numFmtId="168" fontId="10" fillId="0" borderId="242" xfId="0" applyNumberFormat="1" applyFont="1" applyBorder="1"/>
    <xf numFmtId="179" fontId="3" fillId="0" borderId="242" xfId="0" applyNumberFormat="1" applyFont="1" applyBorder="1"/>
    <xf numFmtId="169" fontId="3" fillId="0" borderId="259" xfId="0" applyNumberFormat="1" applyFont="1" applyBorder="1"/>
    <xf numFmtId="170" fontId="3" fillId="0" borderId="252" xfId="0" applyNumberFormat="1" applyFont="1" applyBorder="1"/>
    <xf numFmtId="183" fontId="3" fillId="0" borderId="0" xfId="0" applyNumberFormat="1" applyFont="1"/>
    <xf numFmtId="183" fontId="10" fillId="0" borderId="0" xfId="0" applyNumberFormat="1" applyFont="1" applyAlignment="1">
      <alignment horizontal="center"/>
    </xf>
    <xf numFmtId="192" fontId="12" fillId="0" borderId="0" xfId="0" applyNumberFormat="1" applyFont="1"/>
    <xf numFmtId="179" fontId="3" fillId="0" borderId="272" xfId="0" applyNumberFormat="1" applyFont="1" applyBorder="1"/>
    <xf numFmtId="179" fontId="8" fillId="4" borderId="273" xfId="0" applyNumberFormat="1" applyFont="1" applyFill="1" applyBorder="1"/>
    <xf numFmtId="187" fontId="3" fillId="9" borderId="4" xfId="0" applyNumberFormat="1" applyFont="1" applyFill="1" applyBorder="1"/>
    <xf numFmtId="187" fontId="3" fillId="9" borderId="274" xfId="0" applyNumberFormat="1" applyFont="1" applyFill="1" applyBorder="1"/>
    <xf numFmtId="0" fontId="8" fillId="0" borderId="275" xfId="0" applyFont="1" applyBorder="1" applyAlignment="1">
      <alignment horizontal="center" vertical="top" wrapText="1"/>
    </xf>
    <xf numFmtId="0" fontId="8" fillId="0" borderId="276" xfId="0" applyFont="1" applyBorder="1" applyAlignment="1">
      <alignment horizontal="center" vertical="top" wrapText="1"/>
    </xf>
    <xf numFmtId="0" fontId="8" fillId="0" borderId="14" xfId="0" applyFont="1" applyBorder="1" applyAlignment="1">
      <alignment horizontal="center" vertical="top" wrapText="1"/>
    </xf>
    <xf numFmtId="0" fontId="8" fillId="0" borderId="180" xfId="0" applyFont="1" applyBorder="1" applyAlignment="1">
      <alignment horizontal="center" vertical="top" wrapText="1"/>
    </xf>
    <xf numFmtId="0" fontId="8" fillId="4" borderId="277" xfId="0" applyFont="1" applyFill="1" applyBorder="1"/>
    <xf numFmtId="0" fontId="3" fillId="4" borderId="235" xfId="0" applyFont="1" applyFill="1" applyBorder="1" applyAlignment="1">
      <alignment wrapText="1"/>
    </xf>
    <xf numFmtId="0" fontId="3" fillId="4" borderId="278" xfId="0" applyFont="1" applyFill="1" applyBorder="1" applyAlignment="1">
      <alignment wrapText="1"/>
    </xf>
    <xf numFmtId="0" fontId="3" fillId="0" borderId="157" xfId="0" applyFont="1" applyBorder="1" applyAlignment="1">
      <alignment wrapText="1"/>
    </xf>
    <xf numFmtId="194" fontId="3" fillId="0" borderId="3" xfId="0" applyNumberFormat="1" applyFont="1" applyBorder="1" applyAlignment="1">
      <alignment wrapText="1"/>
    </xf>
    <xf numFmtId="0" fontId="3" fillId="0" borderId="3" xfId="0" applyFont="1" applyBorder="1" applyAlignment="1">
      <alignment horizontal="center" vertical="top" wrapText="1"/>
    </xf>
    <xf numFmtId="195" fontId="3" fillId="0" borderId="3" xfId="0" applyNumberFormat="1" applyFont="1" applyBorder="1" applyAlignment="1">
      <alignment wrapText="1"/>
    </xf>
    <xf numFmtId="196" fontId="3" fillId="0" borderId="3" xfId="0" applyNumberFormat="1" applyFont="1" applyBorder="1" applyAlignment="1">
      <alignment wrapText="1"/>
    </xf>
    <xf numFmtId="196" fontId="3" fillId="0" borderId="118" xfId="0" applyNumberFormat="1" applyFont="1" applyBorder="1" applyAlignment="1">
      <alignment wrapText="1"/>
    </xf>
    <xf numFmtId="194" fontId="3" fillId="0" borderId="118" xfId="0" applyNumberFormat="1" applyFont="1" applyBorder="1" applyAlignment="1">
      <alignment wrapText="1"/>
    </xf>
    <xf numFmtId="0" fontId="3" fillId="0" borderId="157" xfId="0" applyFont="1" applyBorder="1" applyAlignment="1">
      <alignment horizontal="left" wrapText="1"/>
    </xf>
    <xf numFmtId="189" fontId="8" fillId="0" borderId="3" xfId="0" applyNumberFormat="1" applyFont="1" applyBorder="1" applyAlignment="1">
      <alignment wrapText="1"/>
    </xf>
    <xf numFmtId="196" fontId="8" fillId="24" borderId="3" xfId="0" applyNumberFormat="1" applyFont="1" applyFill="1" applyBorder="1" applyAlignment="1">
      <alignment wrapText="1"/>
    </xf>
    <xf numFmtId="196" fontId="3" fillId="24" borderId="3" xfId="0" applyNumberFormat="1" applyFont="1" applyFill="1" applyBorder="1" applyAlignment="1">
      <alignment wrapText="1"/>
    </xf>
    <xf numFmtId="196" fontId="3" fillId="24" borderId="118" xfId="0" applyNumberFormat="1" applyFont="1" applyFill="1" applyBorder="1" applyAlignment="1">
      <alignment wrapText="1"/>
    </xf>
    <xf numFmtId="2" fontId="3" fillId="0" borderId="3" xfId="0" applyNumberFormat="1" applyFont="1" applyBorder="1" applyAlignment="1">
      <alignment wrapText="1"/>
    </xf>
    <xf numFmtId="197" fontId="3" fillId="0" borderId="3" xfId="0" applyNumberFormat="1" applyFont="1" applyBorder="1" applyAlignment="1">
      <alignment wrapText="1"/>
    </xf>
    <xf numFmtId="195" fontId="3" fillId="0" borderId="118" xfId="0" applyNumberFormat="1" applyFont="1" applyBorder="1" applyAlignment="1">
      <alignment wrapText="1"/>
    </xf>
    <xf numFmtId="0" fontId="3" fillId="0" borderId="158" xfId="0" applyFont="1" applyBorder="1" applyAlignment="1">
      <alignment wrapText="1"/>
    </xf>
    <xf numFmtId="194" fontId="3" fillId="0" borderId="14" xfId="0" applyNumberFormat="1" applyFont="1" applyBorder="1" applyAlignment="1">
      <alignment wrapText="1"/>
    </xf>
    <xf numFmtId="195" fontId="3" fillId="0" borderId="14" xfId="0" applyNumberFormat="1" applyFont="1" applyBorder="1" applyAlignment="1">
      <alignment wrapText="1"/>
    </xf>
    <xf numFmtId="196" fontId="3" fillId="0" borderId="14" xfId="0" applyNumberFormat="1" applyFont="1" applyBorder="1" applyAlignment="1">
      <alignment wrapText="1"/>
    </xf>
    <xf numFmtId="196" fontId="3" fillId="0" borderId="180" xfId="0" applyNumberFormat="1" applyFont="1" applyBorder="1" applyAlignment="1">
      <alignment wrapText="1"/>
    </xf>
    <xf numFmtId="0" fontId="8" fillId="3" borderId="125" xfId="0" applyFont="1" applyFill="1" applyBorder="1" applyAlignment="1">
      <alignment horizontal="left" wrapText="1"/>
    </xf>
    <xf numFmtId="194" fontId="3" fillId="3" borderId="60" xfId="0" applyNumberFormat="1" applyFont="1" applyFill="1" applyBorder="1" applyAlignment="1">
      <alignment wrapText="1"/>
    </xf>
    <xf numFmtId="195" fontId="3" fillId="3" borderId="60" xfId="0" applyNumberFormat="1" applyFont="1" applyFill="1" applyBorder="1" applyAlignment="1">
      <alignment wrapText="1"/>
    </xf>
    <xf numFmtId="168" fontId="8" fillId="3" borderId="60" xfId="0" applyNumberFormat="1" applyFont="1" applyFill="1" applyBorder="1"/>
    <xf numFmtId="196" fontId="8" fillId="3" borderId="60" xfId="0" applyNumberFormat="1" applyFont="1" applyFill="1" applyBorder="1" applyAlignment="1">
      <alignment wrapText="1"/>
    </xf>
    <xf numFmtId="196" fontId="8" fillId="3" borderId="81" xfId="0" applyNumberFormat="1" applyFont="1" applyFill="1" applyBorder="1" applyAlignment="1">
      <alignment wrapText="1"/>
    </xf>
    <xf numFmtId="0" fontId="3" fillId="0" borderId="32" xfId="0" applyFont="1" applyBorder="1" applyAlignment="1">
      <alignment wrapText="1"/>
    </xf>
    <xf numFmtId="194" fontId="3" fillId="0" borderId="33" xfId="0" applyNumberFormat="1" applyFont="1" applyBorder="1" applyAlignment="1">
      <alignment wrapText="1"/>
    </xf>
    <xf numFmtId="195" fontId="3" fillId="0" borderId="33" xfId="0" applyNumberFormat="1" applyFont="1" applyBorder="1" applyAlignment="1">
      <alignment wrapText="1"/>
    </xf>
    <xf numFmtId="196" fontId="3" fillId="0" borderId="33" xfId="0" applyNumberFormat="1" applyFont="1" applyBorder="1" applyAlignment="1">
      <alignment wrapText="1"/>
    </xf>
    <xf numFmtId="196" fontId="3" fillId="0" borderId="36" xfId="0" applyNumberFormat="1" applyFont="1" applyBorder="1" applyAlignment="1">
      <alignment wrapText="1"/>
    </xf>
    <xf numFmtId="0" fontId="8" fillId="7" borderId="51" xfId="0" applyFont="1" applyFill="1" applyBorder="1" applyAlignment="1">
      <alignment horizontal="left" wrapText="1"/>
    </xf>
    <xf numFmtId="194" fontId="3" fillId="7" borderId="52" xfId="0" applyNumberFormat="1" applyFont="1" applyFill="1" applyBorder="1" applyAlignment="1">
      <alignment wrapText="1"/>
    </xf>
    <xf numFmtId="195" fontId="3" fillId="7" borderId="52" xfId="0" applyNumberFormat="1" applyFont="1" applyFill="1" applyBorder="1" applyAlignment="1">
      <alignment wrapText="1"/>
    </xf>
    <xf numFmtId="194" fontId="8" fillId="7" borderId="52" xfId="0" applyNumberFormat="1" applyFont="1" applyFill="1" applyBorder="1" applyAlignment="1">
      <alignment wrapText="1"/>
    </xf>
    <xf numFmtId="196" fontId="3" fillId="7" borderId="52" xfId="0" applyNumberFormat="1" applyFont="1" applyFill="1" applyBorder="1" applyAlignment="1">
      <alignment wrapText="1"/>
    </xf>
    <xf numFmtId="196" fontId="3" fillId="7" borderId="57" xfId="0" applyNumberFormat="1" applyFont="1" applyFill="1" applyBorder="1" applyAlignment="1">
      <alignment wrapText="1"/>
    </xf>
    <xf numFmtId="197" fontId="3" fillId="0" borderId="33" xfId="0" applyNumberFormat="1" applyFont="1" applyBorder="1" applyAlignment="1">
      <alignment wrapText="1"/>
    </xf>
    <xf numFmtId="195" fontId="3" fillId="0" borderId="36" xfId="0" applyNumberFormat="1" applyFont="1" applyBorder="1" applyAlignment="1">
      <alignment wrapText="1"/>
    </xf>
    <xf numFmtId="0" fontId="8" fillId="22" borderId="51" xfId="0" applyFont="1" applyFill="1" applyBorder="1" applyAlignment="1">
      <alignment horizontal="left"/>
    </xf>
    <xf numFmtId="194" fontId="8" fillId="22" borderId="52" xfId="0" applyNumberFormat="1" applyFont="1" applyFill="1" applyBorder="1" applyAlignment="1">
      <alignment wrapText="1"/>
    </xf>
    <xf numFmtId="195" fontId="8" fillId="22" borderId="52" xfId="0" applyNumberFormat="1" applyFont="1" applyFill="1" applyBorder="1" applyAlignment="1">
      <alignment wrapText="1"/>
    </xf>
    <xf numFmtId="197" fontId="3" fillId="22" borderId="52" xfId="0" applyNumberFormat="1" applyFont="1" applyFill="1" applyBorder="1" applyAlignment="1">
      <alignment wrapText="1"/>
    </xf>
    <xf numFmtId="195" fontId="3" fillId="22" borderId="57" xfId="0" applyNumberFormat="1" applyFont="1" applyFill="1" applyBorder="1" applyAlignment="1">
      <alignment wrapText="1"/>
    </xf>
    <xf numFmtId="0" fontId="8" fillId="0" borderId="177" xfId="0" applyFont="1" applyBorder="1" applyAlignment="1">
      <alignment horizontal="center" wrapText="1"/>
    </xf>
    <xf numFmtId="194" fontId="8" fillId="0" borderId="178" xfId="0" applyNumberFormat="1" applyFont="1" applyBorder="1" applyAlignment="1">
      <alignment wrapText="1"/>
    </xf>
    <xf numFmtId="195" fontId="8" fillId="0" borderId="178" xfId="0" applyNumberFormat="1" applyFont="1" applyBorder="1" applyAlignment="1">
      <alignment wrapText="1"/>
    </xf>
    <xf numFmtId="197" fontId="3" fillId="0" borderId="178" xfId="0" applyNumberFormat="1" applyFont="1" applyBorder="1" applyAlignment="1">
      <alignment wrapText="1"/>
    </xf>
    <xf numFmtId="195" fontId="3" fillId="0" borderId="179" xfId="0" applyNumberFormat="1" applyFont="1" applyBorder="1" applyAlignment="1">
      <alignment wrapText="1"/>
    </xf>
    <xf numFmtId="0" fontId="8" fillId="4" borderId="279" xfId="0" applyFont="1" applyFill="1" applyBorder="1" applyAlignment="1">
      <alignment horizontal="left" wrapText="1"/>
    </xf>
    <xf numFmtId="194" fontId="8" fillId="4" borderId="207" xfId="0" applyNumberFormat="1" applyFont="1" applyFill="1" applyBorder="1" applyAlignment="1">
      <alignment wrapText="1"/>
    </xf>
    <xf numFmtId="195" fontId="8" fillId="4" borderId="207" xfId="0" applyNumberFormat="1" applyFont="1" applyFill="1" applyBorder="1" applyAlignment="1">
      <alignment wrapText="1"/>
    </xf>
    <xf numFmtId="197" fontId="3" fillId="4" borderId="207" xfId="0" applyNumberFormat="1" applyFont="1" applyFill="1" applyBorder="1" applyAlignment="1">
      <alignment wrapText="1"/>
    </xf>
    <xf numFmtId="195" fontId="3" fillId="4" borderId="280" xfId="0" applyNumberFormat="1" applyFont="1" applyFill="1" applyBorder="1" applyAlignment="1">
      <alignment wrapText="1"/>
    </xf>
    <xf numFmtId="0" fontId="8" fillId="0" borderId="51" xfId="0" applyFont="1" applyBorder="1" applyAlignment="1">
      <alignment wrapText="1"/>
    </xf>
    <xf numFmtId="194" fontId="3" fillId="0" borderId="52" xfId="0" applyNumberFormat="1" applyFont="1" applyBorder="1" applyAlignment="1">
      <alignment wrapText="1"/>
    </xf>
    <xf numFmtId="196" fontId="3" fillId="0" borderId="52" xfId="0" applyNumberFormat="1" applyFont="1" applyBorder="1" applyAlignment="1">
      <alignment wrapText="1"/>
    </xf>
    <xf numFmtId="196" fontId="8" fillId="0" borderId="52" xfId="0" applyNumberFormat="1" applyFont="1" applyBorder="1" applyAlignment="1">
      <alignment wrapText="1"/>
    </xf>
    <xf numFmtId="172" fontId="8" fillId="0" borderId="52" xfId="0" applyNumberFormat="1" applyFont="1" applyBorder="1"/>
    <xf numFmtId="197" fontId="8" fillId="0" borderId="57" xfId="0" applyNumberFormat="1" applyFont="1" applyBorder="1" applyAlignment="1">
      <alignment wrapText="1"/>
    </xf>
    <xf numFmtId="0" fontId="8" fillId="0" borderId="32" xfId="0" applyFont="1" applyBorder="1" applyAlignment="1">
      <alignment wrapText="1"/>
    </xf>
    <xf numFmtId="195" fontId="8" fillId="0" borderId="33" xfId="0" applyNumberFormat="1" applyFont="1" applyBorder="1" applyAlignment="1">
      <alignment wrapText="1"/>
    </xf>
    <xf numFmtId="0" fontId="8" fillId="25" borderId="51" xfId="0" applyFont="1" applyFill="1" applyBorder="1" applyAlignment="1">
      <alignment horizontal="left" wrapText="1"/>
    </xf>
    <xf numFmtId="194" fontId="3" fillId="25" borderId="52" xfId="0" applyNumberFormat="1" applyFont="1" applyFill="1" applyBorder="1" applyAlignment="1">
      <alignment wrapText="1"/>
    </xf>
    <xf numFmtId="195" fontId="8" fillId="25" borderId="52" xfId="0" applyNumberFormat="1" applyFont="1" applyFill="1" applyBorder="1" applyAlignment="1">
      <alignment wrapText="1"/>
    </xf>
    <xf numFmtId="197" fontId="3" fillId="25" borderId="52" xfId="0" applyNumberFormat="1" applyFont="1" applyFill="1" applyBorder="1" applyAlignment="1">
      <alignment wrapText="1"/>
    </xf>
    <xf numFmtId="195" fontId="3" fillId="25" borderId="57" xfId="0" applyNumberFormat="1" applyFont="1" applyFill="1" applyBorder="1" applyAlignment="1">
      <alignment wrapText="1"/>
    </xf>
    <xf numFmtId="0" fontId="8" fillId="0" borderId="32" xfId="0" applyFont="1" applyBorder="1" applyAlignment="1">
      <alignment horizontal="left" wrapText="1"/>
    </xf>
    <xf numFmtId="0" fontId="8" fillId="5" borderId="76" xfId="0" applyFont="1" applyFill="1" applyBorder="1" applyAlignment="1">
      <alignment horizontal="left" wrapText="1"/>
    </xf>
    <xf numFmtId="194" fontId="3" fillId="5" borderId="35" xfId="0" applyNumberFormat="1" applyFont="1" applyFill="1" applyBorder="1" applyAlignment="1">
      <alignment wrapText="1"/>
    </xf>
    <xf numFmtId="194" fontId="8" fillId="5" borderId="35" xfId="0" applyNumberFormat="1" applyFont="1" applyFill="1" applyBorder="1" applyAlignment="1">
      <alignment wrapText="1"/>
    </xf>
    <xf numFmtId="195" fontId="8" fillId="5" borderId="35" xfId="0" applyNumberFormat="1" applyFont="1" applyFill="1" applyBorder="1" applyAlignment="1">
      <alignment wrapText="1"/>
    </xf>
    <xf numFmtId="197" fontId="3" fillId="5" borderId="35" xfId="0" applyNumberFormat="1" applyFont="1" applyFill="1" applyBorder="1" applyAlignment="1">
      <alignment wrapText="1"/>
    </xf>
    <xf numFmtId="195" fontId="3" fillId="5" borderId="281" xfId="0" applyNumberFormat="1" applyFont="1" applyFill="1" applyBorder="1" applyAlignment="1">
      <alignment wrapText="1"/>
    </xf>
    <xf numFmtId="0" fontId="8" fillId="0" borderId="7" xfId="0" applyFont="1" applyBorder="1"/>
    <xf numFmtId="0" fontId="3" fillId="0" borderId="177" xfId="0" applyFont="1" applyBorder="1" applyAlignment="1">
      <alignment wrapText="1"/>
    </xf>
    <xf numFmtId="0" fontId="8" fillId="0" borderId="0" xfId="0" applyFont="1" applyAlignment="1">
      <alignment horizontal="center" vertical="center" wrapText="1"/>
    </xf>
    <xf numFmtId="0" fontId="8" fillId="7" borderId="125" xfId="0" applyFont="1" applyFill="1" applyBorder="1" applyAlignment="1">
      <alignment horizontal="left" wrapText="1"/>
    </xf>
    <xf numFmtId="0" fontId="8" fillId="22" borderId="51" xfId="0" applyFont="1" applyFill="1" applyBorder="1" applyAlignment="1">
      <alignment horizontal="left" wrapText="1"/>
    </xf>
    <xf numFmtId="0" fontId="8" fillId="0" borderId="32" xfId="0" applyFont="1" applyBorder="1" applyAlignment="1">
      <alignment horizontal="center" wrapText="1"/>
    </xf>
    <xf numFmtId="194" fontId="8" fillId="0" borderId="33" xfId="0" applyNumberFormat="1" applyFont="1" applyBorder="1" applyAlignment="1">
      <alignment wrapText="1"/>
    </xf>
    <xf numFmtId="0" fontId="3" fillId="0" borderId="282" xfId="0" applyFont="1" applyBorder="1"/>
    <xf numFmtId="0" fontId="8" fillId="12" borderId="277" xfId="0" applyFont="1" applyFill="1" applyBorder="1"/>
    <xf numFmtId="0" fontId="8" fillId="12" borderId="235" xfId="0" applyFont="1" applyFill="1" applyBorder="1" applyAlignment="1">
      <alignment horizontal="center" vertical="top" wrapText="1"/>
    </xf>
    <xf numFmtId="0" fontId="3" fillId="12" borderId="283" xfId="0" applyFont="1" applyFill="1" applyBorder="1"/>
    <xf numFmtId="0" fontId="8" fillId="12" borderId="278" xfId="0" applyFont="1" applyFill="1" applyBorder="1" applyAlignment="1">
      <alignment horizontal="center" vertical="top" wrapText="1"/>
    </xf>
    <xf numFmtId="0" fontId="3" fillId="0" borderId="157" xfId="0" applyFont="1" applyBorder="1" applyAlignment="1">
      <alignment horizontal="center" vertical="top" wrapText="1"/>
    </xf>
    <xf numFmtId="0" fontId="8" fillId="0" borderId="3" xfId="0" applyFont="1" applyBorder="1" applyAlignment="1">
      <alignment horizontal="center" vertical="top" wrapText="1"/>
    </xf>
    <xf numFmtId="0" fontId="8" fillId="0" borderId="118" xfId="0" applyFont="1" applyBorder="1" applyAlignment="1">
      <alignment horizontal="center" vertical="top" wrapText="1"/>
    </xf>
    <xf numFmtId="0" fontId="8" fillId="4" borderId="157" xfId="0" applyFont="1" applyFill="1" applyBorder="1" applyAlignment="1">
      <alignment wrapText="1"/>
    </xf>
    <xf numFmtId="0" fontId="3" fillId="4" borderId="3" xfId="0" applyFont="1" applyFill="1" applyBorder="1" applyAlignment="1">
      <alignment wrapText="1"/>
    </xf>
    <xf numFmtId="0" fontId="3" fillId="4" borderId="118" xfId="0" applyFont="1" applyFill="1" applyBorder="1" applyAlignment="1">
      <alignment wrapText="1"/>
    </xf>
    <xf numFmtId="197" fontId="3" fillId="0" borderId="118" xfId="0" applyNumberFormat="1" applyFont="1" applyBorder="1" applyAlignment="1">
      <alignment wrapText="1"/>
    </xf>
    <xf numFmtId="0" fontId="8" fillId="3" borderId="51" xfId="0" applyFont="1" applyFill="1" applyBorder="1" applyAlignment="1">
      <alignment horizontal="left" wrapText="1"/>
    </xf>
    <xf numFmtId="0" fontId="3" fillId="3" borderId="52" xfId="0" applyFont="1" applyFill="1" applyBorder="1"/>
    <xf numFmtId="195" fontId="8" fillId="3" borderId="60" xfId="0" applyNumberFormat="1" applyFont="1" applyFill="1" applyBorder="1" applyAlignment="1">
      <alignment wrapText="1"/>
    </xf>
    <xf numFmtId="0" fontId="3" fillId="0" borderId="178" xfId="0" applyFont="1" applyBorder="1"/>
    <xf numFmtId="194" fontId="8" fillId="0" borderId="3" xfId="0" applyNumberFormat="1" applyFont="1" applyBorder="1" applyAlignment="1">
      <alignment wrapText="1"/>
    </xf>
    <xf numFmtId="195" fontId="8" fillId="0" borderId="118" xfId="0" applyNumberFormat="1" applyFont="1" applyBorder="1" applyAlignment="1">
      <alignment wrapText="1"/>
    </xf>
    <xf numFmtId="0" fontId="8" fillId="4" borderId="279" xfId="0" applyFont="1" applyFill="1" applyBorder="1" applyAlignment="1">
      <alignment wrapText="1"/>
    </xf>
    <xf numFmtId="0" fontId="8" fillId="0" borderId="16" xfId="0" applyFont="1" applyBorder="1" applyAlignment="1">
      <alignment horizontal="center" wrapText="1"/>
    </xf>
    <xf numFmtId="194" fontId="3" fillId="4" borderId="207" xfId="0" applyNumberFormat="1" applyFont="1" applyFill="1" applyBorder="1" applyAlignment="1">
      <alignment wrapText="1"/>
    </xf>
    <xf numFmtId="196" fontId="8" fillId="4" borderId="207" xfId="0" applyNumberFormat="1" applyFont="1" applyFill="1" applyBorder="1" applyAlignment="1">
      <alignment wrapText="1"/>
    </xf>
    <xf numFmtId="195" fontId="8" fillId="4" borderId="280" xfId="0" applyNumberFormat="1" applyFont="1" applyFill="1" applyBorder="1" applyAlignment="1">
      <alignment wrapText="1"/>
    </xf>
    <xf numFmtId="0" fontId="3" fillId="0" borderId="51" xfId="0" applyFont="1" applyBorder="1" applyAlignment="1">
      <alignment horizontal="left" wrapText="1"/>
    </xf>
    <xf numFmtId="0" fontId="3" fillId="0" borderId="15" xfId="0" applyFont="1" applyBorder="1" applyAlignment="1">
      <alignment horizontal="left"/>
    </xf>
    <xf numFmtId="0" fontId="3" fillId="0" borderId="52" xfId="0" applyFont="1" applyBorder="1"/>
    <xf numFmtId="198" fontId="8" fillId="0" borderId="52" xfId="0" applyNumberFormat="1" applyFont="1" applyBorder="1" applyAlignment="1">
      <alignment wrapText="1"/>
    </xf>
    <xf numFmtId="198" fontId="8" fillId="0" borderId="57" xfId="0" applyNumberFormat="1" applyFont="1" applyBorder="1" applyAlignment="1">
      <alignment wrapText="1"/>
    </xf>
    <xf numFmtId="196" fontId="8" fillId="0" borderId="33" xfId="0" applyNumberFormat="1" applyFont="1" applyBorder="1" applyAlignment="1">
      <alignment wrapText="1"/>
    </xf>
    <xf numFmtId="195" fontId="8" fillId="0" borderId="36" xfId="0" applyNumberFormat="1" applyFont="1" applyBorder="1" applyAlignment="1">
      <alignment wrapText="1"/>
    </xf>
    <xf numFmtId="0" fontId="8" fillId="7" borderId="51" xfId="0" applyFont="1" applyFill="1" applyBorder="1" applyAlignment="1">
      <alignment horizontal="left"/>
    </xf>
    <xf numFmtId="0" fontId="3" fillId="9" borderId="52" xfId="0" applyFont="1" applyFill="1" applyBorder="1"/>
    <xf numFmtId="195" fontId="8" fillId="7" borderId="52" xfId="0" applyNumberFormat="1" applyFont="1" applyFill="1" applyBorder="1" applyAlignment="1">
      <alignment wrapText="1"/>
    </xf>
    <xf numFmtId="196" fontId="8" fillId="7" borderId="52" xfId="0" applyNumberFormat="1" applyFont="1" applyFill="1" applyBorder="1" applyAlignment="1">
      <alignment wrapText="1"/>
    </xf>
    <xf numFmtId="196" fontId="8" fillId="7" borderId="57" xfId="0" applyNumberFormat="1" applyFont="1" applyFill="1" applyBorder="1" applyAlignment="1">
      <alignment wrapText="1"/>
    </xf>
    <xf numFmtId="0" fontId="8" fillId="0" borderId="32" xfId="0" applyFont="1" applyBorder="1" applyAlignment="1">
      <alignment horizontal="left"/>
    </xf>
    <xf numFmtId="0" fontId="8" fillId="3" borderId="51" xfId="0" applyFont="1" applyFill="1" applyBorder="1" applyAlignment="1">
      <alignment horizontal="center" wrapText="1"/>
    </xf>
    <xf numFmtId="194" fontId="3" fillId="3" borderId="52" xfId="0" applyNumberFormat="1" applyFont="1" applyFill="1" applyBorder="1" applyAlignment="1">
      <alignment wrapText="1"/>
    </xf>
    <xf numFmtId="196" fontId="8" fillId="3" borderId="52" xfId="0" applyNumberFormat="1" applyFont="1" applyFill="1" applyBorder="1" applyAlignment="1">
      <alignment wrapText="1"/>
    </xf>
    <xf numFmtId="194" fontId="8" fillId="3" borderId="52" xfId="0" applyNumberFormat="1" applyFont="1" applyFill="1" applyBorder="1" applyAlignment="1">
      <alignment wrapText="1"/>
    </xf>
    <xf numFmtId="0" fontId="4" fillId="0" borderId="285" xfId="0" applyFont="1" applyBorder="1"/>
    <xf numFmtId="195" fontId="8" fillId="3" borderId="57" xfId="0" applyNumberFormat="1" applyFont="1" applyFill="1" applyBorder="1" applyAlignment="1">
      <alignment wrapText="1"/>
    </xf>
    <xf numFmtId="0" fontId="8" fillId="22" borderId="51" xfId="0" applyFont="1" applyFill="1" applyBorder="1"/>
    <xf numFmtId="194" fontId="3" fillId="22" borderId="52" xfId="0" applyNumberFormat="1" applyFont="1" applyFill="1" applyBorder="1" applyAlignment="1">
      <alignment wrapText="1"/>
    </xf>
    <xf numFmtId="0" fontId="3" fillId="22" borderId="52" xfId="0" applyFont="1" applyFill="1" applyBorder="1"/>
    <xf numFmtId="0" fontId="3" fillId="0" borderId="286" xfId="0" applyFont="1" applyBorder="1"/>
    <xf numFmtId="195" fontId="8" fillId="22" borderId="57" xfId="0" applyNumberFormat="1" applyFont="1" applyFill="1" applyBorder="1" applyAlignment="1">
      <alignment wrapText="1"/>
    </xf>
    <xf numFmtId="170" fontId="3" fillId="0" borderId="49" xfId="0" applyNumberFormat="1" applyFont="1" applyBorder="1"/>
    <xf numFmtId="0" fontId="8" fillId="25" borderId="51" xfId="0" applyFont="1" applyFill="1" applyBorder="1"/>
    <xf numFmtId="0" fontId="3" fillId="25" borderId="52" xfId="0" applyFont="1" applyFill="1" applyBorder="1"/>
    <xf numFmtId="196" fontId="8" fillId="25" borderId="52" xfId="0" applyNumberFormat="1" applyFont="1" applyFill="1" applyBorder="1" applyAlignment="1">
      <alignment wrapText="1"/>
    </xf>
    <xf numFmtId="196" fontId="8" fillId="25" borderId="57" xfId="0" applyNumberFormat="1" applyFont="1" applyFill="1" applyBorder="1" applyAlignment="1">
      <alignment wrapText="1"/>
    </xf>
    <xf numFmtId="168" fontId="3" fillId="0" borderId="50" xfId="0" applyNumberFormat="1" applyFont="1" applyBorder="1"/>
    <xf numFmtId="196" fontId="8" fillId="0" borderId="36" xfId="0" applyNumberFormat="1" applyFont="1" applyBorder="1" applyAlignment="1">
      <alignment wrapText="1"/>
    </xf>
    <xf numFmtId="0" fontId="8" fillId="4" borderId="53" xfId="0" applyFont="1" applyFill="1" applyBorder="1"/>
    <xf numFmtId="0" fontId="8" fillId="5" borderId="76" xfId="0" applyFont="1" applyFill="1" applyBorder="1"/>
    <xf numFmtId="196" fontId="8" fillId="5" borderId="35" xfId="0" applyNumberFormat="1" applyFont="1" applyFill="1" applyBorder="1" applyAlignment="1">
      <alignment wrapText="1"/>
    </xf>
    <xf numFmtId="170" fontId="3" fillId="0" borderId="54" xfId="0" applyNumberFormat="1" applyFont="1" applyBorder="1"/>
    <xf numFmtId="196" fontId="8" fillId="5" borderId="281" xfId="0" applyNumberFormat="1" applyFont="1" applyFill="1" applyBorder="1" applyAlignment="1">
      <alignment wrapText="1"/>
    </xf>
    <xf numFmtId="0" fontId="8" fillId="0" borderId="55" xfId="0" applyFont="1" applyBorder="1"/>
    <xf numFmtId="194" fontId="3" fillId="9" borderId="52" xfId="0" applyNumberFormat="1" applyFont="1" applyFill="1" applyBorder="1" applyAlignment="1">
      <alignment wrapText="1"/>
    </xf>
    <xf numFmtId="170" fontId="3" fillId="0" borderId="56" xfId="0" applyNumberFormat="1" applyFont="1" applyBorder="1"/>
    <xf numFmtId="170" fontId="3" fillId="0" borderId="58" xfId="0" applyNumberFormat="1" applyFont="1" applyBorder="1"/>
    <xf numFmtId="194" fontId="8" fillId="9" borderId="52" xfId="0" applyNumberFormat="1" applyFont="1" applyFill="1" applyBorder="1" applyAlignment="1">
      <alignment wrapText="1"/>
    </xf>
    <xf numFmtId="196" fontId="8" fillId="9" borderId="52" xfId="0" applyNumberFormat="1" applyFont="1" applyFill="1" applyBorder="1" applyAlignment="1">
      <alignment wrapText="1"/>
    </xf>
    <xf numFmtId="196" fontId="8" fillId="9" borderId="57" xfId="0" applyNumberFormat="1" applyFont="1" applyFill="1" applyBorder="1" applyAlignment="1">
      <alignment wrapText="1"/>
    </xf>
    <xf numFmtId="0" fontId="8" fillId="0" borderId="0" xfId="0" applyFont="1" applyAlignment="1">
      <alignment horizontal="center" vertical="center"/>
    </xf>
    <xf numFmtId="0" fontId="8" fillId="0" borderId="287" xfId="0" applyFont="1" applyBorder="1"/>
    <xf numFmtId="0" fontId="3" fillId="0" borderId="0" xfId="0" applyFont="1" applyAlignment="1">
      <alignment vertical="center"/>
    </xf>
    <xf numFmtId="0" fontId="8" fillId="0" borderId="16" xfId="0" applyFont="1" applyBorder="1" applyAlignment="1">
      <alignment horizontal="center" vertical="center" wrapText="1"/>
    </xf>
    <xf numFmtId="0" fontId="3" fillId="0" borderId="15" xfId="0" applyFont="1" applyBorder="1" applyAlignment="1">
      <alignment horizontal="center"/>
    </xf>
    <xf numFmtId="168" fontId="3" fillId="0" borderId="288" xfId="0" applyNumberFormat="1" applyFont="1" applyBorder="1"/>
    <xf numFmtId="170" fontId="3" fillId="0" borderId="288" xfId="0" applyNumberFormat="1" applyFont="1" applyBorder="1"/>
    <xf numFmtId="196" fontId="8" fillId="22" borderId="52" xfId="0" applyNumberFormat="1" applyFont="1" applyFill="1" applyBorder="1" applyAlignment="1">
      <alignment wrapText="1"/>
    </xf>
    <xf numFmtId="0" fontId="8" fillId="4" borderId="186" xfId="0" applyFont="1" applyFill="1" applyBorder="1"/>
    <xf numFmtId="170" fontId="3" fillId="0" borderId="52" xfId="0" applyNumberFormat="1" applyFont="1" applyBorder="1"/>
    <xf numFmtId="0" fontId="3" fillId="0" borderId="289" xfId="0" applyFont="1" applyBorder="1"/>
    <xf numFmtId="168" fontId="3" fillId="0" borderId="195" xfId="0" applyNumberFormat="1" applyFont="1" applyBorder="1"/>
    <xf numFmtId="0" fontId="3" fillId="0" borderId="290" xfId="0" applyFont="1" applyBorder="1"/>
    <xf numFmtId="0" fontId="3" fillId="0" borderId="291" xfId="0" applyFont="1" applyBorder="1"/>
    <xf numFmtId="0" fontId="8" fillId="12" borderId="137" xfId="0" applyFont="1" applyFill="1" applyBorder="1"/>
    <xf numFmtId="0" fontId="3" fillId="12" borderId="138" xfId="0" applyFont="1" applyFill="1" applyBorder="1"/>
    <xf numFmtId="0" fontId="3" fillId="21" borderId="292" xfId="0" applyFont="1" applyFill="1" applyBorder="1"/>
    <xf numFmtId="0" fontId="3" fillId="21" borderId="235" xfId="0" applyFont="1" applyFill="1" applyBorder="1"/>
    <xf numFmtId="168" fontId="8" fillId="12" borderId="293" xfId="0" applyNumberFormat="1" applyFont="1" applyFill="1" applyBorder="1"/>
    <xf numFmtId="170" fontId="8" fillId="0" borderId="0" xfId="0" applyNumberFormat="1" applyFont="1"/>
    <xf numFmtId="170" fontId="3" fillId="21" borderId="235" xfId="0" applyNumberFormat="1" applyFont="1" applyFill="1" applyBorder="1"/>
    <xf numFmtId="168" fontId="3" fillId="21" borderId="294" xfId="0" applyNumberFormat="1" applyFont="1" applyFill="1" applyBorder="1"/>
    <xf numFmtId="0" fontId="8" fillId="21" borderId="53" xfId="0" applyFont="1" applyFill="1" applyBorder="1"/>
    <xf numFmtId="0" fontId="3" fillId="21" borderId="3" xfId="0" applyFont="1" applyFill="1" applyBorder="1"/>
    <xf numFmtId="170" fontId="3" fillId="21" borderId="3" xfId="0" applyNumberFormat="1" applyFont="1" applyFill="1" applyBorder="1"/>
    <xf numFmtId="170" fontId="3" fillId="21" borderId="54" xfId="0" applyNumberFormat="1" applyFont="1" applyFill="1" applyBorder="1"/>
    <xf numFmtId="0" fontId="3" fillId="0" borderId="295" xfId="0" applyFont="1" applyBorder="1"/>
    <xf numFmtId="0" fontId="8" fillId="0" borderId="276" xfId="0" applyFont="1" applyBorder="1"/>
    <xf numFmtId="0" fontId="3" fillId="21" borderId="296" xfId="0" applyFont="1" applyFill="1" applyBorder="1"/>
    <xf numFmtId="0" fontId="3" fillId="21" borderId="189" xfId="0" applyFont="1" applyFill="1" applyBorder="1"/>
    <xf numFmtId="0" fontId="3" fillId="23" borderId="157" xfId="0" applyFont="1" applyFill="1" applyBorder="1"/>
    <xf numFmtId="170" fontId="3" fillId="21" borderId="189" xfId="0" applyNumberFormat="1" applyFont="1" applyFill="1" applyBorder="1"/>
    <xf numFmtId="170" fontId="3" fillId="21" borderId="297" xfId="0" applyNumberFormat="1" applyFont="1" applyFill="1" applyBorder="1"/>
    <xf numFmtId="168" fontId="3" fillId="23" borderId="118" xfId="0" applyNumberFormat="1" applyFont="1" applyFill="1" applyBorder="1"/>
    <xf numFmtId="0" fontId="3" fillId="0" borderId="298" xfId="0" applyFont="1" applyBorder="1"/>
    <xf numFmtId="0" fontId="3" fillId="0" borderId="299" xfId="0" applyFont="1" applyBorder="1"/>
    <xf numFmtId="0" fontId="3" fillId="0" borderId="157" xfId="0" applyFont="1" applyBorder="1" applyAlignment="1">
      <alignment horizontal="left"/>
    </xf>
    <xf numFmtId="168" fontId="3" fillId="0" borderId="118" xfId="0" applyNumberFormat="1" applyFont="1" applyBorder="1"/>
    <xf numFmtId="0" fontId="3" fillId="10" borderId="157" xfId="0" applyFont="1" applyFill="1" applyBorder="1"/>
    <xf numFmtId="168" fontId="3" fillId="10" borderId="118" xfId="0" applyNumberFormat="1" applyFont="1" applyFill="1" applyBorder="1"/>
    <xf numFmtId="0" fontId="3" fillId="6" borderId="157" xfId="0" applyFont="1" applyFill="1" applyBorder="1"/>
    <xf numFmtId="168" fontId="3" fillId="6" borderId="118" xfId="0" applyNumberFormat="1" applyFont="1" applyFill="1" applyBorder="1"/>
    <xf numFmtId="0" fontId="8" fillId="9" borderId="187" xfId="0" applyFont="1" applyFill="1" applyBorder="1"/>
    <xf numFmtId="168" fontId="3" fillId="9" borderId="190" xfId="0" applyNumberFormat="1" applyFont="1" applyFill="1" applyBorder="1"/>
    <xf numFmtId="0" fontId="20" fillId="0" borderId="0" xfId="0" applyFont="1" applyAlignment="1">
      <alignment wrapText="1"/>
    </xf>
    <xf numFmtId="0" fontId="32" fillId="0" borderId="0" xfId="0" applyFont="1"/>
    <xf numFmtId="0" fontId="3" fillId="0" borderId="0" xfId="0" applyFont="1" applyAlignment="1">
      <alignment horizontal="left" wrapText="1"/>
    </xf>
    <xf numFmtId="0" fontId="3" fillId="0" borderId="234" xfId="0" applyFont="1" applyBorder="1"/>
    <xf numFmtId="0" fontId="8" fillId="0" borderId="235" xfId="0" applyFont="1" applyBorder="1" applyAlignment="1">
      <alignment horizontal="center"/>
    </xf>
    <xf numFmtId="0" fontId="8" fillId="0" borderId="236" xfId="0" applyFont="1" applyBorder="1" applyAlignment="1">
      <alignment horizontal="center"/>
    </xf>
    <xf numFmtId="0" fontId="8" fillId="0" borderId="237" xfId="0" applyFont="1" applyBorder="1"/>
    <xf numFmtId="0" fontId="8" fillId="0" borderId="239" xfId="0" applyFont="1" applyBorder="1" applyAlignment="1">
      <alignment horizontal="center"/>
    </xf>
    <xf numFmtId="0" fontId="4" fillId="0" borderId="16" xfId="0" applyFont="1" applyBorder="1"/>
    <xf numFmtId="0" fontId="33" fillId="26" borderId="85" xfId="0" applyFont="1" applyFill="1" applyBorder="1"/>
    <xf numFmtId="0" fontId="4" fillId="26" borderId="85" xfId="0" applyFont="1" applyFill="1" applyBorder="1"/>
    <xf numFmtId="0" fontId="3" fillId="0" borderId="237" xfId="0" applyFont="1" applyBorder="1" applyAlignment="1">
      <alignment horizontal="center"/>
    </xf>
    <xf numFmtId="9" fontId="3" fillId="0" borderId="3" xfId="0" applyNumberFormat="1" applyFont="1" applyBorder="1"/>
    <xf numFmtId="0" fontId="4" fillId="0" borderId="178" xfId="0" applyFont="1" applyBorder="1"/>
    <xf numFmtId="0" fontId="8" fillId="0" borderId="237" xfId="0" applyFont="1" applyBorder="1" applyAlignment="1">
      <alignment horizontal="center"/>
    </xf>
    <xf numFmtId="0" fontId="3" fillId="3" borderId="48" xfId="0" applyFont="1" applyFill="1" applyBorder="1"/>
    <xf numFmtId="168" fontId="3" fillId="23" borderId="3" xfId="0" applyNumberFormat="1" applyFont="1" applyFill="1" applyBorder="1"/>
    <xf numFmtId="0" fontId="34" fillId="27" borderId="117" xfId="0" applyFont="1" applyFill="1" applyBorder="1" applyAlignment="1">
      <alignment horizontal="center" wrapText="1"/>
    </xf>
    <xf numFmtId="0" fontId="3" fillId="3" borderId="49" xfId="0" applyFont="1" applyFill="1" applyBorder="1"/>
    <xf numFmtId="0" fontId="4" fillId="27" borderId="3" xfId="0" applyFont="1" applyFill="1" applyBorder="1"/>
    <xf numFmtId="0" fontId="34" fillId="27" borderId="3" xfId="0" applyFont="1" applyFill="1" applyBorder="1" applyAlignment="1">
      <alignment horizontal="center" wrapText="1"/>
    </xf>
    <xf numFmtId="0" fontId="3" fillId="3" borderId="50" xfId="0" applyFont="1" applyFill="1" applyBorder="1"/>
    <xf numFmtId="0" fontId="4" fillId="27" borderId="117" xfId="0" applyFont="1" applyFill="1" applyBorder="1"/>
    <xf numFmtId="168" fontId="3" fillId="0" borderId="239" xfId="0" applyNumberFormat="1" applyFont="1" applyBorder="1"/>
    <xf numFmtId="0" fontId="4" fillId="0" borderId="2" xfId="0" applyFont="1" applyBorder="1"/>
    <xf numFmtId="0" fontId="8" fillId="4" borderId="3" xfId="0" applyFont="1" applyFill="1" applyBorder="1" applyAlignment="1">
      <alignment horizontal="center" wrapText="1"/>
    </xf>
    <xf numFmtId="0" fontId="4" fillId="0" borderId="3" xfId="0" applyFont="1" applyBorder="1"/>
    <xf numFmtId="0" fontId="14" fillId="0" borderId="237" xfId="0" applyFont="1" applyBorder="1" applyAlignment="1">
      <alignment horizontal="center"/>
    </xf>
    <xf numFmtId="0" fontId="8" fillId="4" borderId="3" xfId="0" applyFont="1" applyFill="1" applyBorder="1"/>
    <xf numFmtId="0" fontId="35" fillId="0" borderId="2" xfId="0" applyFont="1" applyBorder="1" applyAlignment="1">
      <alignment horizontal="right" wrapText="1"/>
    </xf>
    <xf numFmtId="3" fontId="36" fillId="28" borderId="3" xfId="0" applyNumberFormat="1" applyFont="1" applyFill="1" applyBorder="1" applyAlignment="1">
      <alignment horizontal="center" wrapText="1"/>
    </xf>
    <xf numFmtId="0" fontId="8" fillId="4" borderId="54" xfId="0" applyFont="1" applyFill="1" applyBorder="1" applyAlignment="1">
      <alignment horizontal="center" wrapText="1"/>
    </xf>
    <xf numFmtId="0" fontId="30" fillId="0" borderId="3" xfId="0" applyFont="1" applyBorder="1" applyAlignment="1">
      <alignment horizontal="right" wrapText="1"/>
    </xf>
    <xf numFmtId="178" fontId="3" fillId="0" borderId="239" xfId="0" applyNumberFormat="1" applyFont="1" applyBorder="1" applyAlignment="1">
      <alignment horizontal="center"/>
    </xf>
    <xf numFmtId="0" fontId="3" fillId="0" borderId="240" xfId="0" applyFont="1" applyBorder="1" applyAlignment="1">
      <alignment horizontal="center"/>
    </xf>
    <xf numFmtId="4" fontId="30" fillId="0" borderId="3" xfId="0" applyNumberFormat="1" applyFont="1" applyBorder="1" applyAlignment="1">
      <alignment horizontal="center" wrapText="1"/>
    </xf>
    <xf numFmtId="200" fontId="37" fillId="0" borderId="3" xfId="0" applyNumberFormat="1" applyFont="1" applyBorder="1" applyAlignment="1">
      <alignment horizontal="center" wrapText="1"/>
    </xf>
    <xf numFmtId="9" fontId="3" fillId="0" borderId="189" xfId="0" applyNumberFormat="1" applyFont="1" applyBorder="1"/>
    <xf numFmtId="166" fontId="3" fillId="3" borderId="3" xfId="0" applyNumberFormat="1" applyFont="1" applyFill="1" applyBorder="1" applyAlignment="1">
      <alignment horizontal="center"/>
    </xf>
    <xf numFmtId="0" fontId="39" fillId="27" borderId="6" xfId="0" applyFont="1" applyFill="1" applyBorder="1"/>
    <xf numFmtId="0" fontId="4" fillId="27" borderId="6" xfId="0" applyFont="1" applyFill="1" applyBorder="1"/>
    <xf numFmtId="0" fontId="4" fillId="0" borderId="5" xfId="0" applyFont="1" applyBorder="1"/>
    <xf numFmtId="0" fontId="40" fillId="29" borderId="284" xfId="0" applyFont="1" applyFill="1" applyBorder="1" applyAlignment="1">
      <alignment horizontal="center" wrapText="1"/>
    </xf>
    <xf numFmtId="0" fontId="4" fillId="29" borderId="260" xfId="0" applyFont="1" applyFill="1" applyBorder="1"/>
    <xf numFmtId="0" fontId="40" fillId="29" borderId="260" xfId="0" applyFont="1" applyFill="1" applyBorder="1" applyAlignment="1">
      <alignment horizontal="center" wrapText="1"/>
    </xf>
    <xf numFmtId="0" fontId="4" fillId="29" borderId="117" xfId="0" applyFont="1" applyFill="1" applyBorder="1"/>
    <xf numFmtId="0" fontId="4" fillId="29" borderId="3" xfId="0" applyFont="1" applyFill="1" applyBorder="1"/>
    <xf numFmtId="0" fontId="40" fillId="29" borderId="3" xfId="0" applyFont="1" applyFill="1" applyBorder="1" applyAlignment="1">
      <alignment horizontal="center" wrapText="1"/>
    </xf>
    <xf numFmtId="200" fontId="4" fillId="0" borderId="3" xfId="0" applyNumberFormat="1" applyFont="1" applyBorder="1"/>
    <xf numFmtId="0" fontId="40" fillId="0" borderId="2" xfId="0" applyFont="1" applyBorder="1" applyAlignment="1">
      <alignment horizontal="right" wrapText="1"/>
    </xf>
    <xf numFmtId="0" fontId="40" fillId="0" borderId="3" xfId="0" applyFont="1" applyBorder="1" applyAlignment="1">
      <alignment wrapText="1"/>
    </xf>
    <xf numFmtId="0" fontId="30" fillId="23" borderId="3" xfId="0" applyFont="1" applyFill="1" applyBorder="1" applyAlignment="1">
      <alignment horizontal="right" wrapText="1"/>
    </xf>
    <xf numFmtId="3" fontId="30" fillId="0" borderId="3" xfId="0" applyNumberFormat="1" applyFont="1" applyBorder="1" applyAlignment="1">
      <alignment horizontal="right" wrapText="1"/>
    </xf>
    <xf numFmtId="200" fontId="30" fillId="0" borderId="3" xfId="0" applyNumberFormat="1" applyFont="1" applyBorder="1" applyAlignment="1">
      <alignment horizontal="center" wrapText="1"/>
    </xf>
    <xf numFmtId="200" fontId="22" fillId="0" borderId="3" xfId="0" applyNumberFormat="1" applyFont="1" applyBorder="1" applyAlignment="1">
      <alignment horizontal="center"/>
    </xf>
    <xf numFmtId="166" fontId="3" fillId="25" borderId="3" xfId="0" applyNumberFormat="1" applyFont="1" applyFill="1" applyBorder="1" applyAlignment="1">
      <alignment horizontal="center"/>
    </xf>
    <xf numFmtId="166" fontId="3" fillId="0" borderId="3" xfId="0" applyNumberFormat="1" applyFont="1" applyBorder="1" applyAlignment="1">
      <alignment horizontal="center"/>
    </xf>
    <xf numFmtId="0" fontId="8" fillId="4" borderId="55" xfId="0" applyFont="1" applyFill="1" applyBorder="1"/>
    <xf numFmtId="0" fontId="3" fillId="4" borderId="56" xfId="0" applyFont="1" applyFill="1" applyBorder="1" applyAlignment="1">
      <alignment horizontal="center"/>
    </xf>
    <xf numFmtId="168" fontId="8" fillId="4" borderId="56" xfId="0" applyNumberFormat="1" applyFont="1" applyFill="1" applyBorder="1"/>
    <xf numFmtId="0" fontId="8" fillId="4" borderId="56" xfId="0" applyFont="1" applyFill="1" applyBorder="1" applyAlignment="1">
      <alignment horizontal="center"/>
    </xf>
    <xf numFmtId="169" fontId="8" fillId="4" borderId="56" xfId="0" applyNumberFormat="1" applyFont="1" applyFill="1" applyBorder="1"/>
    <xf numFmtId="179" fontId="8" fillId="4" borderId="56" xfId="0" applyNumberFormat="1" applyFont="1" applyFill="1" applyBorder="1"/>
    <xf numFmtId="0" fontId="3" fillId="4" borderId="56" xfId="0" applyFont="1" applyFill="1" applyBorder="1"/>
    <xf numFmtId="179" fontId="8" fillId="4" borderId="58" xfId="0" applyNumberFormat="1" applyFont="1" applyFill="1" applyBorder="1"/>
    <xf numFmtId="0" fontId="8" fillId="0" borderId="5" xfId="0" applyFont="1" applyBorder="1"/>
    <xf numFmtId="168" fontId="8" fillId="0" borderId="5" xfId="0" applyNumberFormat="1" applyFont="1" applyBorder="1"/>
    <xf numFmtId="169" fontId="8" fillId="0" borderId="5" xfId="0" applyNumberFormat="1" applyFont="1" applyBorder="1"/>
    <xf numFmtId="179" fontId="8" fillId="0" borderId="5" xfId="0" applyNumberFormat="1" applyFont="1" applyBorder="1"/>
    <xf numFmtId="0" fontId="3" fillId="3" borderId="49" xfId="0" applyFont="1" applyFill="1" applyBorder="1" applyAlignment="1">
      <alignment horizontal="center"/>
    </xf>
    <xf numFmtId="168" fontId="8" fillId="3" borderId="49" xfId="0" applyNumberFormat="1" applyFont="1" applyFill="1" applyBorder="1"/>
    <xf numFmtId="0" fontId="8" fillId="3" borderId="49" xfId="0" applyFont="1" applyFill="1" applyBorder="1" applyAlignment="1">
      <alignment horizontal="center"/>
    </xf>
    <xf numFmtId="169" fontId="8" fillId="3" borderId="49" xfId="0" applyNumberFormat="1" applyFont="1" applyFill="1" applyBorder="1"/>
    <xf numFmtId="179" fontId="8" fillId="3" borderId="49" xfId="0" applyNumberFormat="1" applyFont="1" applyFill="1" applyBorder="1"/>
    <xf numFmtId="0" fontId="8" fillId="4" borderId="56" xfId="0" applyFont="1" applyFill="1" applyBorder="1" applyAlignment="1">
      <alignment horizontal="center" vertical="center" wrapText="1"/>
    </xf>
    <xf numFmtId="0" fontId="8" fillId="4" borderId="56" xfId="0" applyFont="1" applyFill="1" applyBorder="1" applyAlignment="1">
      <alignment vertical="center"/>
    </xf>
    <xf numFmtId="0" fontId="8" fillId="4" borderId="56" xfId="0" applyFont="1" applyFill="1" applyBorder="1" applyAlignment="1">
      <alignment horizontal="center" wrapText="1"/>
    </xf>
    <xf numFmtId="0" fontId="8" fillId="4" borderId="58" xfId="0" applyFont="1" applyFill="1" applyBorder="1" applyAlignment="1">
      <alignment horizontal="center" vertical="center" wrapText="1"/>
    </xf>
    <xf numFmtId="0" fontId="8" fillId="0" borderId="302" xfId="0" applyFont="1" applyBorder="1"/>
    <xf numFmtId="0" fontId="8" fillId="0" borderId="178" xfId="0" applyFont="1" applyBorder="1" applyAlignment="1">
      <alignment horizontal="center" vertical="center" wrapText="1"/>
    </xf>
    <xf numFmtId="0" fontId="3" fillId="0" borderId="178" xfId="0" applyFont="1" applyBorder="1" applyAlignment="1">
      <alignment vertical="center"/>
    </xf>
    <xf numFmtId="0" fontId="3" fillId="0" borderId="178" xfId="0" applyFont="1" applyBorder="1" applyAlignment="1">
      <alignment horizontal="center" vertical="center"/>
    </xf>
    <xf numFmtId="0" fontId="3" fillId="0" borderId="178" xfId="0" applyFont="1" applyBorder="1" applyAlignment="1">
      <alignment horizontal="center"/>
    </xf>
    <xf numFmtId="179" fontId="18" fillId="0" borderId="178" xfId="0" applyNumberFormat="1" applyFont="1" applyBorder="1" applyAlignment="1">
      <alignment horizontal="center" vertical="center" wrapText="1"/>
    </xf>
    <xf numFmtId="0" fontId="3" fillId="0" borderId="178" xfId="0" applyFont="1" applyBorder="1" applyAlignment="1">
      <alignment horizontal="center" vertical="center" wrapText="1"/>
    </xf>
    <xf numFmtId="0" fontId="8" fillId="0" borderId="303" xfId="0" applyFont="1" applyBorder="1" applyAlignment="1">
      <alignment horizontal="center" vertical="center" wrapText="1"/>
    </xf>
    <xf numFmtId="0" fontId="3" fillId="0" borderId="3" xfId="0" applyFont="1" applyBorder="1" applyAlignment="1">
      <alignment horizontal="center" vertical="center"/>
    </xf>
    <xf numFmtId="179" fontId="3" fillId="0" borderId="3" xfId="0" applyNumberFormat="1" applyFont="1" applyBorder="1" applyAlignment="1">
      <alignment horizontal="center" vertical="center"/>
    </xf>
    <xf numFmtId="0" fontId="3" fillId="0" borderId="50" xfId="0" applyFont="1" applyBorder="1"/>
    <xf numFmtId="179" fontId="3" fillId="0" borderId="3" xfId="0" applyNumberFormat="1" applyFont="1" applyBorder="1" applyAlignment="1">
      <alignment horizontal="right"/>
    </xf>
    <xf numFmtId="0" fontId="3" fillId="0" borderId="275" xfId="0" applyFont="1" applyBorder="1"/>
    <xf numFmtId="0" fontId="3" fillId="0" borderId="276" xfId="0" applyFont="1" applyBorder="1"/>
    <xf numFmtId="179" fontId="3" fillId="0" borderId="54" xfId="0" applyNumberFormat="1" applyFont="1" applyBorder="1" applyAlignment="1">
      <alignment horizontal="right"/>
    </xf>
    <xf numFmtId="0" fontId="3" fillId="4" borderId="53" xfId="0" applyFont="1" applyFill="1" applyBorder="1"/>
    <xf numFmtId="0" fontId="8" fillId="4" borderId="157" xfId="0" applyFont="1" applyFill="1" applyBorder="1"/>
    <xf numFmtId="3" fontId="3" fillId="3" borderId="3" xfId="0" applyNumberFormat="1" applyFont="1" applyFill="1" applyBorder="1" applyAlignment="1">
      <alignment horizontal="center"/>
    </xf>
    <xf numFmtId="182" fontId="3" fillId="0" borderId="3" xfId="0" applyNumberFormat="1" applyFont="1" applyBorder="1" applyAlignment="1">
      <alignment horizontal="center"/>
    </xf>
    <xf numFmtId="171" fontId="3" fillId="0" borderId="3" xfId="0" applyNumberFormat="1" applyFont="1" applyBorder="1"/>
    <xf numFmtId="0" fontId="3" fillId="4" borderId="54" xfId="0" applyFont="1" applyFill="1" applyBorder="1"/>
    <xf numFmtId="170" fontId="3" fillId="4" borderId="3" xfId="0" applyNumberFormat="1" applyFont="1" applyFill="1" applyBorder="1"/>
    <xf numFmtId="170" fontId="8" fillId="4" borderId="3" xfId="0" applyNumberFormat="1" applyFont="1" applyFill="1" applyBorder="1"/>
    <xf numFmtId="168" fontId="3" fillId="4" borderId="3" xfId="0" applyNumberFormat="1" applyFont="1" applyFill="1" applyBorder="1"/>
    <xf numFmtId="168" fontId="8" fillId="4" borderId="3" xfId="0" applyNumberFormat="1" applyFont="1" applyFill="1" applyBorder="1"/>
    <xf numFmtId="171" fontId="8" fillId="4" borderId="3" xfId="0" applyNumberFormat="1" applyFont="1" applyFill="1" applyBorder="1"/>
    <xf numFmtId="0" fontId="3" fillId="4" borderId="157" xfId="0" applyFont="1" applyFill="1" applyBorder="1"/>
    <xf numFmtId="0" fontId="3" fillId="25" borderId="53" xfId="0" applyFont="1" applyFill="1" applyBorder="1"/>
    <xf numFmtId="170" fontId="3" fillId="25" borderId="3" xfId="0" applyNumberFormat="1" applyFont="1" applyFill="1" applyBorder="1"/>
    <xf numFmtId="170" fontId="8" fillId="25" borderId="3" xfId="0" applyNumberFormat="1" applyFont="1" applyFill="1" applyBorder="1"/>
    <xf numFmtId="0" fontId="3" fillId="25" borderId="54" xfId="0" applyFont="1" applyFill="1" applyBorder="1"/>
    <xf numFmtId="174" fontId="3" fillId="25" borderId="3" xfId="0" applyNumberFormat="1" applyFont="1" applyFill="1" applyBorder="1"/>
    <xf numFmtId="179" fontId="3" fillId="0" borderId="3" xfId="0" applyNumberFormat="1" applyFont="1" applyBorder="1" applyAlignment="1">
      <alignment horizontal="center"/>
    </xf>
    <xf numFmtId="11" fontId="3" fillId="25" borderId="3" xfId="0" applyNumberFormat="1" applyFont="1" applyFill="1" applyBorder="1"/>
    <xf numFmtId="2" fontId="8" fillId="25" borderId="3" xfId="0" applyNumberFormat="1" applyFont="1" applyFill="1" applyBorder="1"/>
    <xf numFmtId="3" fontId="25" fillId="3" borderId="3" xfId="0" applyNumberFormat="1" applyFont="1" applyFill="1" applyBorder="1" applyAlignment="1">
      <alignment horizontal="center"/>
    </xf>
    <xf numFmtId="0" fontId="25" fillId="2" borderId="3" xfId="0" applyFont="1" applyFill="1" applyBorder="1" applyAlignment="1">
      <alignment horizontal="center"/>
    </xf>
    <xf numFmtId="3" fontId="25" fillId="2" borderId="3" xfId="0" applyNumberFormat="1" applyFont="1" applyFill="1" applyBorder="1" applyAlignment="1">
      <alignment horizontal="center"/>
    </xf>
    <xf numFmtId="171" fontId="3" fillId="25" borderId="3" xfId="0" applyNumberFormat="1" applyFont="1" applyFill="1" applyBorder="1"/>
    <xf numFmtId="168" fontId="25" fillId="2" borderId="3" xfId="0" applyNumberFormat="1" applyFont="1" applyFill="1" applyBorder="1" applyAlignment="1">
      <alignment horizontal="center"/>
    </xf>
    <xf numFmtId="0" fontId="3" fillId="25" borderId="157" xfId="0" applyFont="1" applyFill="1" applyBorder="1"/>
    <xf numFmtId="2" fontId="25" fillId="2" borderId="3" xfId="0" applyNumberFormat="1" applyFont="1" applyFill="1" applyBorder="1" applyAlignment="1">
      <alignment horizontal="center"/>
    </xf>
    <xf numFmtId="179" fontId="25" fillId="2" borderId="3" xfId="0" applyNumberFormat="1" applyFont="1" applyFill="1" applyBorder="1" applyAlignment="1">
      <alignment horizontal="center" vertical="center"/>
    </xf>
    <xf numFmtId="179" fontId="25" fillId="2" borderId="3" xfId="0" applyNumberFormat="1" applyFont="1" applyFill="1" applyBorder="1" applyAlignment="1">
      <alignment horizontal="right"/>
    </xf>
    <xf numFmtId="179" fontId="25" fillId="2" borderId="54" xfId="0" applyNumberFormat="1" applyFont="1" applyFill="1" applyBorder="1" applyAlignment="1">
      <alignment horizontal="right"/>
    </xf>
    <xf numFmtId="0" fontId="3" fillId="0" borderId="180" xfId="0" applyFont="1" applyBorder="1"/>
    <xf numFmtId="0" fontId="3" fillId="14" borderId="304" xfId="0" applyFont="1" applyFill="1" applyBorder="1"/>
    <xf numFmtId="0" fontId="3" fillId="14" borderId="4" xfId="0" applyFont="1" applyFill="1" applyBorder="1"/>
    <xf numFmtId="0" fontId="8" fillId="14" borderId="4" xfId="0" applyFont="1" applyFill="1" applyBorder="1"/>
    <xf numFmtId="0" fontId="3" fillId="14" borderId="305" xfId="0" applyFont="1" applyFill="1" applyBorder="1"/>
    <xf numFmtId="0" fontId="3" fillId="14" borderId="53" xfId="0" applyFont="1" applyFill="1" applyBorder="1"/>
    <xf numFmtId="170" fontId="3" fillId="14" borderId="3" xfId="0" applyNumberFormat="1" applyFont="1" applyFill="1" applyBorder="1"/>
    <xf numFmtId="170" fontId="8" fillId="14" borderId="3" xfId="0" applyNumberFormat="1" applyFont="1" applyFill="1" applyBorder="1"/>
    <xf numFmtId="0" fontId="3" fillId="14" borderId="54" xfId="0" applyFont="1" applyFill="1" applyBorder="1"/>
    <xf numFmtId="2" fontId="3" fillId="14" borderId="3" xfId="0" applyNumberFormat="1" applyFont="1" applyFill="1" applyBorder="1"/>
    <xf numFmtId="2" fontId="8" fillId="14" borderId="3" xfId="0" applyNumberFormat="1" applyFont="1" applyFill="1" applyBorder="1"/>
    <xf numFmtId="171" fontId="8" fillId="14" borderId="3" xfId="0" applyNumberFormat="1" applyFont="1" applyFill="1" applyBorder="1"/>
    <xf numFmtId="0" fontId="3" fillId="14" borderId="157" xfId="0" applyFont="1" applyFill="1" applyBorder="1"/>
    <xf numFmtId="0" fontId="3" fillId="0" borderId="147" xfId="0" applyFont="1" applyBorder="1"/>
    <xf numFmtId="0" fontId="3" fillId="0" borderId="146" xfId="0" applyFont="1" applyBorder="1"/>
    <xf numFmtId="0" fontId="3" fillId="0" borderId="184" xfId="0" applyFont="1" applyBorder="1"/>
    <xf numFmtId="0" fontId="4" fillId="30" borderId="4" xfId="0" applyFont="1" applyFill="1" applyBorder="1"/>
    <xf numFmtId="168" fontId="8" fillId="4" borderId="56" xfId="0" applyNumberFormat="1" applyFont="1" applyFill="1" applyBorder="1" applyAlignment="1">
      <alignment horizontal="center"/>
    </xf>
    <xf numFmtId="0" fontId="4" fillId="6" borderId="4" xfId="0" applyFont="1" applyFill="1" applyBorder="1"/>
    <xf numFmtId="49" fontId="3" fillId="0" borderId="0" xfId="0" applyNumberFormat="1" applyFont="1"/>
    <xf numFmtId="179" fontId="8" fillId="4" borderId="56" xfId="0" applyNumberFormat="1" applyFont="1" applyFill="1" applyBorder="1" applyAlignment="1">
      <alignment horizontal="right"/>
    </xf>
    <xf numFmtId="49" fontId="3" fillId="0" borderId="0" xfId="0" applyNumberFormat="1" applyFont="1" applyAlignment="1">
      <alignment horizontal="center"/>
    </xf>
    <xf numFmtId="49" fontId="12" fillId="0" borderId="0" xfId="0" applyNumberFormat="1" applyFont="1" applyAlignment="1">
      <alignment horizontal="center"/>
    </xf>
    <xf numFmtId="0" fontId="8" fillId="0" borderId="295" xfId="0" applyFont="1" applyBorder="1" applyAlignment="1">
      <alignment horizontal="center"/>
    </xf>
    <xf numFmtId="179" fontId="8" fillId="4" borderId="58" xfId="0" applyNumberFormat="1" applyFont="1" applyFill="1" applyBorder="1" applyAlignment="1">
      <alignment horizontal="right"/>
    </xf>
    <xf numFmtId="0" fontId="8" fillId="0" borderId="275" xfId="0" applyFont="1" applyBorder="1" applyAlignment="1">
      <alignment horizontal="center"/>
    </xf>
    <xf numFmtId="0" fontId="8" fillId="0" borderId="275" xfId="0" applyFont="1" applyBorder="1" applyAlignment="1">
      <alignment horizontal="center" textRotation="90" shrinkToFit="1"/>
    </xf>
    <xf numFmtId="49" fontId="8" fillId="0" borderId="275" xfId="0" applyNumberFormat="1" applyFont="1" applyBorder="1" applyAlignment="1">
      <alignment horizontal="center" textRotation="90" shrinkToFit="1"/>
    </xf>
    <xf numFmtId="0" fontId="8" fillId="0" borderId="275" xfId="0" applyFont="1" applyBorder="1" applyAlignment="1">
      <alignment horizontal="center" textRotation="90" wrapText="1"/>
    </xf>
    <xf numFmtId="49" fontId="8" fillId="0" borderId="275" xfId="0" applyNumberFormat="1" applyFont="1" applyBorder="1" applyAlignment="1">
      <alignment horizontal="center" textRotation="90" wrapText="1"/>
    </xf>
    <xf numFmtId="179" fontId="8" fillId="0" borderId="0" xfId="0" applyNumberFormat="1" applyFont="1" applyAlignment="1">
      <alignment horizontal="right"/>
    </xf>
    <xf numFmtId="0" fontId="8" fillId="0" borderId="275" xfId="0" applyFont="1" applyBorder="1" applyAlignment="1">
      <alignment horizontal="center" textRotation="90"/>
    </xf>
    <xf numFmtId="0" fontId="8" fillId="0" borderId="276" xfId="0" applyFont="1" applyBorder="1" applyAlignment="1">
      <alignment horizontal="center" textRotation="90" wrapText="1"/>
    </xf>
    <xf numFmtId="49" fontId="3" fillId="0" borderId="3" xfId="0" applyNumberFormat="1" applyFont="1" applyBorder="1"/>
    <xf numFmtId="49" fontId="3" fillId="0" borderId="3" xfId="0" applyNumberFormat="1" applyFont="1" applyBorder="1" applyAlignment="1">
      <alignment horizontal="center"/>
    </xf>
    <xf numFmtId="3" fontId="3" fillId="0" borderId="118" xfId="0" applyNumberFormat="1" applyFont="1" applyBorder="1"/>
    <xf numFmtId="0" fontId="3" fillId="30" borderId="3" xfId="0" applyFont="1" applyFill="1" applyBorder="1"/>
    <xf numFmtId="179" fontId="3" fillId="30" borderId="3" xfId="0" applyNumberFormat="1" applyFont="1" applyFill="1" applyBorder="1"/>
    <xf numFmtId="3" fontId="3" fillId="30" borderId="3" xfId="0" applyNumberFormat="1" applyFont="1" applyFill="1" applyBorder="1"/>
    <xf numFmtId="166" fontId="8" fillId="4" borderId="3" xfId="0" applyNumberFormat="1" applyFont="1" applyFill="1" applyBorder="1" applyAlignment="1">
      <alignment horizontal="center" wrapText="1"/>
    </xf>
    <xf numFmtId="3" fontId="3" fillId="30" borderId="3" xfId="0" applyNumberFormat="1" applyFont="1" applyFill="1" applyBorder="1" applyAlignment="1">
      <alignment horizontal="center"/>
    </xf>
    <xf numFmtId="0" fontId="8" fillId="4" borderId="3" xfId="0" applyFont="1" applyFill="1" applyBorder="1" applyAlignment="1">
      <alignment vertical="center"/>
    </xf>
    <xf numFmtId="0" fontId="8" fillId="4" borderId="3" xfId="0" applyFont="1" applyFill="1" applyBorder="1" applyAlignment="1">
      <alignment horizontal="center"/>
    </xf>
    <xf numFmtId="0" fontId="3" fillId="30" borderId="3" xfId="0" applyFont="1" applyFill="1" applyBorder="1" applyAlignment="1">
      <alignment horizontal="center"/>
    </xf>
    <xf numFmtId="1" fontId="3" fillId="30" borderId="3" xfId="0" applyNumberFormat="1" applyFont="1" applyFill="1" applyBorder="1" applyAlignment="1">
      <alignment horizontal="center"/>
    </xf>
    <xf numFmtId="9" fontId="3" fillId="30" borderId="3" xfId="0" applyNumberFormat="1" applyFont="1" applyFill="1" applyBorder="1"/>
    <xf numFmtId="182" fontId="3" fillId="30" borderId="3" xfId="0" applyNumberFormat="1" applyFont="1" applyFill="1" applyBorder="1"/>
    <xf numFmtId="166" fontId="8" fillId="0" borderId="3" xfId="0" applyNumberFormat="1" applyFont="1" applyBorder="1" applyAlignment="1">
      <alignment horizontal="center" vertical="center" wrapText="1"/>
    </xf>
    <xf numFmtId="0" fontId="3" fillId="0" borderId="3" xfId="0" applyFont="1" applyBorder="1" applyAlignment="1">
      <alignment vertical="center"/>
    </xf>
    <xf numFmtId="0" fontId="41" fillId="0" borderId="0" xfId="0" applyFont="1"/>
    <xf numFmtId="0" fontId="42" fillId="0" borderId="0" xfId="0" applyFont="1"/>
    <xf numFmtId="0" fontId="42" fillId="0" borderId="0" xfId="0" applyFont="1" applyAlignment="1">
      <alignment vertical="center"/>
    </xf>
    <xf numFmtId="0" fontId="43" fillId="0" borderId="0" xfId="0" applyFont="1"/>
    <xf numFmtId="177" fontId="3" fillId="0" borderId="3" xfId="0" applyNumberFormat="1" applyFont="1" applyBorder="1" applyAlignment="1">
      <alignment horizontal="center"/>
    </xf>
    <xf numFmtId="3" fontId="3" fillId="30" borderId="118" xfId="0" applyNumberFormat="1" applyFont="1" applyFill="1" applyBorder="1"/>
    <xf numFmtId="177" fontId="3" fillId="0" borderId="54" xfId="0" applyNumberFormat="1" applyFont="1" applyBorder="1" applyAlignment="1">
      <alignment horizontal="center"/>
    </xf>
    <xf numFmtId="1" fontId="3" fillId="0" borderId="3" xfId="0" applyNumberFormat="1" applyFont="1" applyBorder="1" applyAlignment="1">
      <alignment horizontal="center"/>
    </xf>
    <xf numFmtId="0" fontId="41" fillId="0" borderId="242" xfId="0" applyFont="1" applyBorder="1"/>
    <xf numFmtId="0" fontId="41" fillId="0" borderId="243" xfId="0" applyFont="1" applyBorder="1"/>
    <xf numFmtId="168" fontId="3" fillId="0" borderId="54" xfId="0" applyNumberFormat="1" applyFont="1" applyBorder="1" applyAlignment="1">
      <alignment horizontal="center"/>
    </xf>
    <xf numFmtId="0" fontId="45" fillId="0" borderId="237" xfId="0" applyFont="1" applyBorder="1" applyAlignment="1">
      <alignment horizontal="center" wrapText="1"/>
    </xf>
    <xf numFmtId="0" fontId="45" fillId="0" borderId="3" xfId="0" applyFont="1" applyBorder="1" applyAlignment="1">
      <alignment horizontal="center" wrapText="1"/>
    </xf>
    <xf numFmtId="0" fontId="41" fillId="0" borderId="3" xfId="0" applyFont="1" applyBorder="1" applyAlignment="1">
      <alignment horizontal="center" wrapText="1"/>
    </xf>
    <xf numFmtId="0" fontId="41" fillId="0" borderId="3" xfId="0" applyFont="1" applyBorder="1"/>
    <xf numFmtId="0" fontId="45" fillId="0" borderId="239" xfId="0" applyFont="1" applyBorder="1" applyAlignment="1">
      <alignment horizontal="center" wrapText="1"/>
    </xf>
    <xf numFmtId="0" fontId="41" fillId="2" borderId="3" xfId="0" applyFont="1" applyFill="1" applyBorder="1"/>
    <xf numFmtId="0" fontId="45" fillId="0" borderId="0" xfId="0" applyFont="1"/>
    <xf numFmtId="0" fontId="45" fillId="0" borderId="237" xfId="0" applyFont="1" applyBorder="1" applyAlignment="1">
      <alignment horizontal="center"/>
    </xf>
    <xf numFmtId="168" fontId="45" fillId="0" borderId="3" xfId="0" applyNumberFormat="1" applyFont="1" applyBorder="1"/>
    <xf numFmtId="0" fontId="45" fillId="0" borderId="3" xfId="0" applyFont="1" applyBorder="1" applyAlignment="1">
      <alignment horizontal="center"/>
    </xf>
    <xf numFmtId="169" fontId="45" fillId="0" borderId="3" xfId="0" applyNumberFormat="1" applyFont="1" applyBorder="1"/>
    <xf numFmtId="1" fontId="45" fillId="0" borderId="3" xfId="0" applyNumberFormat="1" applyFont="1" applyBorder="1"/>
    <xf numFmtId="172" fontId="45" fillId="0" borderId="3" xfId="0" applyNumberFormat="1" applyFont="1" applyBorder="1"/>
    <xf numFmtId="170" fontId="45" fillId="0" borderId="3" xfId="0" applyNumberFormat="1" applyFont="1" applyBorder="1"/>
    <xf numFmtId="10" fontId="45" fillId="0" borderId="3" xfId="0" applyNumberFormat="1" applyFont="1" applyBorder="1"/>
    <xf numFmtId="176" fontId="45" fillId="0" borderId="3" xfId="0" applyNumberFormat="1" applyFont="1" applyBorder="1"/>
    <xf numFmtId="0" fontId="45" fillId="0" borderId="3" xfId="0" applyFont="1" applyBorder="1"/>
    <xf numFmtId="179" fontId="45" fillId="0" borderId="239" xfId="0" applyNumberFormat="1" applyFont="1" applyBorder="1"/>
    <xf numFmtId="3" fontId="41" fillId="2" borderId="3" xfId="0" applyNumberFormat="1" applyFont="1" applyFill="1" applyBorder="1" applyAlignment="1">
      <alignment horizontal="right"/>
    </xf>
    <xf numFmtId="0" fontId="41" fillId="0" borderId="267" xfId="0" applyFont="1" applyBorder="1"/>
    <xf numFmtId="0" fontId="41" fillId="0" borderId="134" xfId="0" applyFont="1" applyBorder="1"/>
    <xf numFmtId="0" fontId="41" fillId="0" borderId="268" xfId="0" applyFont="1" applyBorder="1"/>
    <xf numFmtId="0" fontId="44" fillId="4" borderId="307" xfId="0" applyFont="1" applyFill="1" applyBorder="1" applyAlignment="1">
      <alignment vertical="center"/>
    </xf>
    <xf numFmtId="0" fontId="41" fillId="4" borderId="308" xfId="0" applyFont="1" applyFill="1" applyBorder="1"/>
    <xf numFmtId="10" fontId="3" fillId="30" borderId="3" xfId="0" applyNumberFormat="1" applyFont="1" applyFill="1" applyBorder="1"/>
    <xf numFmtId="0" fontId="41" fillId="0" borderId="245" xfId="0" applyFont="1" applyBorder="1"/>
    <xf numFmtId="166" fontId="25" fillId="2" borderId="3" xfId="0" applyNumberFormat="1" applyFont="1" applyFill="1" applyBorder="1" applyAlignment="1">
      <alignment horizontal="center"/>
    </xf>
    <xf numFmtId="0" fontId="25" fillId="2" borderId="3" xfId="0" applyFont="1" applyFill="1" applyBorder="1"/>
    <xf numFmtId="9" fontId="45" fillId="0" borderId="3" xfId="0" applyNumberFormat="1" applyFont="1" applyBorder="1"/>
    <xf numFmtId="168" fontId="25" fillId="2" borderId="3" xfId="0" applyNumberFormat="1" applyFont="1" applyFill="1" applyBorder="1"/>
    <xf numFmtId="171" fontId="45" fillId="0" borderId="3" xfId="0" applyNumberFormat="1" applyFont="1" applyBorder="1"/>
    <xf numFmtId="168" fontId="25" fillId="2" borderId="54" xfId="0" applyNumberFormat="1" applyFont="1" applyFill="1" applyBorder="1" applyAlignment="1">
      <alignment horizontal="center"/>
    </xf>
    <xf numFmtId="201" fontId="45" fillId="0" borderId="3" xfId="0" applyNumberFormat="1" applyFont="1" applyBorder="1"/>
    <xf numFmtId="3" fontId="3" fillId="0" borderId="2" xfId="0" applyNumberFormat="1" applyFont="1" applyBorder="1"/>
    <xf numFmtId="182" fontId="3" fillId="0" borderId="2" xfId="0" applyNumberFormat="1" applyFont="1" applyBorder="1"/>
    <xf numFmtId="2" fontId="45" fillId="0" borderId="3" xfId="0" applyNumberFormat="1" applyFont="1" applyBorder="1"/>
    <xf numFmtId="3" fontId="3" fillId="0" borderId="2" xfId="0" applyNumberFormat="1" applyFont="1" applyBorder="1" applyAlignment="1">
      <alignment horizontal="right"/>
    </xf>
    <xf numFmtId="9" fontId="3" fillId="0" borderId="2" xfId="0" applyNumberFormat="1" applyFont="1" applyBorder="1" applyAlignment="1">
      <alignment horizontal="right"/>
    </xf>
    <xf numFmtId="3" fontId="3" fillId="0" borderId="219" xfId="0" applyNumberFormat="1" applyFont="1" applyBorder="1" applyAlignment="1">
      <alignment horizontal="right"/>
    </xf>
    <xf numFmtId="179" fontId="45" fillId="0" borderId="3" xfId="0" applyNumberFormat="1" applyFont="1" applyBorder="1"/>
    <xf numFmtId="0" fontId="45" fillId="0" borderId="245" xfId="0" applyFont="1" applyBorder="1"/>
    <xf numFmtId="0" fontId="41" fillId="0" borderId="237" xfId="0" applyFont="1" applyBorder="1"/>
    <xf numFmtId="0" fontId="41" fillId="0" borderId="3" xfId="0" applyFont="1" applyBorder="1" applyAlignment="1">
      <alignment horizontal="center"/>
    </xf>
    <xf numFmtId="0" fontId="41" fillId="0" borderId="3" xfId="0" applyFont="1" applyBorder="1" applyAlignment="1">
      <alignment horizontal="center" vertical="top" wrapText="1"/>
    </xf>
    <xf numFmtId="0" fontId="41" fillId="0" borderId="3" xfId="0" applyFont="1" applyBorder="1" applyAlignment="1">
      <alignment horizontal="center" vertical="top"/>
    </xf>
    <xf numFmtId="0" fontId="41" fillId="0" borderId="239" xfId="0" applyFont="1" applyBorder="1" applyAlignment="1">
      <alignment horizontal="center" vertical="top"/>
    </xf>
    <xf numFmtId="168" fontId="45" fillId="0" borderId="3" xfId="0" applyNumberFormat="1" applyFont="1" applyBorder="1" applyAlignment="1">
      <alignment horizontal="center"/>
    </xf>
    <xf numFmtId="3" fontId="3" fillId="4" borderId="3" xfId="0" applyNumberFormat="1" applyFont="1" applyFill="1" applyBorder="1" applyAlignment="1">
      <alignment horizontal="center"/>
    </xf>
    <xf numFmtId="168" fontId="8" fillId="4" borderId="3" xfId="0" applyNumberFormat="1" applyFont="1" applyFill="1" applyBorder="1" applyAlignment="1">
      <alignment horizontal="center"/>
    </xf>
    <xf numFmtId="168" fontId="3" fillId="4" borderId="3" xfId="0" applyNumberFormat="1" applyFont="1" applyFill="1" applyBorder="1" applyAlignment="1">
      <alignment horizontal="center"/>
    </xf>
    <xf numFmtId="177" fontId="8" fillId="4" borderId="3" xfId="0" applyNumberFormat="1" applyFont="1" applyFill="1" applyBorder="1" applyAlignment="1">
      <alignment horizontal="center"/>
    </xf>
    <xf numFmtId="177" fontId="8" fillId="4" borderId="54" xfId="0" applyNumberFormat="1" applyFont="1" applyFill="1" applyBorder="1" applyAlignment="1">
      <alignment horizontal="center"/>
    </xf>
    <xf numFmtId="0" fontId="3" fillId="0" borderId="56" xfId="0" applyFont="1" applyBorder="1" applyAlignment="1">
      <alignment horizontal="center"/>
    </xf>
    <xf numFmtId="168" fontId="8" fillId="0" borderId="56" xfId="0" applyNumberFormat="1" applyFont="1" applyBorder="1"/>
    <xf numFmtId="179" fontId="45" fillId="0" borderId="3" xfId="0" applyNumberFormat="1" applyFont="1" applyBorder="1" applyAlignment="1">
      <alignment horizontal="center"/>
    </xf>
    <xf numFmtId="169" fontId="8" fillId="0" borderId="56" xfId="0" applyNumberFormat="1" applyFont="1" applyBorder="1"/>
    <xf numFmtId="179" fontId="8" fillId="0" borderId="56" xfId="0" applyNumberFormat="1" applyFont="1" applyBorder="1"/>
    <xf numFmtId="178" fontId="45" fillId="0" borderId="239" xfId="0" applyNumberFormat="1" applyFont="1" applyBorder="1"/>
    <xf numFmtId="0" fontId="45" fillId="0" borderId="267" xfId="0" applyFont="1" applyBorder="1" applyAlignment="1">
      <alignment horizontal="center"/>
    </xf>
    <xf numFmtId="168" fontId="45" fillId="0" borderId="134" xfId="0" applyNumberFormat="1" applyFont="1" applyBorder="1"/>
    <xf numFmtId="0" fontId="45" fillId="0" borderId="134" xfId="0" applyFont="1" applyBorder="1" applyAlignment="1">
      <alignment horizontal="center"/>
    </xf>
    <xf numFmtId="170" fontId="45" fillId="0" borderId="134" xfId="0" applyNumberFormat="1" applyFont="1" applyBorder="1"/>
    <xf numFmtId="9" fontId="45" fillId="0" borderId="134" xfId="0" applyNumberFormat="1" applyFont="1" applyBorder="1"/>
    <xf numFmtId="2" fontId="45" fillId="0" borderId="134" xfId="0" applyNumberFormat="1" applyFont="1" applyBorder="1"/>
    <xf numFmtId="172" fontId="45" fillId="0" borderId="134" xfId="0" applyNumberFormat="1" applyFont="1" applyBorder="1"/>
    <xf numFmtId="168" fontId="45" fillId="0" borderId="134" xfId="0" applyNumberFormat="1" applyFont="1" applyBorder="1" applyAlignment="1">
      <alignment horizontal="center"/>
    </xf>
    <xf numFmtId="179" fontId="45" fillId="0" borderId="134" xfId="0" applyNumberFormat="1" applyFont="1" applyBorder="1"/>
    <xf numFmtId="176" fontId="45" fillId="0" borderId="134" xfId="0" applyNumberFormat="1" applyFont="1" applyBorder="1"/>
    <xf numFmtId="179" fontId="45" fillId="0" borderId="134" xfId="0" applyNumberFormat="1" applyFont="1" applyBorder="1" applyAlignment="1">
      <alignment horizontal="center"/>
    </xf>
    <xf numFmtId="0" fontId="3" fillId="3" borderId="181" xfId="0" applyFont="1" applyFill="1" applyBorder="1" applyAlignment="1">
      <alignment horizontal="left"/>
    </xf>
    <xf numFmtId="178" fontId="45" fillId="0" borderId="268" xfId="0" applyNumberFormat="1" applyFont="1" applyBorder="1"/>
    <xf numFmtId="0" fontId="3" fillId="3" borderId="164" xfId="0" applyFont="1" applyFill="1" applyBorder="1" applyAlignment="1">
      <alignment horizontal="center"/>
    </xf>
    <xf numFmtId="0" fontId="3" fillId="3" borderId="110" xfId="0" applyFont="1" applyFill="1" applyBorder="1" applyAlignment="1">
      <alignment horizontal="center"/>
    </xf>
    <xf numFmtId="168" fontId="8" fillId="3" borderId="164" xfId="0" applyNumberFormat="1" applyFont="1" applyFill="1" applyBorder="1"/>
    <xf numFmtId="0" fontId="8" fillId="3" borderId="164" xfId="0" applyFont="1" applyFill="1" applyBorder="1" applyAlignment="1">
      <alignment horizontal="center"/>
    </xf>
    <xf numFmtId="169" fontId="8" fillId="3" borderId="164" xfId="0" applyNumberFormat="1" applyFont="1" applyFill="1" applyBorder="1"/>
    <xf numFmtId="179" fontId="8" fillId="3" borderId="164" xfId="0" applyNumberFormat="1" applyFont="1" applyFill="1" applyBorder="1"/>
    <xf numFmtId="0" fontId="3" fillId="3" borderId="164" xfId="0" applyFont="1" applyFill="1" applyBorder="1"/>
    <xf numFmtId="0" fontId="3" fillId="3" borderId="110" xfId="0" applyFont="1" applyFill="1" applyBorder="1"/>
    <xf numFmtId="171" fontId="3" fillId="0" borderId="5" xfId="0" applyNumberFormat="1" applyFont="1" applyBorder="1"/>
    <xf numFmtId="0" fontId="41" fillId="0" borderId="239" xfId="0" applyFont="1" applyBorder="1" applyAlignment="1">
      <alignment horizontal="center"/>
    </xf>
    <xf numFmtId="0" fontId="18" fillId="4" borderId="186" xfId="0" applyFont="1" applyFill="1" applyBorder="1" applyAlignment="1">
      <alignment wrapText="1"/>
    </xf>
    <xf numFmtId="0" fontId="8" fillId="4" borderId="52" xfId="0" applyFont="1" applyFill="1" applyBorder="1" applyAlignment="1">
      <alignment horizontal="center" wrapText="1"/>
    </xf>
    <xf numFmtId="165" fontId="45" fillId="0" borderId="3" xfId="0" applyNumberFormat="1" applyFont="1" applyBorder="1"/>
    <xf numFmtId="0" fontId="8" fillId="4" borderId="52" xfId="0" applyFont="1" applyFill="1" applyBorder="1"/>
    <xf numFmtId="0" fontId="8" fillId="4" borderId="52" xfId="0" applyFont="1" applyFill="1" applyBorder="1" applyAlignment="1">
      <alignment horizontal="center"/>
    </xf>
    <xf numFmtId="168" fontId="45" fillId="0" borderId="3" xfId="0" applyNumberFormat="1" applyFont="1" applyBorder="1" applyAlignment="1">
      <alignment horizontal="left"/>
    </xf>
    <xf numFmtId="0" fontId="3" fillId="4" borderId="52" xfId="0" applyFont="1" applyFill="1" applyBorder="1" applyAlignment="1">
      <alignment horizontal="center"/>
    </xf>
    <xf numFmtId="11" fontId="45" fillId="0" borderId="3" xfId="0" applyNumberFormat="1" applyFont="1" applyBorder="1" applyAlignment="1">
      <alignment horizontal="right"/>
    </xf>
    <xf numFmtId="171" fontId="8" fillId="4" borderId="52" xfId="0" applyNumberFormat="1" applyFont="1" applyFill="1" applyBorder="1" applyAlignment="1">
      <alignment horizontal="center" wrapText="1"/>
    </xf>
    <xf numFmtId="0" fontId="8" fillId="4" borderId="195" xfId="0" applyFont="1" applyFill="1" applyBorder="1" applyAlignment="1">
      <alignment horizontal="center" wrapText="1"/>
    </xf>
    <xf numFmtId="0" fontId="3" fillId="0" borderId="48" xfId="0" applyFont="1" applyBorder="1" applyAlignment="1">
      <alignment vertical="center" wrapText="1"/>
    </xf>
    <xf numFmtId="0" fontId="3" fillId="0" borderId="49" xfId="0" applyFont="1" applyBorder="1" applyAlignment="1">
      <alignment horizontal="left" wrapText="1"/>
    </xf>
    <xf numFmtId="168" fontId="3" fillId="22" borderId="49" xfId="0" applyNumberFormat="1" applyFont="1" applyFill="1" applyBorder="1" applyAlignment="1">
      <alignment horizontal="center" vertical="center" wrapText="1"/>
    </xf>
    <xf numFmtId="0" fontId="8" fillId="0" borderId="49" xfId="0" applyFont="1" applyBorder="1" applyAlignment="1">
      <alignment wrapText="1"/>
    </xf>
    <xf numFmtId="169" fontId="3" fillId="0" borderId="49" xfId="0" applyNumberFormat="1" applyFont="1" applyBorder="1"/>
    <xf numFmtId="164" fontId="45" fillId="0" borderId="239" xfId="0" applyNumberFormat="1" applyFont="1" applyBorder="1"/>
    <xf numFmtId="168" fontId="3" fillId="0" borderId="49" xfId="0" applyNumberFormat="1" applyFont="1" applyBorder="1" applyAlignment="1">
      <alignment horizontal="center"/>
    </xf>
    <xf numFmtId="168" fontId="8" fillId="0" borderId="49" xfId="0" applyNumberFormat="1" applyFont="1" applyBorder="1" applyAlignment="1">
      <alignment horizontal="center" wrapText="1"/>
    </xf>
    <xf numFmtId="0" fontId="8" fillId="4" borderId="49" xfId="0" applyFont="1" applyFill="1" applyBorder="1" applyAlignment="1">
      <alignment horizontal="right"/>
    </xf>
    <xf numFmtId="0" fontId="45" fillId="31" borderId="309" xfId="0" applyFont="1" applyFill="1" applyBorder="1"/>
    <xf numFmtId="0" fontId="41" fillId="31" borderId="138" xfId="0" applyFont="1" applyFill="1" applyBorder="1"/>
    <xf numFmtId="171" fontId="8" fillId="0" borderId="49" xfId="0" applyNumberFormat="1" applyFont="1" applyBorder="1" applyAlignment="1">
      <alignment horizontal="center"/>
    </xf>
    <xf numFmtId="0" fontId="41" fillId="31" borderId="293" xfId="0" applyFont="1" applyFill="1" applyBorder="1"/>
    <xf numFmtId="0" fontId="45" fillId="0" borderId="234" xfId="0" applyFont="1" applyBorder="1" applyAlignment="1">
      <alignment horizontal="center" wrapText="1"/>
    </xf>
    <xf numFmtId="174" fontId="8" fillId="0" borderId="49" xfId="0" applyNumberFormat="1" applyFont="1" applyBorder="1" applyAlignment="1">
      <alignment horizontal="center"/>
    </xf>
    <xf numFmtId="0" fontId="45" fillId="0" borderId="235" xfId="0" applyFont="1" applyBorder="1" applyAlignment="1">
      <alignment horizontal="center" wrapText="1"/>
    </xf>
    <xf numFmtId="0" fontId="41" fillId="0" borderId="235" xfId="0" applyFont="1" applyBorder="1"/>
    <xf numFmtId="174" fontId="8" fillId="4" borderId="50" xfId="0" applyNumberFormat="1" applyFont="1" applyFill="1" applyBorder="1" applyAlignment="1">
      <alignment horizontal="center"/>
    </xf>
    <xf numFmtId="0" fontId="45" fillId="0" borderId="236" xfId="0" applyFont="1" applyBorder="1" applyAlignment="1">
      <alignment horizontal="center" wrapText="1"/>
    </xf>
    <xf numFmtId="0" fontId="3" fillId="0" borderId="3" xfId="0" applyFont="1" applyBorder="1" applyAlignment="1">
      <alignment horizontal="left" wrapText="1"/>
    </xf>
    <xf numFmtId="168" fontId="3" fillId="22" borderId="3" xfId="0" applyNumberFormat="1" applyFont="1" applyFill="1" applyBorder="1" applyAlignment="1">
      <alignment horizontal="center" vertical="center"/>
    </xf>
    <xf numFmtId="0" fontId="8" fillId="4" borderId="3" xfId="0" applyFont="1" applyFill="1" applyBorder="1" applyAlignment="1">
      <alignment horizontal="right"/>
    </xf>
    <xf numFmtId="199" fontId="45" fillId="0" borderId="3" xfId="0" applyNumberFormat="1" applyFont="1" applyBorder="1" applyAlignment="1">
      <alignment horizontal="center"/>
    </xf>
    <xf numFmtId="171" fontId="8" fillId="0" borderId="3" xfId="0" applyNumberFormat="1" applyFont="1" applyBorder="1" applyAlignment="1">
      <alignment horizontal="center"/>
    </xf>
    <xf numFmtId="1" fontId="45" fillId="0" borderId="3" xfId="0" applyNumberFormat="1" applyFont="1" applyBorder="1" applyAlignment="1">
      <alignment horizontal="center"/>
    </xf>
    <xf numFmtId="174" fontId="8" fillId="4" borderId="54" xfId="0" applyNumberFormat="1" applyFont="1" applyFill="1" applyBorder="1" applyAlignment="1">
      <alignment horizontal="center"/>
    </xf>
    <xf numFmtId="165" fontId="45" fillId="0" borderId="3" xfId="0" applyNumberFormat="1" applyFont="1" applyBorder="1" applyAlignment="1">
      <alignment horizontal="center"/>
    </xf>
    <xf numFmtId="43" fontId="45" fillId="0" borderId="3" xfId="0" applyNumberFormat="1" applyFont="1" applyBorder="1" applyAlignment="1">
      <alignment horizontal="center"/>
    </xf>
    <xf numFmtId="9" fontId="45" fillId="0" borderId="3" xfId="0" applyNumberFormat="1" applyFont="1" applyBorder="1" applyAlignment="1">
      <alignment horizontal="center"/>
    </xf>
    <xf numFmtId="11" fontId="45" fillId="0" borderId="3" xfId="0" applyNumberFormat="1" applyFont="1" applyBorder="1" applyAlignment="1">
      <alignment horizontal="center"/>
    </xf>
    <xf numFmtId="0" fontId="45" fillId="0" borderId="3" xfId="0" quotePrefix="1" applyFont="1" applyBorder="1" applyAlignment="1">
      <alignment horizontal="center"/>
    </xf>
    <xf numFmtId="164" fontId="45" fillId="0" borderId="239" xfId="0" applyNumberFormat="1" applyFont="1" applyBorder="1" applyAlignment="1">
      <alignment horizontal="center"/>
    </xf>
    <xf numFmtId="168" fontId="3" fillId="22" borderId="3" xfId="0" applyNumberFormat="1" applyFont="1" applyFill="1" applyBorder="1" applyAlignment="1">
      <alignment horizontal="center" vertical="center" wrapText="1"/>
    </xf>
    <xf numFmtId="0" fontId="45" fillId="31" borderId="310" xfId="0" applyFont="1" applyFill="1" applyBorder="1"/>
    <xf numFmtId="0" fontId="41" fillId="31" borderId="311" xfId="0" applyFont="1" applyFill="1" applyBorder="1"/>
    <xf numFmtId="0" fontId="41" fillId="31" borderId="312" xfId="0" applyFont="1" applyFill="1" applyBorder="1"/>
    <xf numFmtId="0" fontId="41" fillId="0" borderId="316" xfId="0" applyFont="1" applyBorder="1"/>
    <xf numFmtId="0" fontId="45" fillId="0" borderId="178" xfId="0" applyFont="1" applyBorder="1" applyAlignment="1">
      <alignment horizontal="center" wrapText="1"/>
    </xf>
    <xf numFmtId="0" fontId="41" fillId="0" borderId="178" xfId="0" applyFont="1" applyBorder="1"/>
    <xf numFmtId="0" fontId="41" fillId="0" borderId="317" xfId="0" applyFont="1" applyBorder="1"/>
    <xf numFmtId="0" fontId="41" fillId="0" borderId="14" xfId="0" applyFont="1" applyBorder="1" applyAlignment="1">
      <alignment horizontal="center"/>
    </xf>
    <xf numFmtId="0" fontId="41" fillId="0" borderId="14" xfId="0" quotePrefix="1" applyFont="1" applyBorder="1"/>
    <xf numFmtId="0" fontId="45" fillId="0" borderId="318" xfId="0" applyFont="1" applyBorder="1" applyAlignment="1">
      <alignment horizontal="center"/>
    </xf>
    <xf numFmtId="37" fontId="45" fillId="0" borderId="3" xfId="0" applyNumberFormat="1" applyFont="1" applyBorder="1" applyAlignment="1">
      <alignment horizontal="center"/>
    </xf>
    <xf numFmtId="3" fontId="45" fillId="0" borderId="3" xfId="0" applyNumberFormat="1" applyFont="1" applyBorder="1" applyAlignment="1">
      <alignment horizontal="center"/>
    </xf>
    <xf numFmtId="182" fontId="45" fillId="0" borderId="3" xfId="0" applyNumberFormat="1" applyFont="1" applyBorder="1" applyAlignment="1">
      <alignment horizontal="center"/>
    </xf>
    <xf numFmtId="39" fontId="45" fillId="0" borderId="3" xfId="0" applyNumberFormat="1" applyFont="1" applyBorder="1" applyAlignment="1">
      <alignment horizontal="center"/>
    </xf>
    <xf numFmtId="0" fontId="41" fillId="0" borderId="319" xfId="0" applyFont="1" applyBorder="1"/>
    <xf numFmtId="0" fontId="41" fillId="0" borderId="320" xfId="0" applyFont="1" applyBorder="1"/>
    <xf numFmtId="4" fontId="45" fillId="0" borderId="3" xfId="0" applyNumberFormat="1" applyFont="1" applyBorder="1" applyAlignment="1">
      <alignment horizontal="center"/>
    </xf>
    <xf numFmtId="2" fontId="45" fillId="0" borderId="3" xfId="0" applyNumberFormat="1" applyFont="1" applyBorder="1" applyAlignment="1">
      <alignment horizontal="center"/>
    </xf>
    <xf numFmtId="0" fontId="3" fillId="0" borderId="53" xfId="0" applyFont="1" applyBorder="1" applyAlignment="1">
      <alignment wrapText="1"/>
    </xf>
    <xf numFmtId="0" fontId="3" fillId="0" borderId="3" xfId="0" applyFont="1" applyBorder="1" applyAlignment="1">
      <alignment vertical="top" wrapText="1"/>
    </xf>
    <xf numFmtId="0" fontId="45" fillId="0" borderId="321" xfId="0" applyFont="1" applyBorder="1"/>
    <xf numFmtId="0" fontId="45" fillId="0" borderId="322" xfId="0" applyFont="1" applyBorder="1"/>
    <xf numFmtId="178" fontId="41" fillId="0" borderId="317" xfId="0" applyNumberFormat="1" applyFont="1" applyBorder="1"/>
    <xf numFmtId="178" fontId="41" fillId="0" borderId="0" xfId="0" applyNumberFormat="1" applyFont="1"/>
    <xf numFmtId="0" fontId="3" fillId="6" borderId="3" xfId="0" applyFont="1" applyFill="1" applyBorder="1"/>
    <xf numFmtId="178" fontId="46" fillId="0" borderId="239" xfId="0" applyNumberFormat="1" applyFont="1" applyBorder="1"/>
    <xf numFmtId="170" fontId="3" fillId="6" borderId="3" xfId="0" applyNumberFormat="1" applyFont="1" applyFill="1" applyBorder="1"/>
    <xf numFmtId="3" fontId="3" fillId="6" borderId="3" xfId="0" applyNumberFormat="1" applyFont="1" applyFill="1" applyBorder="1"/>
    <xf numFmtId="0" fontId="3" fillId="6" borderId="3" xfId="0" applyFont="1" applyFill="1" applyBorder="1" applyAlignment="1">
      <alignment horizontal="center"/>
    </xf>
    <xf numFmtId="1" fontId="3" fillId="6" borderId="3" xfId="0" applyNumberFormat="1" applyFont="1" applyFill="1" applyBorder="1" applyAlignment="1">
      <alignment horizontal="center"/>
    </xf>
    <xf numFmtId="0" fontId="8" fillId="4" borderId="56" xfId="0" applyFont="1" applyFill="1" applyBorder="1"/>
    <xf numFmtId="0" fontId="45" fillId="0" borderId="237" xfId="0" applyFont="1" applyBorder="1"/>
    <xf numFmtId="9" fontId="3" fillId="6" borderId="3" xfId="0" applyNumberFormat="1" applyFont="1" applyFill="1" applyBorder="1"/>
    <xf numFmtId="168" fontId="8" fillId="4" borderId="56" xfId="0" applyNumberFormat="1" applyFont="1" applyFill="1" applyBorder="1" applyAlignment="1">
      <alignment horizontal="center" vertical="center"/>
    </xf>
    <xf numFmtId="182" fontId="3" fillId="6" borderId="3" xfId="0" applyNumberFormat="1" applyFont="1" applyFill="1" applyBorder="1"/>
    <xf numFmtId="0" fontId="8" fillId="4" borderId="56" xfId="0" applyFont="1" applyFill="1" applyBorder="1" applyAlignment="1">
      <alignment horizontal="center" vertical="center"/>
    </xf>
    <xf numFmtId="0" fontId="43" fillId="0" borderId="237" xfId="0" applyFont="1" applyBorder="1" applyAlignment="1">
      <alignment horizontal="left"/>
    </xf>
    <xf numFmtId="168" fontId="8" fillId="4" borderId="56" xfId="0" applyNumberFormat="1" applyFont="1" applyFill="1" applyBorder="1" applyAlignment="1">
      <alignment horizontal="center" vertical="center" wrapText="1"/>
    </xf>
    <xf numFmtId="171" fontId="3" fillId="4" borderId="56" xfId="0" applyNumberFormat="1" applyFont="1" applyFill="1" applyBorder="1"/>
    <xf numFmtId="178" fontId="41" fillId="0" borderId="239" xfId="0" applyNumberFormat="1" applyFont="1" applyBorder="1"/>
    <xf numFmtId="0" fontId="3" fillId="4" borderId="58" xfId="0" applyFont="1" applyFill="1" applyBorder="1"/>
    <xf numFmtId="168" fontId="8" fillId="0" borderId="0" xfId="0" applyNumberFormat="1" applyFont="1" applyAlignment="1">
      <alignment horizontal="center" vertical="center"/>
    </xf>
    <xf numFmtId="168" fontId="8" fillId="0" borderId="0" xfId="0" applyNumberFormat="1" applyFont="1" applyAlignment="1">
      <alignment horizontal="center" vertical="center" wrapText="1"/>
    </xf>
    <xf numFmtId="171" fontId="3" fillId="0" borderId="0" xfId="0" applyNumberFormat="1" applyFont="1"/>
    <xf numFmtId="3" fontId="3" fillId="6" borderId="118" xfId="0" applyNumberFormat="1" applyFont="1" applyFill="1" applyBorder="1"/>
    <xf numFmtId="3" fontId="41" fillId="2" borderId="3" xfId="0" applyNumberFormat="1" applyFont="1" applyFill="1" applyBorder="1"/>
    <xf numFmtId="179" fontId="3" fillId="6" borderId="3" xfId="0" applyNumberFormat="1" applyFont="1" applyFill="1" applyBorder="1"/>
    <xf numFmtId="0" fontId="43" fillId="0" borderId="323" xfId="0" applyFont="1" applyBorder="1" applyAlignment="1">
      <alignment horizontal="left"/>
    </xf>
    <xf numFmtId="178" fontId="41" fillId="0" borderId="324" xfId="0" applyNumberFormat="1" applyFont="1" applyBorder="1"/>
    <xf numFmtId="0" fontId="8" fillId="9" borderId="96" xfId="0" applyFont="1" applyFill="1" applyBorder="1" applyAlignment="1">
      <alignment vertical="center"/>
    </xf>
    <xf numFmtId="1" fontId="8" fillId="9" borderId="112" xfId="0" applyNumberFormat="1" applyFont="1" applyFill="1" applyBorder="1" applyAlignment="1">
      <alignment horizontal="center"/>
    </xf>
    <xf numFmtId="0" fontId="45" fillId="0" borderId="325" xfId="0" applyFont="1" applyBorder="1"/>
    <xf numFmtId="178" fontId="45" fillId="0" borderId="326" xfId="0" applyNumberFormat="1" applyFont="1" applyBorder="1"/>
    <xf numFmtId="0" fontId="8" fillId="4" borderId="48" xfId="0" applyFont="1" applyFill="1" applyBorder="1" applyAlignment="1">
      <alignment horizontal="left" vertical="center"/>
    </xf>
    <xf numFmtId="168" fontId="8" fillId="4" borderId="49" xfId="0" applyNumberFormat="1" applyFont="1" applyFill="1" applyBorder="1" applyAlignment="1">
      <alignment horizontal="center" vertical="center" wrapText="1"/>
    </xf>
    <xf numFmtId="168" fontId="8" fillId="4" borderId="50" xfId="0" applyNumberFormat="1" applyFont="1" applyFill="1" applyBorder="1" applyAlignment="1">
      <alignment horizontal="center" vertical="center" wrapText="1"/>
    </xf>
    <xf numFmtId="168" fontId="8" fillId="4" borderId="327" xfId="0" applyNumberFormat="1" applyFont="1" applyFill="1" applyBorder="1" applyAlignment="1">
      <alignment horizontal="center" vertical="center" wrapText="1"/>
    </xf>
    <xf numFmtId="0" fontId="8" fillId="4" borderId="49" xfId="0" applyFont="1" applyFill="1" applyBorder="1" applyAlignment="1">
      <alignment horizontal="center" vertical="center" wrapText="1"/>
    </xf>
    <xf numFmtId="202" fontId="41" fillId="0" borderId="0" xfId="0" applyNumberFormat="1" applyFont="1"/>
    <xf numFmtId="0" fontId="3" fillId="4" borderId="49" xfId="0" applyFont="1" applyFill="1" applyBorder="1" applyAlignment="1">
      <alignment vertical="center"/>
    </xf>
    <xf numFmtId="0" fontId="3" fillId="4" borderId="49" xfId="0" applyFont="1" applyFill="1" applyBorder="1" applyAlignment="1">
      <alignment vertical="center" wrapText="1"/>
    </xf>
    <xf numFmtId="0" fontId="8" fillId="4" borderId="49" xfId="0" applyFont="1" applyFill="1" applyBorder="1" applyAlignment="1">
      <alignment horizontal="left" vertical="center" wrapText="1"/>
    </xf>
    <xf numFmtId="171" fontId="8" fillId="4" borderId="49" xfId="0" applyNumberFormat="1" applyFont="1" applyFill="1" applyBorder="1" applyAlignment="1">
      <alignment horizontal="center" vertical="center" wrapText="1"/>
    </xf>
    <xf numFmtId="0" fontId="8" fillId="4" borderId="50" xfId="0" applyFont="1" applyFill="1" applyBorder="1" applyAlignment="1">
      <alignment horizontal="center" vertical="center" wrapText="1"/>
    </xf>
    <xf numFmtId="0" fontId="8" fillId="0" borderId="53" xfId="0" applyFont="1" applyBorder="1" applyAlignment="1">
      <alignment horizontal="left" wrapText="1"/>
    </xf>
    <xf numFmtId="168" fontId="3" fillId="22" borderId="3" xfId="0" applyNumberFormat="1" applyFont="1" applyFill="1" applyBorder="1"/>
    <xf numFmtId="168" fontId="10" fillId="0" borderId="54" xfId="0" applyNumberFormat="1" applyFont="1" applyBorder="1" applyAlignment="1">
      <alignment horizontal="center"/>
    </xf>
    <xf numFmtId="168" fontId="3" fillId="0" borderId="2" xfId="0" applyNumberFormat="1" applyFont="1" applyBorder="1"/>
    <xf numFmtId="9" fontId="3" fillId="0" borderId="3" xfId="0" applyNumberFormat="1" applyFont="1" applyBorder="1" applyAlignment="1">
      <alignment horizontal="center"/>
    </xf>
    <xf numFmtId="168" fontId="3" fillId="0" borderId="3" xfId="0" applyNumberFormat="1" applyFont="1" applyBorder="1" applyAlignment="1">
      <alignment horizontal="center" wrapText="1"/>
    </xf>
    <xf numFmtId="0" fontId="3" fillId="0" borderId="3" xfId="0" applyFont="1" applyBorder="1" applyAlignment="1">
      <alignment horizontal="center" wrapText="1"/>
    </xf>
    <xf numFmtId="177" fontId="8" fillId="0" borderId="3" xfId="0" applyNumberFormat="1" applyFont="1" applyBorder="1" applyAlignment="1">
      <alignment horizontal="center"/>
    </xf>
    <xf numFmtId="177" fontId="3" fillId="0" borderId="3" xfId="0" applyNumberFormat="1" applyFont="1" applyBorder="1" applyAlignment="1">
      <alignment horizontal="center" wrapText="1"/>
    </xf>
    <xf numFmtId="174" fontId="8" fillId="4" borderId="3" xfId="0" applyNumberFormat="1" applyFont="1" applyFill="1" applyBorder="1" applyAlignment="1">
      <alignment horizontal="center"/>
    </xf>
    <xf numFmtId="168" fontId="3" fillId="0" borderId="328" xfId="0" applyNumberFormat="1" applyFont="1" applyBorder="1" applyAlignment="1">
      <alignment horizontal="center"/>
    </xf>
    <xf numFmtId="9" fontId="3" fillId="0" borderId="56" xfId="0" applyNumberFormat="1" applyFont="1" applyBorder="1" applyAlignment="1">
      <alignment horizontal="center"/>
    </xf>
    <xf numFmtId="168" fontId="3" fillId="0" borderId="56" xfId="0" applyNumberFormat="1" applyFont="1" applyBorder="1" applyAlignment="1">
      <alignment horizontal="center" wrapText="1"/>
    </xf>
    <xf numFmtId="0" fontId="3" fillId="0" borderId="56" xfId="0" applyFont="1" applyBorder="1" applyAlignment="1">
      <alignment horizontal="center" wrapText="1"/>
    </xf>
    <xf numFmtId="9" fontId="3" fillId="0" borderId="0" xfId="0" applyNumberFormat="1" applyFont="1" applyAlignment="1">
      <alignment horizontal="center"/>
    </xf>
    <xf numFmtId="0" fontId="11" fillId="0" borderId="53" xfId="0" applyFont="1" applyBorder="1"/>
    <xf numFmtId="9" fontId="10" fillId="0" borderId="54" xfId="0" applyNumberFormat="1" applyFont="1" applyBorder="1"/>
    <xf numFmtId="168" fontId="10" fillId="0" borderId="54" xfId="0" applyNumberFormat="1" applyFont="1" applyBorder="1"/>
    <xf numFmtId="0" fontId="8" fillId="9" borderId="186" xfId="0" applyFont="1" applyFill="1" applyBorder="1" applyAlignment="1">
      <alignment vertical="center"/>
    </xf>
    <xf numFmtId="1" fontId="8" fillId="9" borderId="195" xfId="0" applyNumberFormat="1" applyFont="1" applyFill="1" applyBorder="1" applyAlignment="1">
      <alignment horizontal="center"/>
    </xf>
    <xf numFmtId="0" fontId="3" fillId="0" borderId="2" xfId="0" applyFont="1" applyBorder="1" applyAlignment="1">
      <alignment horizontal="center"/>
    </xf>
    <xf numFmtId="0" fontId="3" fillId="0" borderId="54" xfId="0" applyFont="1" applyBorder="1" applyAlignment="1">
      <alignment horizontal="center"/>
    </xf>
    <xf numFmtId="0" fontId="8" fillId="0" borderId="302" xfId="0" applyFont="1" applyBorder="1" applyAlignment="1">
      <alignment horizontal="left" vertical="center"/>
    </xf>
    <xf numFmtId="168" fontId="8" fillId="0" borderId="178" xfId="0" applyNumberFormat="1" applyFont="1" applyBorder="1" applyAlignment="1">
      <alignment horizontal="center" vertical="center" wrapText="1"/>
    </xf>
    <xf numFmtId="168" fontId="8" fillId="0" borderId="3" xfId="0" applyNumberFormat="1" applyFont="1" applyBorder="1" applyAlignment="1">
      <alignment horizontal="center" vertical="center" wrapText="1"/>
    </xf>
    <xf numFmtId="168" fontId="8" fillId="0" borderId="54" xfId="0" applyNumberFormat="1" applyFont="1" applyBorder="1" applyAlignment="1">
      <alignment horizontal="center" wrapText="1"/>
    </xf>
    <xf numFmtId="4" fontId="47" fillId="0" borderId="46" xfId="0" applyNumberFormat="1" applyFont="1" applyBorder="1"/>
    <xf numFmtId="3" fontId="8" fillId="0" borderId="188" xfId="0" applyNumberFormat="1" applyFont="1" applyBorder="1"/>
    <xf numFmtId="3" fontId="3" fillId="0" borderId="188" xfId="0" applyNumberFormat="1" applyFont="1" applyBorder="1"/>
    <xf numFmtId="182" fontId="3" fillId="0" borderId="188" xfId="0" applyNumberFormat="1" applyFont="1" applyBorder="1"/>
    <xf numFmtId="3" fontId="3" fillId="0" borderId="190" xfId="0" applyNumberFormat="1" applyFont="1" applyBorder="1"/>
    <xf numFmtId="0" fontId="11" fillId="0" borderId="55" xfId="0" applyFont="1" applyBorder="1"/>
    <xf numFmtId="0" fontId="8" fillId="0" borderId="295" xfId="0" applyFont="1" applyBorder="1"/>
    <xf numFmtId="0" fontId="8" fillId="0" borderId="275" xfId="0" applyFont="1" applyBorder="1"/>
    <xf numFmtId="170" fontId="3" fillId="0" borderId="275" xfId="0" applyNumberFormat="1" applyFont="1" applyBorder="1"/>
    <xf numFmtId="0" fontId="3" fillId="3" borderId="135" xfId="0" applyFont="1" applyFill="1" applyBorder="1" applyAlignment="1">
      <alignment horizontal="left"/>
    </xf>
    <xf numFmtId="0" fontId="3" fillId="3" borderId="136" xfId="0" applyFont="1" applyFill="1" applyBorder="1" applyAlignment="1">
      <alignment horizontal="center"/>
    </xf>
    <xf numFmtId="3" fontId="3" fillId="0" borderId="275" xfId="0" applyNumberFormat="1" applyFont="1" applyBorder="1"/>
    <xf numFmtId="168" fontId="8" fillId="3" borderId="136" xfId="0" applyNumberFormat="1" applyFont="1" applyFill="1" applyBorder="1"/>
    <xf numFmtId="3" fontId="8" fillId="30" borderId="275" xfId="0" applyNumberFormat="1" applyFont="1" applyFill="1" applyBorder="1"/>
    <xf numFmtId="0" fontId="3" fillId="30" borderId="275" xfId="0" applyFont="1" applyFill="1" applyBorder="1"/>
    <xf numFmtId="0" fontId="3" fillId="0" borderId="19" xfId="0" applyFont="1" applyBorder="1" applyAlignment="1">
      <alignment horizontal="left"/>
    </xf>
    <xf numFmtId="0" fontId="3" fillId="4" borderId="181" xfId="0" applyFont="1" applyFill="1" applyBorder="1"/>
    <xf numFmtId="0" fontId="3" fillId="4" borderId="164" xfId="0" applyFont="1" applyFill="1" applyBorder="1"/>
    <xf numFmtId="0" fontId="8" fillId="4" borderId="164" xfId="0" applyFont="1" applyFill="1" applyBorder="1" applyAlignment="1">
      <alignment horizontal="center"/>
    </xf>
    <xf numFmtId="0" fontId="8" fillId="4" borderId="110" xfId="0" applyFont="1" applyFill="1" applyBorder="1" applyAlignment="1">
      <alignment horizontal="center"/>
    </xf>
    <xf numFmtId="0" fontId="8" fillId="0" borderId="155" xfId="0" applyFont="1" applyBorder="1" applyAlignment="1">
      <alignment horizontal="center"/>
    </xf>
    <xf numFmtId="0" fontId="8" fillId="4" borderId="186" xfId="0" applyFont="1" applyFill="1" applyBorder="1" applyAlignment="1">
      <alignment horizontal="center"/>
    </xf>
    <xf numFmtId="3" fontId="3" fillId="30" borderId="275" xfId="0" applyNumberFormat="1" applyFont="1" applyFill="1" applyBorder="1"/>
    <xf numFmtId="0" fontId="3" fillId="4" borderId="195" xfId="0" applyFont="1" applyFill="1" applyBorder="1"/>
    <xf numFmtId="0" fontId="3" fillId="0" borderId="20" xfId="0" applyFont="1" applyBorder="1"/>
    <xf numFmtId="203" fontId="3" fillId="0" borderId="0" xfId="0" applyNumberFormat="1" applyFont="1" applyAlignment="1">
      <alignment horizontal="left"/>
    </xf>
    <xf numFmtId="0" fontId="3" fillId="32" borderId="275" xfId="0" applyFont="1" applyFill="1" applyBorder="1"/>
    <xf numFmtId="0" fontId="3" fillId="0" borderId="332" xfId="0" applyFont="1" applyBorder="1" applyAlignment="1">
      <alignment horizontal="center" wrapText="1"/>
    </xf>
    <xf numFmtId="168" fontId="8" fillId="0" borderId="39" xfId="0" applyNumberFormat="1" applyFont="1" applyBorder="1" applyAlignment="1">
      <alignment horizontal="center" wrapText="1"/>
    </xf>
    <xf numFmtId="0" fontId="8" fillId="0" borderId="39" xfId="0" applyFont="1" applyBorder="1" applyAlignment="1">
      <alignment horizontal="center" wrapText="1"/>
    </xf>
    <xf numFmtId="3" fontId="3" fillId="32" borderId="276" xfId="0" applyNumberFormat="1" applyFont="1" applyFill="1" applyBorder="1"/>
    <xf numFmtId="0" fontId="3" fillId="0" borderId="333" xfId="0" applyFont="1" applyBorder="1" applyAlignment="1">
      <alignment horizontal="center" wrapText="1"/>
    </xf>
    <xf numFmtId="0" fontId="8" fillId="4" borderId="186" xfId="0" applyFont="1" applyFill="1" applyBorder="1" applyAlignment="1">
      <alignment horizontal="center" wrapText="1"/>
    </xf>
    <xf numFmtId="0" fontId="3" fillId="4" borderId="52" xfId="0" applyFont="1" applyFill="1" applyBorder="1" applyAlignment="1">
      <alignment horizontal="center" wrapText="1"/>
    </xf>
    <xf numFmtId="0" fontId="3" fillId="0" borderId="334" xfId="0" applyFont="1" applyBorder="1" applyAlignment="1">
      <alignment horizontal="center" wrapText="1"/>
    </xf>
    <xf numFmtId="0" fontId="3" fillId="0" borderId="39" xfId="0" applyFont="1" applyBorder="1" applyAlignment="1">
      <alignment horizontal="center" wrapText="1"/>
    </xf>
    <xf numFmtId="0" fontId="48" fillId="0" borderId="0" xfId="0" applyFont="1"/>
    <xf numFmtId="0" fontId="3" fillId="0" borderId="335" xfId="0" applyFont="1" applyBorder="1"/>
    <xf numFmtId="0" fontId="8" fillId="0" borderId="0" xfId="0" applyFont="1" applyAlignment="1">
      <alignment horizontal="center" vertical="top" wrapText="1"/>
    </xf>
    <xf numFmtId="0" fontId="8" fillId="25" borderId="3" xfId="0" applyFont="1" applyFill="1" applyBorder="1"/>
    <xf numFmtId="168" fontId="8" fillId="25" borderId="3" xfId="0" applyNumberFormat="1" applyFont="1" applyFill="1" applyBorder="1"/>
    <xf numFmtId="0" fontId="8" fillId="0" borderId="49" xfId="0" applyFont="1" applyBorder="1" applyAlignment="1">
      <alignment horizontal="center" vertical="center" wrapText="1"/>
    </xf>
    <xf numFmtId="0" fontId="3" fillId="0" borderId="49" xfId="0" applyFont="1" applyBorder="1" applyAlignment="1">
      <alignment horizontal="center" wrapText="1"/>
    </xf>
    <xf numFmtId="0" fontId="3" fillId="0" borderId="49" xfId="0" applyFont="1" applyBorder="1" applyAlignment="1">
      <alignment horizontal="left"/>
    </xf>
    <xf numFmtId="0" fontId="3" fillId="0" borderId="178" xfId="0" applyFont="1" applyBorder="1" applyAlignment="1">
      <alignment horizontal="center" wrapText="1"/>
    </xf>
    <xf numFmtId="0" fontId="3" fillId="0" borderId="178" xfId="0" applyFont="1" applyBorder="1" applyAlignment="1">
      <alignment horizontal="left"/>
    </xf>
    <xf numFmtId="168" fontId="3" fillId="30" borderId="3" xfId="0" applyNumberFormat="1" applyFont="1" applyFill="1" applyBorder="1"/>
    <xf numFmtId="0" fontId="3" fillId="0" borderId="303" xfId="0" applyFont="1" applyBorder="1" applyAlignment="1">
      <alignment horizontal="center" wrapText="1"/>
    </xf>
    <xf numFmtId="0" fontId="3" fillId="0" borderId="302" xfId="0" applyFont="1" applyBorder="1" applyAlignment="1">
      <alignment horizontal="center" wrapText="1"/>
    </xf>
    <xf numFmtId="0" fontId="8" fillId="32" borderId="3" xfId="0" applyFont="1" applyFill="1" applyBorder="1"/>
    <xf numFmtId="9" fontId="8" fillId="0" borderId="217" xfId="0" applyNumberFormat="1" applyFont="1" applyBorder="1" applyAlignment="1">
      <alignment horizontal="left" wrapText="1"/>
    </xf>
    <xf numFmtId="9" fontId="8" fillId="0" borderId="218" xfId="0" applyNumberFormat="1" applyFont="1" applyBorder="1" applyAlignment="1">
      <alignment horizontal="center" wrapText="1"/>
    </xf>
    <xf numFmtId="168" fontId="8" fillId="32" borderId="118" xfId="0" applyNumberFormat="1" applyFont="1" applyFill="1" applyBorder="1"/>
    <xf numFmtId="9" fontId="8" fillId="0" borderId="338" xfId="0" applyNumberFormat="1" applyFont="1" applyBorder="1" applyAlignment="1">
      <alignment horizontal="center" wrapText="1"/>
    </xf>
    <xf numFmtId="0" fontId="8" fillId="0" borderId="217" xfId="0" applyFont="1" applyBorder="1" applyAlignment="1">
      <alignment horizontal="center" wrapText="1"/>
    </xf>
    <xf numFmtId="9" fontId="8" fillId="0" borderId="217" xfId="0" applyNumberFormat="1" applyFont="1" applyBorder="1" applyAlignment="1">
      <alignment horizontal="center" wrapText="1"/>
    </xf>
    <xf numFmtId="0" fontId="8" fillId="0" borderId="65" xfId="0" applyFont="1" applyBorder="1" applyAlignment="1">
      <alignment horizontal="center" wrapText="1"/>
    </xf>
    <xf numFmtId="0" fontId="8" fillId="0" borderId="218" xfId="0" applyFont="1" applyBorder="1" applyAlignment="1">
      <alignment horizontal="center" wrapText="1"/>
    </xf>
    <xf numFmtId="0" fontId="8" fillId="0" borderId="338" xfId="0" applyFont="1" applyBorder="1" applyAlignment="1">
      <alignment horizontal="center" wrapText="1"/>
    </xf>
    <xf numFmtId="0" fontId="8" fillId="0" borderId="218" xfId="0" applyFont="1" applyBorder="1" applyAlignment="1">
      <alignment horizontal="center" vertical="center" wrapText="1"/>
    </xf>
    <xf numFmtId="0" fontId="8" fillId="0" borderId="338" xfId="0" applyFont="1" applyBorder="1" applyAlignment="1">
      <alignment horizontal="center" vertical="center" wrapText="1"/>
    </xf>
    <xf numFmtId="0" fontId="8" fillId="0" borderId="163" xfId="0" applyFont="1" applyBorder="1" applyAlignment="1">
      <alignment horizontal="center" wrapText="1"/>
    </xf>
    <xf numFmtId="0" fontId="8" fillId="0" borderId="191" xfId="0" applyFont="1" applyBorder="1" applyAlignment="1">
      <alignment horizontal="center" wrapText="1"/>
    </xf>
    <xf numFmtId="0" fontId="8" fillId="0" borderId="192" xfId="0" applyFont="1" applyBorder="1" applyAlignment="1">
      <alignment horizontal="center" wrapText="1"/>
    </xf>
    <xf numFmtId="0" fontId="8" fillId="11" borderId="3" xfId="0" applyFont="1" applyFill="1" applyBorder="1"/>
    <xf numFmtId="188" fontId="10" fillId="0" borderId="53" xfId="0" applyNumberFormat="1" applyFont="1" applyBorder="1" applyAlignment="1">
      <alignment horizontal="left"/>
    </xf>
    <xf numFmtId="168" fontId="8" fillId="11" borderId="3" xfId="0" applyNumberFormat="1" applyFont="1" applyFill="1" applyBorder="1"/>
    <xf numFmtId="168" fontId="8" fillId="0" borderId="118" xfId="0" applyNumberFormat="1" applyFont="1" applyBorder="1"/>
    <xf numFmtId="0" fontId="3" fillId="28" borderId="3" xfId="0" applyFont="1" applyFill="1" applyBorder="1"/>
    <xf numFmtId="9" fontId="3" fillId="0" borderId="210" xfId="0" applyNumberFormat="1" applyFont="1" applyBorder="1" applyAlignment="1">
      <alignment horizontal="left" vertical="top" wrapText="1"/>
    </xf>
    <xf numFmtId="9" fontId="3" fillId="0" borderId="205" xfId="0" applyNumberFormat="1" applyFont="1" applyBorder="1" applyAlignment="1">
      <alignment horizontal="center"/>
    </xf>
    <xf numFmtId="168" fontId="8" fillId="28" borderId="3" xfId="0" applyNumberFormat="1" applyFont="1" applyFill="1" applyBorder="1"/>
    <xf numFmtId="9" fontId="3" fillId="0" borderId="339" xfId="0" applyNumberFormat="1" applyFont="1" applyBorder="1" applyAlignment="1">
      <alignment horizontal="center"/>
    </xf>
    <xf numFmtId="10" fontId="3" fillId="0" borderId="339" xfId="0" applyNumberFormat="1" applyFont="1" applyBorder="1" applyAlignment="1">
      <alignment horizontal="center"/>
    </xf>
    <xf numFmtId="9" fontId="3" fillId="0" borderId="205" xfId="0" applyNumberFormat="1" applyFont="1" applyBorder="1" applyAlignment="1">
      <alignment horizontal="center" vertical="top" wrapText="1"/>
    </xf>
    <xf numFmtId="0" fontId="3" fillId="0" borderId="210" xfId="0" applyFont="1" applyBorder="1" applyAlignment="1">
      <alignment horizontal="center"/>
    </xf>
    <xf numFmtId="0" fontId="3" fillId="13" borderId="3" xfId="0" applyFont="1" applyFill="1" applyBorder="1"/>
    <xf numFmtId="9" fontId="3" fillId="0" borderId="141" xfId="0" applyNumberFormat="1" applyFont="1" applyBorder="1"/>
    <xf numFmtId="9" fontId="3" fillId="0" borderId="205" xfId="0" applyNumberFormat="1" applyFont="1" applyBorder="1"/>
    <xf numFmtId="0" fontId="29" fillId="0" borderId="0" xfId="0" applyFont="1" applyAlignment="1">
      <alignment horizontal="center"/>
    </xf>
    <xf numFmtId="9" fontId="3" fillId="0" borderId="339" xfId="0" applyNumberFormat="1" applyFont="1" applyBorder="1"/>
    <xf numFmtId="0" fontId="5" fillId="0" borderId="0" xfId="0" applyFont="1" applyAlignment="1">
      <alignment horizontal="center"/>
    </xf>
    <xf numFmtId="168" fontId="3" fillId="0" borderId="14" xfId="0" applyNumberFormat="1" applyFont="1" applyBorder="1" applyAlignment="1">
      <alignment horizontal="right"/>
    </xf>
    <xf numFmtId="0" fontId="8" fillId="13" borderId="3" xfId="0" applyFont="1" applyFill="1" applyBorder="1"/>
    <xf numFmtId="171" fontId="3" fillId="0" borderId="3" xfId="0" applyNumberFormat="1" applyFont="1" applyBorder="1" applyAlignment="1">
      <alignment horizontal="center"/>
    </xf>
    <xf numFmtId="168" fontId="8" fillId="4" borderId="52" xfId="0" applyNumberFormat="1" applyFont="1" applyFill="1" applyBorder="1" applyAlignment="1">
      <alignment horizontal="right"/>
    </xf>
    <xf numFmtId="0" fontId="8" fillId="12" borderId="3" xfId="0" applyFont="1" applyFill="1" applyBorder="1"/>
    <xf numFmtId="0" fontId="3" fillId="0" borderId="3" xfId="0" applyFont="1" applyBorder="1" applyAlignment="1">
      <alignment horizontal="right"/>
    </xf>
    <xf numFmtId="168" fontId="8" fillId="12" borderId="118" xfId="0" applyNumberFormat="1" applyFont="1" applyFill="1" applyBorder="1"/>
    <xf numFmtId="168" fontId="3" fillId="0" borderId="178" xfId="0" applyNumberFormat="1" applyFont="1" applyBorder="1" applyAlignment="1">
      <alignment horizontal="right"/>
    </xf>
    <xf numFmtId="0" fontId="3" fillId="0" borderId="303" xfId="0" applyFont="1" applyBorder="1"/>
    <xf numFmtId="0" fontId="8" fillId="36" borderId="3" xfId="0" applyFont="1" applyFill="1" applyBorder="1"/>
    <xf numFmtId="0" fontId="3" fillId="36" borderId="3" xfId="0" applyFont="1" applyFill="1" applyBorder="1"/>
    <xf numFmtId="168" fontId="8" fillId="36" borderId="118" xfId="0" applyNumberFormat="1" applyFont="1" applyFill="1" applyBorder="1"/>
    <xf numFmtId="0" fontId="49" fillId="0" borderId="3" xfId="0" applyFont="1" applyBorder="1"/>
    <xf numFmtId="0" fontId="50" fillId="0" borderId="3" xfId="0" applyFont="1" applyBorder="1"/>
    <xf numFmtId="168" fontId="49" fillId="0" borderId="118" xfId="0" applyNumberFormat="1" applyFont="1" applyBorder="1"/>
    <xf numFmtId="168" fontId="3" fillId="0" borderId="33" xfId="0" applyNumberFormat="1" applyFont="1" applyBorder="1" applyAlignment="1">
      <alignment horizontal="right"/>
    </xf>
    <xf numFmtId="0" fontId="3" fillId="0" borderId="288" xfId="0" applyFont="1" applyBorder="1"/>
    <xf numFmtId="9" fontId="3" fillId="0" borderId="28" xfId="0" applyNumberFormat="1" applyFont="1" applyBorder="1"/>
    <xf numFmtId="171" fontId="3" fillId="3" borderId="3" xfId="0" applyNumberFormat="1" applyFont="1" applyFill="1" applyBorder="1" applyAlignment="1">
      <alignment horizontal="center"/>
    </xf>
    <xf numFmtId="9" fontId="3" fillId="0" borderId="0" xfId="0" applyNumberFormat="1" applyFont="1"/>
    <xf numFmtId="0" fontId="3" fillId="0" borderId="16" xfId="0" applyFont="1" applyBorder="1" applyAlignment="1">
      <alignment horizontal="left"/>
    </xf>
    <xf numFmtId="0" fontId="8" fillId="0" borderId="16" xfId="0" applyFont="1" applyBorder="1" applyAlignment="1">
      <alignment horizontal="left"/>
    </xf>
    <xf numFmtId="3" fontId="4" fillId="2" borderId="3" xfId="0" applyNumberFormat="1" applyFont="1" applyFill="1" applyBorder="1"/>
    <xf numFmtId="3" fontId="5" fillId="0" borderId="0" xfId="0" applyNumberFormat="1" applyFont="1" applyAlignment="1">
      <alignment horizontal="right"/>
    </xf>
    <xf numFmtId="3" fontId="5" fillId="0" borderId="341" xfId="0" applyNumberFormat="1" applyFont="1" applyBorder="1" applyAlignment="1">
      <alignment horizontal="right"/>
    </xf>
    <xf numFmtId="168" fontId="3" fillId="4" borderId="56" xfId="0" applyNumberFormat="1" applyFont="1" applyFill="1" applyBorder="1" applyAlignment="1">
      <alignment horizontal="center"/>
    </xf>
    <xf numFmtId="3" fontId="8" fillId="4" borderId="56" xfId="0" applyNumberFormat="1" applyFont="1" applyFill="1" applyBorder="1" applyAlignment="1">
      <alignment horizontal="center"/>
    </xf>
    <xf numFmtId="168" fontId="8" fillId="4" borderId="58" xfId="0" applyNumberFormat="1" applyFont="1" applyFill="1" applyBorder="1" applyAlignment="1">
      <alignment horizontal="center"/>
    </xf>
    <xf numFmtId="0" fontId="8" fillId="0" borderId="342" xfId="0" applyFont="1" applyBorder="1"/>
    <xf numFmtId="168" fontId="3" fillId="0" borderId="33" xfId="0" applyNumberFormat="1" applyFont="1" applyBorder="1" applyAlignment="1">
      <alignment horizontal="center"/>
    </xf>
    <xf numFmtId="0" fontId="8" fillId="9" borderId="186" xfId="0" applyFont="1" applyFill="1" applyBorder="1"/>
    <xf numFmtId="168" fontId="3" fillId="9" borderId="52" xfId="0" applyNumberFormat="1" applyFont="1" applyFill="1" applyBorder="1"/>
    <xf numFmtId="0" fontId="8" fillId="9" borderId="52" xfId="0" applyFont="1" applyFill="1" applyBorder="1" applyAlignment="1">
      <alignment horizontal="center"/>
    </xf>
    <xf numFmtId="0" fontId="3" fillId="9" borderId="195" xfId="0" applyFont="1" applyFill="1" applyBorder="1"/>
    <xf numFmtId="0" fontId="3" fillId="0" borderId="302" xfId="0" applyFont="1" applyBorder="1"/>
    <xf numFmtId="168" fontId="8" fillId="0" borderId="178" xfId="0" applyNumberFormat="1" applyFont="1" applyBorder="1" applyAlignment="1">
      <alignment horizontal="center" vertical="center"/>
    </xf>
    <xf numFmtId="0" fontId="8" fillId="0" borderId="178" xfId="0" applyFont="1" applyBorder="1" applyAlignment="1">
      <alignment horizontal="center" vertical="center"/>
    </xf>
    <xf numFmtId="4" fontId="5" fillId="0" borderId="341" xfId="0" applyNumberFormat="1" applyFont="1" applyBorder="1" applyAlignment="1">
      <alignment horizontal="right"/>
    </xf>
    <xf numFmtId="0" fontId="8" fillId="4" borderId="260" xfId="0" applyFont="1" applyFill="1" applyBorder="1" applyAlignment="1">
      <alignment horizontal="center" vertical="center" wrapText="1"/>
    </xf>
    <xf numFmtId="0" fontId="8" fillId="4" borderId="260" xfId="0" applyFont="1" applyFill="1" applyBorder="1"/>
    <xf numFmtId="0" fontId="8" fillId="4" borderId="343" xfId="0" applyFont="1" applyFill="1" applyBorder="1" applyAlignment="1">
      <alignment horizontal="center"/>
    </xf>
    <xf numFmtId="0" fontId="8" fillId="4" borderId="40" xfId="0" applyFont="1" applyFill="1" applyBorder="1" applyAlignment="1">
      <alignment horizontal="center" vertical="center" wrapText="1"/>
    </xf>
    <xf numFmtId="0" fontId="8" fillId="4" borderId="4" xfId="0" applyFont="1" applyFill="1" applyBorder="1" applyAlignment="1">
      <alignment horizontal="center"/>
    </xf>
    <xf numFmtId="0" fontId="8" fillId="4" borderId="93" xfId="0" applyFont="1" applyFill="1" applyBorder="1" applyAlignment="1">
      <alignment horizontal="center" vertical="center" wrapText="1"/>
    </xf>
    <xf numFmtId="0" fontId="18" fillId="0" borderId="3" xfId="0" applyFont="1" applyBorder="1" applyAlignment="1">
      <alignment horizontal="center"/>
    </xf>
    <xf numFmtId="168" fontId="18" fillId="0" borderId="3" xfId="0" applyNumberFormat="1" applyFont="1" applyBorder="1" applyAlignment="1">
      <alignment horizontal="center"/>
    </xf>
    <xf numFmtId="0" fontId="18" fillId="0" borderId="3" xfId="0" applyFont="1" applyBorder="1"/>
    <xf numFmtId="177" fontId="18" fillId="0" borderId="3" xfId="0" applyNumberFormat="1" applyFont="1" applyBorder="1" applyAlignment="1">
      <alignment horizontal="center"/>
    </xf>
    <xf numFmtId="0" fontId="18" fillId="0" borderId="1" xfId="0" applyFont="1" applyBorder="1" applyAlignment="1">
      <alignment horizontal="right" vertical="center"/>
    </xf>
    <xf numFmtId="0" fontId="8" fillId="0" borderId="3" xfId="0" applyFont="1" applyBorder="1" applyAlignment="1">
      <alignment horizontal="right"/>
    </xf>
    <xf numFmtId="0" fontId="3" fillId="0" borderId="1" xfId="0" applyFont="1" applyBorder="1" applyAlignment="1">
      <alignment horizontal="right"/>
    </xf>
    <xf numFmtId="0" fontId="12" fillId="0" borderId="3" xfId="0" applyFont="1" applyBorder="1" applyAlignment="1">
      <alignment horizontal="center"/>
    </xf>
    <xf numFmtId="0" fontId="8" fillId="0" borderId="55" xfId="0" applyFont="1" applyBorder="1" applyAlignment="1">
      <alignment horizontal="left" wrapText="1"/>
    </xf>
    <xf numFmtId="0" fontId="8" fillId="0" borderId="56" xfId="0" applyFont="1" applyBorder="1" applyAlignment="1">
      <alignment horizontal="right" wrapText="1"/>
    </xf>
    <xf numFmtId="168" fontId="8" fillId="0" borderId="56" xfId="0" applyNumberFormat="1" applyFont="1" applyBorder="1" applyAlignment="1">
      <alignment horizontal="center"/>
    </xf>
    <xf numFmtId="177" fontId="8" fillId="0" borderId="56" xfId="0" applyNumberFormat="1" applyFont="1" applyBorder="1" applyAlignment="1">
      <alignment horizontal="center"/>
    </xf>
    <xf numFmtId="0" fontId="3" fillId="0" borderId="154" xfId="0" applyFont="1" applyBorder="1"/>
    <xf numFmtId="0" fontId="8" fillId="0" borderId="0" xfId="0" applyFont="1" applyAlignment="1">
      <alignment horizontal="left" wrapText="1"/>
    </xf>
    <xf numFmtId="0" fontId="8" fillId="0" borderId="0" xfId="0" applyFont="1" applyAlignment="1">
      <alignment horizontal="right" wrapText="1"/>
    </xf>
    <xf numFmtId="177" fontId="8" fillId="0" borderId="0" xfId="0" applyNumberFormat="1" applyFont="1" applyAlignment="1">
      <alignment horizontal="center"/>
    </xf>
    <xf numFmtId="0" fontId="3" fillId="3" borderId="202" xfId="0" applyFont="1" applyFill="1" applyBorder="1"/>
    <xf numFmtId="0" fontId="8" fillId="4" borderId="53" xfId="0" applyFont="1" applyFill="1" applyBorder="1" applyAlignment="1">
      <alignment horizontal="left"/>
    </xf>
    <xf numFmtId="168" fontId="8" fillId="4" borderId="3" xfId="0" applyNumberFormat="1" applyFont="1" applyFill="1" applyBorder="1" applyAlignment="1">
      <alignment horizontal="center" wrapText="1"/>
    </xf>
    <xf numFmtId="0" fontId="8" fillId="4" borderId="344" xfId="0" applyFont="1" applyFill="1" applyBorder="1" applyAlignment="1">
      <alignment horizontal="center" wrapText="1"/>
    </xf>
    <xf numFmtId="174" fontId="3" fillId="0" borderId="3" xfId="0" applyNumberFormat="1" applyFont="1" applyBorder="1" applyAlignment="1">
      <alignment horizontal="center"/>
    </xf>
    <xf numFmtId="190" fontId="3" fillId="0" borderId="3" xfId="0" applyNumberFormat="1" applyFont="1" applyBorder="1" applyAlignment="1">
      <alignment horizontal="center"/>
    </xf>
    <xf numFmtId="190" fontId="3" fillId="0" borderId="1" xfId="0" applyNumberFormat="1" applyFont="1" applyBorder="1" applyAlignment="1">
      <alignment horizontal="center"/>
    </xf>
    <xf numFmtId="171" fontId="3" fillId="28" borderId="3" xfId="0" applyNumberFormat="1" applyFont="1" applyFill="1" applyBorder="1"/>
    <xf numFmtId="170" fontId="3" fillId="28" borderId="3" xfId="0" applyNumberFormat="1" applyFont="1" applyFill="1" applyBorder="1"/>
    <xf numFmtId="2" fontId="3" fillId="28" borderId="3" xfId="0" applyNumberFormat="1" applyFont="1" applyFill="1" applyBorder="1" applyAlignment="1">
      <alignment horizontal="center"/>
    </xf>
    <xf numFmtId="179" fontId="3" fillId="28" borderId="3" xfId="0" applyNumberFormat="1" applyFont="1" applyFill="1" applyBorder="1"/>
    <xf numFmtId="172" fontId="3" fillId="28" borderId="3" xfId="0" applyNumberFormat="1" applyFont="1" applyFill="1" applyBorder="1"/>
    <xf numFmtId="174" fontId="3" fillId="28" borderId="3" xfId="0" applyNumberFormat="1" applyFont="1" applyFill="1" applyBorder="1" applyAlignment="1">
      <alignment horizontal="center"/>
    </xf>
    <xf numFmtId="179" fontId="8" fillId="4" borderId="348" xfId="0" applyNumberFormat="1" applyFont="1" applyFill="1" applyBorder="1"/>
    <xf numFmtId="0" fontId="3" fillId="3" borderId="327" xfId="0" applyFont="1" applyFill="1" applyBorder="1"/>
    <xf numFmtId="0" fontId="25" fillId="0" borderId="16" xfId="0" applyFont="1" applyBorder="1"/>
    <xf numFmtId="0" fontId="8" fillId="4" borderId="117" xfId="0" applyFont="1" applyFill="1" applyBorder="1" applyAlignment="1">
      <alignment horizontal="left"/>
    </xf>
    <xf numFmtId="0" fontId="3" fillId="0" borderId="2" xfId="0" applyFont="1" applyBorder="1" applyAlignment="1">
      <alignment horizontal="left"/>
    </xf>
    <xf numFmtId="168" fontId="3" fillId="3" borderId="3" xfId="0" applyNumberFormat="1" applyFont="1" applyFill="1" applyBorder="1" applyAlignment="1">
      <alignment horizontal="center"/>
    </xf>
    <xf numFmtId="180" fontId="3" fillId="0" borderId="3" xfId="0" applyNumberFormat="1" applyFont="1" applyBorder="1"/>
    <xf numFmtId="168" fontId="3" fillId="2" borderId="3" xfId="0" applyNumberFormat="1" applyFont="1" applyFill="1" applyBorder="1" applyAlignment="1">
      <alignment horizontal="center"/>
    </xf>
    <xf numFmtId="0" fontId="8" fillId="0" borderId="2" xfId="0" applyFont="1" applyBorder="1"/>
    <xf numFmtId="0" fontId="8" fillId="4" borderId="117" xfId="0" applyFont="1" applyFill="1" applyBorder="1"/>
    <xf numFmtId="0" fontId="3" fillId="4" borderId="3" xfId="0" applyFont="1" applyFill="1" applyBorder="1" applyAlignment="1">
      <alignment horizontal="center"/>
    </xf>
    <xf numFmtId="172" fontId="8" fillId="4" borderId="3" xfId="0" applyNumberFormat="1" applyFont="1" applyFill="1" applyBorder="1"/>
    <xf numFmtId="167" fontId="8" fillId="4" borderId="3" xfId="0" applyNumberFormat="1" applyFont="1" applyFill="1" applyBorder="1"/>
    <xf numFmtId="167" fontId="8" fillId="4" borderId="54" xfId="0" applyNumberFormat="1" applyFont="1" applyFill="1" applyBorder="1"/>
    <xf numFmtId="0" fontId="8" fillId="0" borderId="328" xfId="0" applyFont="1" applyBorder="1"/>
    <xf numFmtId="0" fontId="8" fillId="4" borderId="234" xfId="0" applyFont="1" applyFill="1" applyBorder="1"/>
    <xf numFmtId="0" fontId="8" fillId="4" borderId="235" xfId="0" applyFont="1" applyFill="1" applyBorder="1" applyAlignment="1">
      <alignment horizontal="center" wrapText="1"/>
    </xf>
    <xf numFmtId="0" fontId="3" fillId="4" borderId="235" xfId="0" applyFont="1" applyFill="1" applyBorder="1"/>
    <xf numFmtId="0" fontId="8" fillId="4" borderId="294" xfId="0" applyFont="1" applyFill="1" applyBorder="1" applyAlignment="1">
      <alignment horizontal="center" vertical="center" wrapText="1"/>
    </xf>
    <xf numFmtId="179" fontId="3" fillId="0" borderId="54" xfId="0" applyNumberFormat="1" applyFont="1" applyBorder="1" applyAlignment="1">
      <alignment horizontal="center"/>
    </xf>
    <xf numFmtId="0" fontId="8" fillId="4" borderId="237" xfId="0" applyFont="1" applyFill="1" applyBorder="1"/>
    <xf numFmtId="179" fontId="8" fillId="4" borderId="54" xfId="0" applyNumberFormat="1" applyFont="1" applyFill="1" applyBorder="1" applyAlignment="1">
      <alignment horizontal="center"/>
    </xf>
    <xf numFmtId="0" fontId="8" fillId="4" borderId="237" xfId="0" applyFont="1" applyFill="1" applyBorder="1" applyAlignment="1">
      <alignment wrapText="1"/>
    </xf>
    <xf numFmtId="0" fontId="8" fillId="4" borderId="54" xfId="0" applyFont="1" applyFill="1" applyBorder="1" applyAlignment="1">
      <alignment horizontal="center" vertical="center" wrapText="1"/>
    </xf>
    <xf numFmtId="172" fontId="8" fillId="0" borderId="3" xfId="0" applyNumberFormat="1" applyFont="1" applyBorder="1"/>
    <xf numFmtId="179" fontId="8" fillId="0" borderId="54" xfId="0" applyNumberFormat="1" applyFont="1" applyBorder="1" applyAlignment="1">
      <alignment horizontal="center"/>
    </xf>
    <xf numFmtId="0" fontId="3" fillId="0" borderId="237" xfId="0" applyFont="1" applyBorder="1" applyAlignment="1">
      <alignment horizontal="left"/>
    </xf>
    <xf numFmtId="0" fontId="8" fillId="0" borderId="237" xfId="0" applyFont="1" applyBorder="1" applyAlignment="1">
      <alignment horizontal="left"/>
    </xf>
    <xf numFmtId="0" fontId="8" fillId="4" borderId="54" xfId="0" applyFont="1" applyFill="1" applyBorder="1"/>
    <xf numFmtId="168" fontId="8" fillId="0" borderId="54" xfId="0" applyNumberFormat="1" applyFont="1" applyBorder="1"/>
    <xf numFmtId="171" fontId="3" fillId="0" borderId="54" xfId="0" applyNumberFormat="1" applyFont="1" applyBorder="1"/>
    <xf numFmtId="0" fontId="11" fillId="0" borderId="237" xfId="0" applyFont="1" applyBorder="1" applyAlignment="1">
      <alignment horizontal="left"/>
    </xf>
    <xf numFmtId="0" fontId="8" fillId="4" borderId="349" xfId="0" applyFont="1" applyFill="1" applyBorder="1"/>
    <xf numFmtId="168" fontId="8" fillId="0" borderId="58" xfId="0" applyNumberFormat="1" applyFont="1" applyBorder="1"/>
    <xf numFmtId="0" fontId="53" fillId="0" borderId="0" xfId="0" applyFont="1"/>
    <xf numFmtId="0" fontId="8" fillId="9" borderId="152" xfId="0" applyFont="1" applyFill="1" applyBorder="1"/>
    <xf numFmtId="0" fontId="3" fillId="9" borderId="13" xfId="0" applyFont="1" applyFill="1" applyBorder="1"/>
    <xf numFmtId="164" fontId="8" fillId="9" borderId="13" xfId="0" applyNumberFormat="1" applyFont="1" applyFill="1" applyBorder="1" applyAlignment="1">
      <alignment horizontal="center"/>
    </xf>
    <xf numFmtId="0" fontId="3" fillId="9" borderId="93" xfId="0" applyFont="1" applyFill="1" applyBorder="1"/>
    <xf numFmtId="0" fontId="8" fillId="0" borderId="351" xfId="0" applyFont="1" applyBorder="1"/>
    <xf numFmtId="0" fontId="3" fillId="0" borderId="352" xfId="0" applyFont="1" applyBorder="1"/>
    <xf numFmtId="164" fontId="8" fillId="0" borderId="23" xfId="0" applyNumberFormat="1" applyFont="1" applyBorder="1" applyAlignment="1">
      <alignment horizontal="center"/>
    </xf>
    <xf numFmtId="164" fontId="30" fillId="0" borderId="0" xfId="0" applyNumberFormat="1" applyFont="1"/>
    <xf numFmtId="0" fontId="3" fillId="0" borderId="353" xfId="0" applyFont="1" applyBorder="1"/>
    <xf numFmtId="0" fontId="3" fillId="0" borderId="354" xfId="0" applyFont="1" applyBorder="1"/>
    <xf numFmtId="164" fontId="8" fillId="9" borderId="13" xfId="0" applyNumberFormat="1" applyFont="1" applyFill="1" applyBorder="1" applyAlignment="1">
      <alignment horizontal="left"/>
    </xf>
    <xf numFmtId="0" fontId="3" fillId="0" borderId="355" xfId="0" applyFont="1" applyBorder="1"/>
    <xf numFmtId="0" fontId="11" fillId="0" borderId="356" xfId="0" applyFont="1" applyBorder="1"/>
    <xf numFmtId="164" fontId="3" fillId="9" borderId="13" xfId="0" applyNumberFormat="1" applyFont="1" applyFill="1" applyBorder="1"/>
    <xf numFmtId="0" fontId="3" fillId="0" borderId="356" xfId="0" applyFont="1" applyBorder="1" applyAlignment="1">
      <alignment horizontal="left"/>
    </xf>
    <xf numFmtId="164" fontId="3" fillId="0" borderId="45" xfId="0" applyNumberFormat="1" applyFont="1" applyBorder="1"/>
    <xf numFmtId="164" fontId="3" fillId="9" borderId="13" xfId="0" applyNumberFormat="1" applyFont="1" applyFill="1" applyBorder="1" applyAlignment="1">
      <alignment horizontal="center"/>
    </xf>
    <xf numFmtId="164" fontId="3" fillId="0" borderId="45" xfId="0" applyNumberFormat="1" applyFont="1" applyBorder="1" applyAlignment="1">
      <alignment horizontal="right"/>
    </xf>
    <xf numFmtId="0" fontId="3" fillId="0" borderId="357" xfId="0" applyFont="1" applyBorder="1"/>
    <xf numFmtId="0" fontId="3" fillId="0" borderId="358" xfId="0" applyFont="1" applyBorder="1"/>
    <xf numFmtId="0" fontId="3" fillId="9" borderId="23" xfId="0" applyFont="1" applyFill="1" applyBorder="1"/>
    <xf numFmtId="164" fontId="8" fillId="9" borderId="23" xfId="0" applyNumberFormat="1" applyFont="1" applyFill="1" applyBorder="1" applyAlignment="1">
      <alignment horizontal="center"/>
    </xf>
    <xf numFmtId="0" fontId="3" fillId="9" borderId="102" xfId="0" applyFont="1" applyFill="1" applyBorder="1"/>
    <xf numFmtId="0" fontId="3" fillId="0" borderId="354" xfId="0" applyFont="1" applyBorder="1" applyAlignment="1">
      <alignment horizontal="left"/>
    </xf>
    <xf numFmtId="0" fontId="3" fillId="0" borderId="358" xfId="0" applyFont="1" applyBorder="1" applyAlignment="1">
      <alignment horizontal="left"/>
    </xf>
    <xf numFmtId="0" fontId="8" fillId="9" borderId="23" xfId="0" applyFont="1" applyFill="1" applyBorder="1"/>
    <xf numFmtId="0" fontId="8" fillId="9" borderId="102" xfId="0" applyFont="1" applyFill="1" applyBorder="1"/>
    <xf numFmtId="0" fontId="54" fillId="0" borderId="0" xfId="0" applyFont="1" applyAlignment="1">
      <alignment horizontal="left"/>
    </xf>
    <xf numFmtId="170" fontId="3" fillId="0" borderId="45" xfId="0" applyNumberFormat="1" applyFont="1" applyBorder="1" applyAlignment="1">
      <alignment horizontal="center"/>
    </xf>
    <xf numFmtId="0" fontId="8" fillId="0" borderId="352" xfId="0" applyFont="1" applyBorder="1"/>
    <xf numFmtId="164" fontId="8" fillId="9" borderId="23" xfId="0" applyNumberFormat="1" applyFont="1" applyFill="1" applyBorder="1" applyAlignment="1">
      <alignment horizontal="center" wrapText="1"/>
    </xf>
    <xf numFmtId="0" fontId="3" fillId="0" borderId="356" xfId="0" applyFont="1" applyBorder="1"/>
    <xf numFmtId="0" fontId="21" fillId="0" borderId="26" xfId="0" applyFont="1" applyBorder="1"/>
    <xf numFmtId="0" fontId="8" fillId="9" borderId="93" xfId="0" applyFont="1" applyFill="1" applyBorder="1"/>
    <xf numFmtId="0" fontId="18" fillId="9" borderId="23" xfId="0" applyFont="1" applyFill="1" applyBorder="1"/>
    <xf numFmtId="164" fontId="18" fillId="9" borderId="23" xfId="0" applyNumberFormat="1" applyFont="1" applyFill="1" applyBorder="1"/>
    <xf numFmtId="0" fontId="18" fillId="9" borderId="102" xfId="0" applyFont="1" applyFill="1" applyBorder="1"/>
    <xf numFmtId="0" fontId="8" fillId="0" borderId="359" xfId="0" applyFont="1" applyBorder="1"/>
    <xf numFmtId="0" fontId="11" fillId="0" borderId="360" xfId="0" applyFont="1" applyBorder="1"/>
    <xf numFmtId="164" fontId="3" fillId="9" borderId="23" xfId="0" applyNumberFormat="1" applyFont="1" applyFill="1" applyBorder="1" applyAlignment="1">
      <alignment horizontal="center"/>
    </xf>
    <xf numFmtId="0" fontId="8" fillId="0" borderId="353" xfId="0" applyFont="1" applyBorder="1"/>
    <xf numFmtId="164" fontId="3" fillId="0" borderId="45" xfId="0" applyNumberFormat="1" applyFont="1" applyBorder="1" applyAlignment="1">
      <alignment horizontal="center"/>
    </xf>
    <xf numFmtId="0" fontId="8" fillId="0" borderId="355" xfId="0" applyFont="1" applyBorder="1"/>
    <xf numFmtId="0" fontId="8" fillId="0" borderId="357" xfId="0" applyFont="1" applyBorder="1"/>
    <xf numFmtId="0" fontId="8" fillId="0" borderId="361" xfId="0" applyFont="1" applyBorder="1"/>
    <xf numFmtId="0" fontId="11" fillId="0" borderId="362" xfId="0" applyFont="1" applyBorder="1"/>
    <xf numFmtId="164" fontId="3" fillId="0" borderId="98" xfId="0" applyNumberFormat="1" applyFont="1" applyBorder="1"/>
    <xf numFmtId="0" fontId="30" fillId="0" borderId="130" xfId="0" applyFont="1" applyBorder="1"/>
    <xf numFmtId="0" fontId="30" fillId="0" borderId="16" xfId="0" applyFont="1" applyBorder="1"/>
    <xf numFmtId="0" fontId="3" fillId="4" borderId="6" xfId="0" applyFont="1" applyFill="1" applyBorder="1"/>
    <xf numFmtId="1" fontId="8" fillId="4" borderId="6" xfId="0" applyNumberFormat="1" applyFont="1" applyFill="1" applyBorder="1" applyAlignment="1">
      <alignment horizontal="center"/>
    </xf>
    <xf numFmtId="164" fontId="3" fillId="0" borderId="3" xfId="0" applyNumberFormat="1" applyFont="1" applyBorder="1"/>
    <xf numFmtId="164" fontId="3" fillId="0" borderId="54" xfId="0" applyNumberFormat="1" applyFont="1" applyBorder="1"/>
    <xf numFmtId="43" fontId="3" fillId="0" borderId="3" xfId="0" applyNumberFormat="1" applyFont="1" applyBorder="1"/>
    <xf numFmtId="43" fontId="3" fillId="0" borderId="54" xfId="0" applyNumberFormat="1" applyFont="1" applyBorder="1"/>
    <xf numFmtId="2" fontId="3" fillId="0" borderId="54" xfId="0" applyNumberFormat="1" applyFont="1" applyBorder="1"/>
    <xf numFmtId="2" fontId="3" fillId="0" borderId="56" xfId="0" applyNumberFormat="1" applyFont="1" applyBorder="1"/>
    <xf numFmtId="2" fontId="3" fillId="0" borderId="58" xfId="0" applyNumberFormat="1" applyFont="1" applyBorder="1"/>
    <xf numFmtId="0" fontId="37" fillId="0" borderId="0" xfId="0" applyFont="1"/>
    <xf numFmtId="3" fontId="3" fillId="0" borderId="58" xfId="0" applyNumberFormat="1" applyFont="1" applyBorder="1"/>
    <xf numFmtId="0" fontId="20" fillId="7" borderId="85" xfId="0" applyFont="1" applyFill="1" applyBorder="1"/>
    <xf numFmtId="0" fontId="55" fillId="0" borderId="0" xfId="0" applyFont="1"/>
    <xf numFmtId="0" fontId="56" fillId="7" borderId="181" xfId="0" applyFont="1" applyFill="1" applyBorder="1"/>
    <xf numFmtId="0" fontId="30" fillId="7" borderId="164" xfId="0" applyFont="1" applyFill="1" applyBorder="1"/>
    <xf numFmtId="0" fontId="30" fillId="7" borderId="110" xfId="0" applyFont="1" applyFill="1" applyBorder="1"/>
    <xf numFmtId="0" fontId="57" fillId="0" borderId="234" xfId="0" applyFont="1" applyBorder="1"/>
    <xf numFmtId="0" fontId="57" fillId="0" borderId="235" xfId="0" applyFont="1" applyBorder="1"/>
    <xf numFmtId="0" fontId="57" fillId="0" borderId="313" xfId="0" applyFont="1" applyBorder="1"/>
    <xf numFmtId="0" fontId="57" fillId="0" borderId="236" xfId="0" applyFont="1" applyBorder="1"/>
    <xf numFmtId="0" fontId="30" fillId="0" borderId="237" xfId="0" applyFont="1" applyBorder="1"/>
    <xf numFmtId="0" fontId="30" fillId="0" borderId="3" xfId="0" applyFont="1" applyBorder="1"/>
    <xf numFmtId="199" fontId="30" fillId="0" borderId="3" xfId="0" applyNumberFormat="1" applyFont="1" applyBorder="1"/>
    <xf numFmtId="199" fontId="30" fillId="0" borderId="1" xfId="0" applyNumberFormat="1" applyFont="1" applyBorder="1"/>
    <xf numFmtId="168" fontId="30" fillId="0" borderId="239" xfId="0" applyNumberFormat="1" applyFont="1" applyBorder="1"/>
    <xf numFmtId="0" fontId="30" fillId="0" borderId="240" xfId="0" applyFont="1" applyBorder="1"/>
    <xf numFmtId="0" fontId="30" fillId="0" borderId="189" xfId="0" applyFont="1" applyBorder="1"/>
    <xf numFmtId="199" fontId="30" fillId="0" borderId="189" xfId="0" applyNumberFormat="1" applyFont="1" applyBorder="1"/>
    <xf numFmtId="199" fontId="30" fillId="0" borderId="363" xfId="0" applyNumberFormat="1" applyFont="1" applyBorder="1"/>
    <xf numFmtId="0" fontId="30" fillId="0" borderId="200" xfId="0" applyFont="1" applyBorder="1"/>
    <xf numFmtId="0" fontId="121" fillId="42" borderId="229" xfId="0" applyFont="1" applyFill="1" applyBorder="1"/>
    <xf numFmtId="0" fontId="3" fillId="42" borderId="229" xfId="0" applyFont="1" applyFill="1" applyBorder="1"/>
    <xf numFmtId="0" fontId="3" fillId="42" borderId="0" xfId="0" applyFont="1" applyFill="1"/>
    <xf numFmtId="0" fontId="122" fillId="42" borderId="229" xfId="0" applyFont="1" applyFill="1" applyBorder="1"/>
    <xf numFmtId="0" fontId="123" fillId="43" borderId="229" xfId="0" applyFont="1" applyFill="1" applyBorder="1"/>
    <xf numFmtId="0" fontId="3" fillId="43" borderId="229" xfId="0" applyFont="1" applyFill="1" applyBorder="1"/>
    <xf numFmtId="2" fontId="123" fillId="43" borderId="229" xfId="0" applyNumberFormat="1" applyFont="1" applyFill="1" applyBorder="1"/>
    <xf numFmtId="2" fontId="8" fillId="0" borderId="0" xfId="0" applyNumberFormat="1" applyFont="1"/>
    <xf numFmtId="0" fontId="3" fillId="43" borderId="0" xfId="0" applyFont="1" applyFill="1"/>
    <xf numFmtId="0" fontId="4" fillId="2" borderId="3" xfId="0" applyFont="1" applyFill="1" applyBorder="1" applyAlignment="1">
      <alignment horizontal="left"/>
    </xf>
    <xf numFmtId="0" fontId="8" fillId="33" borderId="229" xfId="0" applyFont="1" applyFill="1" applyBorder="1"/>
    <xf numFmtId="0" fontId="3" fillId="33" borderId="229" xfId="0" applyFont="1" applyFill="1" applyBorder="1"/>
    <xf numFmtId="0" fontId="3" fillId="0" borderId="229" xfId="0" applyFont="1" applyBorder="1"/>
    <xf numFmtId="0" fontId="31" fillId="0" borderId="0" xfId="0" applyFont="1" applyAlignment="1">
      <alignment horizontal="center" wrapText="1"/>
    </xf>
    <xf numFmtId="0" fontId="31" fillId="34" borderId="3" xfId="0" applyFont="1" applyFill="1" applyBorder="1" applyAlignment="1">
      <alignment horizontal="center" wrapText="1"/>
    </xf>
    <xf numFmtId="0" fontId="124" fillId="0" borderId="3" xfId="0" applyFont="1" applyBorder="1" applyAlignment="1">
      <alignment horizontal="center" wrapText="1"/>
    </xf>
    <xf numFmtId="0" fontId="124" fillId="0" borderId="188" xfId="0" applyFont="1" applyBorder="1" applyAlignment="1">
      <alignment horizontal="center" wrapText="1"/>
    </xf>
    <xf numFmtId="0" fontId="124" fillId="0" borderId="260" xfId="0" applyFont="1" applyBorder="1" applyAlignment="1">
      <alignment horizontal="center" wrapText="1"/>
    </xf>
    <xf numFmtId="179" fontId="124" fillId="0" borderId="260" xfId="0" applyNumberFormat="1" applyFont="1" applyBorder="1" applyAlignment="1">
      <alignment horizontal="center" wrapText="1"/>
    </xf>
    <xf numFmtId="179" fontId="124" fillId="0" borderId="3" xfId="0" applyNumberFormat="1" applyFont="1" applyBorder="1" applyAlignment="1">
      <alignment horizontal="center" wrapText="1"/>
    </xf>
    <xf numFmtId="0" fontId="125" fillId="0" borderId="0" xfId="0" applyFont="1"/>
    <xf numFmtId="0" fontId="126" fillId="0" borderId="0" xfId="0" applyFont="1"/>
    <xf numFmtId="0" fontId="29" fillId="34" borderId="229" xfId="0" applyFont="1" applyFill="1" applyBorder="1"/>
    <xf numFmtId="0" fontId="29" fillId="0" borderId="229" xfId="0" applyFont="1" applyBorder="1"/>
    <xf numFmtId="0" fontId="5" fillId="0" borderId="0" xfId="0" applyFont="1"/>
    <xf numFmtId="0" fontId="29" fillId="0" borderId="344" xfId="0" applyFont="1" applyBorder="1"/>
    <xf numFmtId="0" fontId="29" fillId="0" borderId="117" xfId="0" applyFont="1" applyBorder="1"/>
    <xf numFmtId="0" fontId="29" fillId="31" borderId="3" xfId="0" applyFont="1" applyFill="1" applyBorder="1" applyAlignment="1">
      <alignment horizontal="center"/>
    </xf>
    <xf numFmtId="0" fontId="29" fillId="0" borderId="0" xfId="0" applyFont="1" applyAlignment="1">
      <alignment horizontal="right"/>
    </xf>
    <xf numFmtId="0" fontId="5" fillId="0" borderId="344" xfId="0" applyFont="1" applyBorder="1"/>
    <xf numFmtId="0" fontId="5" fillId="0" borderId="117" xfId="0" applyFont="1" applyBorder="1"/>
    <xf numFmtId="0" fontId="5" fillId="0" borderId="159" xfId="0" applyFont="1" applyBorder="1"/>
    <xf numFmtId="0" fontId="5" fillId="0" borderId="223" xfId="0" applyFont="1" applyBorder="1"/>
    <xf numFmtId="0" fontId="5" fillId="0" borderId="207" xfId="0" applyFont="1" applyBorder="1" applyAlignment="1">
      <alignment horizontal="center"/>
    </xf>
    <xf numFmtId="0" fontId="5" fillId="0" borderId="202" xfId="0" applyFont="1" applyBorder="1"/>
    <xf numFmtId="0" fontId="5" fillId="0" borderId="347" xfId="0" applyFont="1" applyBorder="1"/>
    <xf numFmtId="0" fontId="5" fillId="0" borderId="49" xfId="0" applyFont="1" applyBorder="1" applyAlignment="1">
      <alignment horizontal="center"/>
    </xf>
    <xf numFmtId="0" fontId="29" fillId="0" borderId="3" xfId="0" applyFont="1" applyBorder="1"/>
    <xf numFmtId="0" fontId="5" fillId="0" borderId="3" xfId="0" applyFont="1" applyBorder="1"/>
    <xf numFmtId="0" fontId="5" fillId="0" borderId="49" xfId="0" applyFont="1" applyBorder="1"/>
    <xf numFmtId="179" fontId="5" fillId="0" borderId="3" xfId="0" applyNumberFormat="1" applyFont="1" applyBorder="1" applyAlignment="1">
      <alignment horizontal="center"/>
    </xf>
    <xf numFmtId="0" fontId="29" fillId="0" borderId="0" xfId="0" applyFont="1"/>
    <xf numFmtId="0" fontId="29" fillId="31" borderId="3" xfId="0" applyFont="1" applyFill="1" applyBorder="1"/>
    <xf numFmtId="179" fontId="5" fillId="0" borderId="3" xfId="0" applyNumberFormat="1" applyFont="1" applyBorder="1"/>
    <xf numFmtId="179" fontId="127" fillId="0" borderId="0" xfId="0" applyNumberFormat="1" applyFont="1"/>
    <xf numFmtId="0" fontId="31" fillId="31" borderId="3" xfId="0" applyFont="1" applyFill="1" applyBorder="1"/>
    <xf numFmtId="179" fontId="29" fillId="31" borderId="3" xfId="0" applyNumberFormat="1" applyFont="1" applyFill="1" applyBorder="1"/>
    <xf numFmtId="0" fontId="5" fillId="0" borderId="260" xfId="0" applyFont="1" applyBorder="1"/>
    <xf numFmtId="0" fontId="31" fillId="0" borderId="229" xfId="0" applyFont="1" applyBorder="1"/>
    <xf numFmtId="179" fontId="29" fillId="0" borderId="229" xfId="0" applyNumberFormat="1" applyFont="1" applyBorder="1"/>
    <xf numFmtId="0" fontId="29" fillId="0" borderId="340" xfId="0" applyFont="1" applyBorder="1"/>
    <xf numFmtId="0" fontId="5" fillId="0" borderId="340" xfId="0" applyFont="1" applyBorder="1"/>
    <xf numFmtId="0" fontId="5" fillId="0" borderId="260" xfId="0" applyFont="1" applyBorder="1" applyAlignment="1">
      <alignment horizontal="left"/>
    </xf>
    <xf numFmtId="0" fontId="5" fillId="2" borderId="329" xfId="0" applyFont="1" applyFill="1" applyBorder="1" applyAlignment="1">
      <alignment horizontal="right"/>
    </xf>
    <xf numFmtId="0" fontId="5" fillId="2" borderId="3" xfId="0" applyFont="1" applyFill="1" applyBorder="1" applyAlignment="1">
      <alignment horizontal="right"/>
    </xf>
    <xf numFmtId="0" fontId="29" fillId="31" borderId="3" xfId="0" applyFont="1" applyFill="1" applyBorder="1" applyAlignment="1">
      <alignment horizontal="center" wrapText="1"/>
    </xf>
    <xf numFmtId="0" fontId="29" fillId="31" borderId="117" xfId="0" applyFont="1" applyFill="1" applyBorder="1" applyAlignment="1">
      <alignment horizontal="center" wrapText="1"/>
    </xf>
    <xf numFmtId="0" fontId="5" fillId="0" borderId="3" xfId="0" applyFont="1" applyBorder="1" applyAlignment="1">
      <alignment horizontal="center" wrapText="1"/>
    </xf>
    <xf numFmtId="3" fontId="5" fillId="0" borderId="329" xfId="0" applyNumberFormat="1" applyFont="1" applyBorder="1" applyAlignment="1">
      <alignment horizontal="center" wrapText="1"/>
    </xf>
    <xf numFmtId="9" fontId="5" fillId="0" borderId="329" xfId="0" applyNumberFormat="1" applyFont="1" applyBorder="1" applyAlignment="1">
      <alignment horizontal="center" wrapText="1"/>
    </xf>
    <xf numFmtId="2" fontId="5" fillId="0" borderId="329" xfId="0" applyNumberFormat="1" applyFont="1" applyBorder="1" applyAlignment="1">
      <alignment horizontal="center" wrapText="1"/>
    </xf>
    <xf numFmtId="204" fontId="5" fillId="0" borderId="329" xfId="0" applyNumberFormat="1" applyFont="1" applyBorder="1" applyAlignment="1">
      <alignment horizontal="center" wrapText="1"/>
    </xf>
    <xf numFmtId="3" fontId="5" fillId="0" borderId="3" xfId="0" applyNumberFormat="1" applyFont="1" applyBorder="1" applyAlignment="1">
      <alignment horizontal="center" wrapText="1"/>
    </xf>
    <xf numFmtId="9" fontId="5" fillId="0" borderId="3" xfId="0" applyNumberFormat="1" applyFont="1" applyBorder="1" applyAlignment="1">
      <alignment horizontal="center" wrapText="1"/>
    </xf>
    <xf numFmtId="3" fontId="5" fillId="0" borderId="329" xfId="0" applyNumberFormat="1" applyFont="1" applyBorder="1" applyAlignment="1">
      <alignment horizontal="center"/>
    </xf>
    <xf numFmtId="0" fontId="5" fillId="0" borderId="0" xfId="0" applyFont="1" applyAlignment="1">
      <alignment horizontal="left"/>
    </xf>
    <xf numFmtId="0" fontId="5" fillId="0" borderId="56" xfId="0" applyFont="1" applyBorder="1"/>
    <xf numFmtId="9" fontId="5" fillId="0" borderId="341" xfId="0" applyNumberFormat="1" applyFont="1" applyBorder="1" applyAlignment="1">
      <alignment horizontal="center"/>
    </xf>
    <xf numFmtId="0" fontId="5" fillId="0" borderId="329" xfId="0" applyFont="1" applyBorder="1" applyAlignment="1">
      <alignment horizontal="center"/>
    </xf>
    <xf numFmtId="200" fontId="5" fillId="0" borderId="341" xfId="0" applyNumberFormat="1" applyFont="1" applyBorder="1" applyAlignment="1">
      <alignment horizontal="center"/>
    </xf>
    <xf numFmtId="0" fontId="29" fillId="31" borderId="117" xfId="0" applyFont="1" applyFill="1" applyBorder="1" applyAlignment="1">
      <alignment horizontal="center"/>
    </xf>
    <xf numFmtId="200" fontId="5" fillId="2" borderId="3" xfId="0" applyNumberFormat="1" applyFont="1" applyFill="1" applyBorder="1" applyAlignment="1">
      <alignment horizontal="center"/>
    </xf>
    <xf numFmtId="200" fontId="5" fillId="0" borderId="3" xfId="0" applyNumberFormat="1" applyFont="1" applyBorder="1" applyAlignment="1">
      <alignment horizontal="center"/>
    </xf>
    <xf numFmtId="206" fontId="3" fillId="0" borderId="0" xfId="0" applyNumberFormat="1" applyFont="1"/>
    <xf numFmtId="0" fontId="29" fillId="31" borderId="329" xfId="0" applyFont="1" applyFill="1" applyBorder="1" applyAlignment="1">
      <alignment horizontal="center"/>
    </xf>
    <xf numFmtId="179" fontId="5" fillId="2" borderId="329" xfId="0" applyNumberFormat="1" applyFont="1" applyFill="1" applyBorder="1" applyAlignment="1">
      <alignment horizontal="center"/>
    </xf>
    <xf numFmtId="179" fontId="5" fillId="2" borderId="3" xfId="0" applyNumberFormat="1" applyFont="1" applyFill="1" applyBorder="1" applyAlignment="1">
      <alignment horizontal="center"/>
    </xf>
    <xf numFmtId="0" fontId="29" fillId="21" borderId="344" xfId="0" applyFont="1" applyFill="1" applyBorder="1" applyAlignment="1">
      <alignment horizontal="left"/>
    </xf>
    <xf numFmtId="0" fontId="29" fillId="21" borderId="183" xfId="0" applyFont="1" applyFill="1" applyBorder="1" applyAlignment="1">
      <alignment horizontal="center"/>
    </xf>
    <xf numFmtId="0" fontId="29" fillId="21" borderId="117" xfId="0" applyFont="1" applyFill="1" applyBorder="1" applyAlignment="1">
      <alignment horizontal="center"/>
    </xf>
    <xf numFmtId="0" fontId="29" fillId="37" borderId="3" xfId="0" applyFont="1" applyFill="1" applyBorder="1"/>
    <xf numFmtId="3" fontId="5" fillId="0" borderId="329" xfId="0" applyNumberFormat="1" applyFont="1" applyBorder="1" applyAlignment="1">
      <alignment horizontal="right"/>
    </xf>
    <xf numFmtId="3" fontId="5" fillId="44" borderId="329" xfId="0" applyNumberFormat="1" applyFont="1" applyFill="1" applyBorder="1" applyAlignment="1">
      <alignment horizontal="right"/>
    </xf>
    <xf numFmtId="0" fontId="4" fillId="0" borderId="56" xfId="0" applyFont="1" applyBorder="1"/>
    <xf numFmtId="3" fontId="5" fillId="44" borderId="341" xfId="0" applyNumberFormat="1" applyFont="1" applyFill="1" applyBorder="1" applyAlignment="1">
      <alignment horizontal="right"/>
    </xf>
    <xf numFmtId="0" fontId="4" fillId="0" borderId="260" xfId="0" applyFont="1" applyBorder="1"/>
    <xf numFmtId="3" fontId="5" fillId="0" borderId="59" xfId="0" applyNumberFormat="1" applyFont="1" applyBorder="1" applyAlignment="1">
      <alignment horizontal="right"/>
    </xf>
    <xf numFmtId="3" fontId="5" fillId="44" borderId="59" xfId="0" applyNumberFormat="1" applyFont="1" applyFill="1" applyBorder="1" applyAlignment="1">
      <alignment horizontal="right"/>
    </xf>
    <xf numFmtId="3" fontId="5" fillId="0" borderId="347" xfId="0" applyNumberFormat="1" applyFont="1" applyBorder="1" applyAlignment="1">
      <alignment horizontal="right"/>
    </xf>
    <xf numFmtId="3" fontId="5" fillId="44" borderId="347" xfId="0" applyNumberFormat="1" applyFont="1" applyFill="1" applyBorder="1" applyAlignment="1">
      <alignment horizontal="right"/>
    </xf>
    <xf numFmtId="0" fontId="29" fillId="0" borderId="3" xfId="0" applyFont="1" applyBorder="1" applyAlignment="1">
      <alignment horizontal="center"/>
    </xf>
    <xf numFmtId="4" fontId="5" fillId="0" borderId="329" xfId="0" applyNumberFormat="1" applyFont="1" applyBorder="1" applyAlignment="1">
      <alignment horizontal="right"/>
    </xf>
    <xf numFmtId="4" fontId="5" fillId="0" borderId="59" xfId="0" applyNumberFormat="1" applyFont="1" applyBorder="1" applyAlignment="1">
      <alignment horizontal="right"/>
    </xf>
    <xf numFmtId="204" fontId="5" fillId="0" borderId="329" xfId="0" applyNumberFormat="1" applyFont="1" applyBorder="1" applyAlignment="1">
      <alignment horizontal="right"/>
    </xf>
    <xf numFmtId="0" fontId="5" fillId="0" borderId="35" xfId="0" applyFont="1" applyBorder="1"/>
    <xf numFmtId="0" fontId="29" fillId="21" borderId="183" xfId="0" applyFont="1" applyFill="1" applyBorder="1" applyAlignment="1">
      <alignment horizontal="left"/>
    </xf>
    <xf numFmtId="0" fontId="29" fillId="21" borderId="117" xfId="0" applyFont="1" applyFill="1" applyBorder="1" applyAlignment="1">
      <alignment horizontal="left"/>
    </xf>
    <xf numFmtId="0" fontId="5" fillId="37" borderId="3" xfId="0" applyFont="1" applyFill="1" applyBorder="1"/>
    <xf numFmtId="0" fontId="29" fillId="0" borderId="3" xfId="0" applyFont="1" applyBorder="1" applyAlignment="1">
      <alignment wrapText="1"/>
    </xf>
    <xf numFmtId="3" fontId="29" fillId="0" borderId="3" xfId="0" applyNumberFormat="1" applyFont="1" applyBorder="1" applyAlignment="1">
      <alignment horizontal="right" wrapText="1"/>
    </xf>
    <xf numFmtId="3" fontId="5" fillId="0" borderId="3" xfId="0" applyNumberFormat="1" applyFont="1" applyBorder="1" applyAlignment="1">
      <alignment horizontal="right" wrapText="1"/>
    </xf>
    <xf numFmtId="205" fontId="29" fillId="0" borderId="3" xfId="0" applyNumberFormat="1" applyFont="1" applyBorder="1" applyAlignment="1">
      <alignment horizontal="right" wrapText="1"/>
    </xf>
    <xf numFmtId="205" fontId="5" fillId="0" borderId="3" xfId="0" applyNumberFormat="1" applyFont="1" applyBorder="1" applyAlignment="1">
      <alignment horizontal="right" wrapText="1"/>
    </xf>
    <xf numFmtId="0" fontId="5" fillId="0" borderId="207" xfId="0" applyFont="1" applyBorder="1"/>
    <xf numFmtId="0" fontId="4" fillId="0" borderId="207" xfId="0" applyFont="1" applyBorder="1"/>
    <xf numFmtId="205" fontId="5" fillId="0" borderId="207" xfId="0" applyNumberFormat="1" applyFont="1" applyBorder="1" applyAlignment="1">
      <alignment horizontal="right" wrapText="1"/>
    </xf>
    <xf numFmtId="0" fontId="4" fillId="0" borderId="49" xfId="0" applyFont="1" applyBorder="1"/>
    <xf numFmtId="3" fontId="5" fillId="0" borderId="49" xfId="0" applyNumberFormat="1" applyFont="1" applyBorder="1" applyAlignment="1">
      <alignment horizontal="right"/>
    </xf>
    <xf numFmtId="0" fontId="31" fillId="0" borderId="0" xfId="0" applyFont="1" applyAlignment="1">
      <alignment horizontal="center"/>
    </xf>
    <xf numFmtId="0" fontId="31" fillId="0" borderId="304" xfId="0" applyFont="1" applyBorder="1" applyAlignment="1">
      <alignment horizontal="center"/>
    </xf>
    <xf numFmtId="0" fontId="31" fillId="0" borderId="329" xfId="0" applyFont="1" applyBorder="1" applyAlignment="1">
      <alignment horizontal="center"/>
    </xf>
    <xf numFmtId="0" fontId="31" fillId="0" borderId="345" xfId="0" applyFont="1" applyBorder="1" applyAlignment="1">
      <alignment horizontal="center"/>
    </xf>
    <xf numFmtId="0" fontId="31" fillId="0" borderId="305" xfId="0" applyFont="1" applyBorder="1" applyAlignment="1">
      <alignment horizontal="center"/>
    </xf>
    <xf numFmtId="0" fontId="124" fillId="0" borderId="344" xfId="0" applyFont="1" applyBorder="1" applyAlignment="1">
      <alignment horizontal="right"/>
    </xf>
    <xf numFmtId="0" fontId="124" fillId="0" borderId="53" xfId="0" applyFont="1" applyBorder="1"/>
    <xf numFmtId="0" fontId="124" fillId="0" borderId="117" xfId="0" applyFont="1" applyBorder="1" applyAlignment="1">
      <alignment horizontal="right"/>
    </xf>
    <xf numFmtId="0" fontId="124" fillId="0" borderId="117" xfId="0" applyFont="1" applyBorder="1"/>
    <xf numFmtId="2" fontId="5" fillId="0" borderId="345" xfId="0" applyNumberFormat="1" applyFont="1" applyBorder="1" applyAlignment="1">
      <alignment horizontal="right"/>
    </xf>
    <xf numFmtId="3" fontId="5" fillId="0" borderId="304" xfId="0" applyNumberFormat="1" applyFont="1" applyBorder="1" applyAlignment="1">
      <alignment horizontal="right"/>
    </xf>
    <xf numFmtId="3" fontId="5" fillId="0" borderId="305" xfId="0" applyNumberFormat="1" applyFont="1" applyBorder="1" applyAlignment="1">
      <alignment horizontal="right"/>
    </xf>
    <xf numFmtId="3" fontId="5" fillId="0" borderId="345" xfId="0" applyNumberFormat="1" applyFont="1" applyBorder="1" applyAlignment="1">
      <alignment horizontal="right"/>
    </xf>
    <xf numFmtId="0" fontId="124" fillId="0" borderId="343" xfId="0" applyFont="1" applyBorder="1" applyAlignment="1">
      <alignment horizontal="right"/>
    </xf>
    <xf numFmtId="0" fontId="124" fillId="0" borderId="304" xfId="0" applyFont="1" applyBorder="1"/>
    <xf numFmtId="0" fontId="124" fillId="0" borderId="329" xfId="0" applyFont="1" applyBorder="1" applyAlignment="1">
      <alignment horizontal="right"/>
    </xf>
    <xf numFmtId="0" fontId="124" fillId="0" borderId="329" xfId="0" applyFont="1" applyBorder="1"/>
    <xf numFmtId="0" fontId="5" fillId="0" borderId="343" xfId="0" applyFont="1" applyBorder="1" applyAlignment="1">
      <alignment horizontal="right"/>
    </xf>
    <xf numFmtId="0" fontId="5" fillId="0" borderId="304" xfId="0" applyFont="1" applyBorder="1"/>
    <xf numFmtId="0" fontId="5" fillId="0" borderId="329" xfId="0" applyFont="1" applyBorder="1" applyAlignment="1">
      <alignment horizontal="right"/>
    </xf>
    <xf numFmtId="9" fontId="124" fillId="0" borderId="329" xfId="0" applyNumberFormat="1" applyFont="1" applyBorder="1" applyAlignment="1">
      <alignment horizontal="right"/>
    </xf>
    <xf numFmtId="0" fontId="124" fillId="0" borderId="305" xfId="0" applyFont="1" applyBorder="1"/>
    <xf numFmtId="0" fontId="124" fillId="0" borderId="298" xfId="0" applyFont="1" applyBorder="1"/>
    <xf numFmtId="0" fontId="124" fillId="0" borderId="341" xfId="0" applyFont="1" applyBorder="1" applyAlignment="1">
      <alignment horizontal="right"/>
    </xf>
    <xf numFmtId="0" fontId="124" fillId="0" borderId="341" xfId="0" applyFont="1" applyBorder="1"/>
    <xf numFmtId="2" fontId="5" fillId="0" borderId="226" xfId="0" applyNumberFormat="1" applyFont="1" applyBorder="1" applyAlignment="1">
      <alignment horizontal="right"/>
    </xf>
    <xf numFmtId="3" fontId="5" fillId="0" borderId="298" xfId="0" applyNumberFormat="1" applyFont="1" applyBorder="1" applyAlignment="1">
      <alignment horizontal="right"/>
    </xf>
    <xf numFmtId="3" fontId="5" fillId="0" borderId="299" xfId="0" applyNumberFormat="1" applyFont="1" applyBorder="1" applyAlignment="1">
      <alignment horizontal="right"/>
    </xf>
    <xf numFmtId="3" fontId="5" fillId="0" borderId="226" xfId="0" applyNumberFormat="1" applyFont="1" applyBorder="1" applyAlignment="1">
      <alignment horizontal="right"/>
    </xf>
    <xf numFmtId="0" fontId="31" fillId="0" borderId="3" xfId="0" applyFont="1" applyBorder="1"/>
    <xf numFmtId="200" fontId="29" fillId="0" borderId="3" xfId="0" applyNumberFormat="1" applyFont="1" applyBorder="1" applyAlignment="1">
      <alignment horizontal="center"/>
    </xf>
    <xf numFmtId="49" fontId="124" fillId="0" borderId="3" xfId="0" applyNumberFormat="1" applyFont="1" applyBorder="1"/>
    <xf numFmtId="200" fontId="29" fillId="31" borderId="3" xfId="0" applyNumberFormat="1" applyFont="1" applyFill="1" applyBorder="1" applyAlignment="1">
      <alignment horizontal="center"/>
    </xf>
    <xf numFmtId="0" fontId="8" fillId="44" borderId="3" xfId="0" applyFont="1" applyFill="1" applyBorder="1" applyAlignment="1">
      <alignment horizontal="center"/>
    </xf>
    <xf numFmtId="0" fontId="8" fillId="31" borderId="3" xfId="0" applyFont="1" applyFill="1" applyBorder="1"/>
    <xf numFmtId="200" fontId="8" fillId="31" borderId="3" xfId="0" applyNumberFormat="1" applyFont="1" applyFill="1" applyBorder="1" applyAlignment="1">
      <alignment horizontal="center"/>
    </xf>
    <xf numFmtId="200" fontId="8" fillId="0" borderId="3" xfId="0" applyNumberFormat="1" applyFont="1" applyBorder="1" applyAlignment="1">
      <alignment horizontal="center"/>
    </xf>
    <xf numFmtId="49" fontId="3" fillId="0" borderId="3" xfId="0" applyNumberFormat="1" applyFont="1" applyBorder="1" applyAlignment="1">
      <alignment horizontal="left"/>
    </xf>
    <xf numFmtId="200" fontId="3" fillId="0" borderId="3" xfId="0" applyNumberFormat="1" applyFont="1" applyBorder="1" applyAlignment="1">
      <alignment horizontal="center"/>
    </xf>
    <xf numFmtId="49" fontId="8" fillId="0" borderId="0" xfId="0" applyNumberFormat="1" applyFont="1"/>
    <xf numFmtId="0" fontId="128" fillId="0" borderId="0" xfId="0" applyFont="1"/>
    <xf numFmtId="0" fontId="128" fillId="2" borderId="229" xfId="0" applyFont="1" applyFill="1" applyBorder="1"/>
    <xf numFmtId="0" fontId="129" fillId="0" borderId="3" xfId="0" applyFont="1" applyBorder="1" applyAlignment="1">
      <alignment horizontal="center"/>
    </xf>
    <xf numFmtId="0" fontId="5" fillId="0" borderId="229" xfId="0" applyFont="1" applyBorder="1"/>
    <xf numFmtId="0" fontId="4" fillId="0" borderId="229" xfId="0" applyFont="1" applyBorder="1"/>
    <xf numFmtId="0" fontId="0" fillId="0" borderId="229" xfId="0" applyBorder="1"/>
    <xf numFmtId="0" fontId="29" fillId="0" borderId="229" xfId="0" applyFont="1" applyBorder="1" applyAlignment="1">
      <alignment horizontal="right"/>
    </xf>
    <xf numFmtId="0" fontId="5" fillId="0" borderId="229" xfId="0" applyFont="1" applyBorder="1" applyAlignment="1">
      <alignment horizontal="right"/>
    </xf>
    <xf numFmtId="179" fontId="5" fillId="0" borderId="229" xfId="0" applyNumberFormat="1" applyFont="1" applyBorder="1" applyAlignment="1">
      <alignment horizontal="right"/>
    </xf>
    <xf numFmtId="0" fontId="30" fillId="0" borderId="229" xfId="0" applyFont="1" applyBorder="1" applyAlignment="1">
      <alignment horizontal="right"/>
    </xf>
    <xf numFmtId="2" fontId="30" fillId="0" borderId="229" xfId="0" applyNumberFormat="1" applyFont="1" applyBorder="1" applyAlignment="1">
      <alignment horizontal="right"/>
    </xf>
    <xf numFmtId="0" fontId="30" fillId="0" borderId="229" xfId="0" applyFont="1" applyBorder="1"/>
    <xf numFmtId="0" fontId="130" fillId="0" borderId="0" xfId="0" applyFont="1"/>
    <xf numFmtId="0" fontId="3" fillId="0" borderId="1" xfId="0" applyFont="1" applyBorder="1" applyAlignment="1">
      <alignment horizontal="left" indent="2"/>
    </xf>
    <xf numFmtId="0" fontId="8" fillId="0" borderId="120" xfId="0" applyFont="1" applyBorder="1"/>
    <xf numFmtId="0" fontId="6" fillId="0" borderId="124" xfId="0" applyFont="1" applyBorder="1"/>
    <xf numFmtId="0" fontId="8" fillId="0" borderId="126" xfId="0" applyFont="1" applyBorder="1"/>
    <xf numFmtId="0" fontId="6" fillId="0" borderId="127" xfId="0" applyFont="1" applyBorder="1"/>
    <xf numFmtId="0" fontId="5" fillId="2" borderId="1" xfId="0" applyFont="1" applyFill="1" applyBorder="1" applyAlignment="1">
      <alignment horizontal="center"/>
    </xf>
    <xf numFmtId="0" fontId="6" fillId="0" borderId="2" xfId="0" applyFont="1" applyBorder="1"/>
    <xf numFmtId="3" fontId="5" fillId="0" borderId="1" xfId="0" applyNumberFormat="1" applyFont="1" applyBorder="1" applyAlignment="1">
      <alignment horizontal="center"/>
    </xf>
    <xf numFmtId="0" fontId="14" fillId="8" borderId="19" xfId="0" applyFont="1" applyFill="1" applyBorder="1"/>
    <xf numFmtId="0" fontId="6" fillId="0" borderId="20" xfId="0" applyFont="1" applyBorder="1"/>
    <xf numFmtId="0" fontId="3" fillId="0" borderId="9" xfId="0" applyFont="1" applyBorder="1"/>
    <xf numFmtId="0" fontId="6" fillId="0" borderId="11" xfId="0" applyFont="1" applyBorder="1"/>
    <xf numFmtId="0" fontId="23" fillId="13" borderId="167" xfId="0" applyFont="1" applyFill="1" applyBorder="1"/>
    <xf numFmtId="0" fontId="6" fillId="0" borderId="168" xfId="0" applyFont="1" applyBorder="1"/>
    <xf numFmtId="0" fontId="4" fillId="2" borderId="67" xfId="0" applyFont="1" applyFill="1" applyBorder="1" applyAlignment="1">
      <alignment horizontal="center"/>
    </xf>
    <xf numFmtId="0" fontId="6" fillId="0" borderId="68" xfId="0" applyFont="1" applyBorder="1"/>
    <xf numFmtId="0" fontId="8" fillId="0" borderId="9" xfId="0" applyFont="1" applyBorder="1" applyAlignment="1">
      <alignment horizontal="center"/>
    </xf>
    <xf numFmtId="0" fontId="6" fillId="0" borderId="10" xfId="0" applyFont="1" applyBorder="1"/>
    <xf numFmtId="0" fontId="8" fillId="0" borderId="0" xfId="0" applyFont="1" applyAlignment="1">
      <alignment horizontal="center"/>
    </xf>
    <xf numFmtId="0" fontId="0" fillId="0" borderId="0" xfId="0"/>
    <xf numFmtId="0" fontId="8" fillId="0" borderId="0" xfId="0" applyFont="1"/>
    <xf numFmtId="0" fontId="3" fillId="0" borderId="0" xfId="0" applyFont="1" applyAlignment="1">
      <alignment wrapText="1"/>
    </xf>
    <xf numFmtId="0" fontId="12" fillId="0" borderId="0" xfId="0" applyFont="1" applyAlignment="1">
      <alignment horizontal="left" wrapText="1"/>
    </xf>
    <xf numFmtId="0" fontId="3" fillId="0" borderId="5" xfId="0" applyFont="1" applyBorder="1"/>
    <xf numFmtId="0" fontId="6" fillId="0" borderId="5" xfId="0" applyFont="1" applyBorder="1"/>
    <xf numFmtId="0" fontId="3" fillId="0" borderId="15" xfId="0" applyFont="1" applyBorder="1"/>
    <xf numFmtId="0" fontId="6" fillId="0" borderId="16" xfId="0" applyFont="1" applyBorder="1"/>
    <xf numFmtId="0" fontId="3" fillId="0" borderId="120" xfId="0" applyFont="1" applyBorder="1"/>
    <xf numFmtId="0" fontId="3" fillId="4" borderId="232" xfId="0" applyFont="1" applyFill="1" applyBorder="1"/>
    <xf numFmtId="0" fontId="6" fillId="0" borderId="233" xfId="0" applyFont="1" applyBorder="1"/>
    <xf numFmtId="0" fontId="3" fillId="0" borderId="19" xfId="0" applyFont="1" applyBorder="1"/>
    <xf numFmtId="0" fontId="8" fillId="0" borderId="65" xfId="0" applyFont="1" applyBorder="1"/>
    <xf numFmtId="0" fontId="8" fillId="10" borderId="225" xfId="0" applyFont="1" applyFill="1" applyBorder="1"/>
    <xf numFmtId="0" fontId="6" fillId="0" borderId="238" xfId="0" applyFont="1" applyBorder="1"/>
    <xf numFmtId="0" fontId="6" fillId="0" borderId="226" xfId="0" applyFont="1" applyBorder="1"/>
    <xf numFmtId="0" fontId="6" fillId="0" borderId="130" xfId="0" applyFont="1" applyBorder="1"/>
    <xf numFmtId="187" fontId="8" fillId="0" borderId="129" xfId="0" applyNumberFormat="1" applyFont="1" applyBorder="1"/>
    <xf numFmtId="0" fontId="3" fillId="0" borderId="7" xfId="0" applyFont="1" applyBorder="1"/>
    <xf numFmtId="0" fontId="6" fillId="0" borderId="8" xfId="0" applyFont="1" applyBorder="1"/>
    <xf numFmtId="187" fontId="3" fillId="0" borderId="7" xfId="0" applyNumberFormat="1" applyFont="1" applyBorder="1" applyAlignment="1">
      <alignment horizontal="left"/>
    </xf>
    <xf numFmtId="187" fontId="3" fillId="0" borderId="15" xfId="0" applyNumberFormat="1" applyFont="1" applyBorder="1" applyAlignment="1">
      <alignment horizontal="left"/>
    </xf>
    <xf numFmtId="0" fontId="3" fillId="0" borderId="65" xfId="0" applyFont="1" applyBorder="1"/>
    <xf numFmtId="0" fontId="8" fillId="0" borderId="111" xfId="0" applyFont="1" applyBorder="1"/>
    <xf numFmtId="168" fontId="3" fillId="0" borderId="15" xfId="0" applyNumberFormat="1" applyFont="1" applyBorder="1"/>
    <xf numFmtId="168" fontId="3" fillId="0" borderId="19" xfId="0" applyNumberFormat="1" applyFont="1" applyBorder="1"/>
    <xf numFmtId="187" fontId="8" fillId="4" borderId="232" xfId="0" applyNumberFormat="1" applyFont="1" applyFill="1" applyBorder="1" applyAlignment="1">
      <alignment horizontal="left"/>
    </xf>
    <xf numFmtId="0" fontId="6" fillId="0" borderId="228" xfId="0" applyFont="1" applyBorder="1"/>
    <xf numFmtId="187" fontId="3" fillId="0" borderId="19" xfId="0" applyNumberFormat="1" applyFont="1" applyBorder="1" applyAlignment="1">
      <alignment horizontal="left"/>
    </xf>
    <xf numFmtId="0" fontId="8" fillId="22" borderId="227" xfId="0" applyFont="1" applyFill="1" applyBorder="1"/>
    <xf numFmtId="0" fontId="6" fillId="0" borderId="229" xfId="0" applyFont="1" applyBorder="1"/>
    <xf numFmtId="187" fontId="3" fillId="0" borderId="120" xfId="0" applyNumberFormat="1" applyFont="1" applyBorder="1" applyAlignment="1">
      <alignment horizontal="left"/>
    </xf>
    <xf numFmtId="0" fontId="12" fillId="4" borderId="225" xfId="0" applyFont="1" applyFill="1" applyBorder="1"/>
    <xf numFmtId="187" fontId="12" fillId="0" borderId="129" xfId="0" applyNumberFormat="1" applyFont="1" applyBorder="1" applyAlignment="1">
      <alignment horizontal="left"/>
    </xf>
    <xf numFmtId="0" fontId="8" fillId="0" borderId="155" xfId="0" applyFont="1" applyBorder="1"/>
    <xf numFmtId="0" fontId="6" fillId="0" borderId="155" xfId="0" applyFont="1" applyBorder="1"/>
    <xf numFmtId="0" fontId="3" fillId="0" borderId="45" xfId="0" applyFont="1" applyBorder="1" applyAlignment="1">
      <alignment horizontal="center" wrapText="1"/>
    </xf>
    <xf numFmtId="0" fontId="6" fillId="0" borderId="98" xfId="0" applyFont="1" applyBorder="1"/>
    <xf numFmtId="0" fontId="119" fillId="17" borderId="344" xfId="0" applyFont="1" applyFill="1" applyBorder="1"/>
    <xf numFmtId="0" fontId="120" fillId="0" borderId="183" xfId="0" applyFont="1" applyBorder="1"/>
    <xf numFmtId="0" fontId="120" fillId="0" borderId="117" xfId="0" applyFont="1" applyBorder="1"/>
    <xf numFmtId="0" fontId="8" fillId="2" borderId="336" xfId="0" applyFont="1" applyFill="1" applyBorder="1" applyAlignment="1">
      <alignment horizontal="center" vertical="top" wrapText="1"/>
    </xf>
    <xf numFmtId="0" fontId="6" fillId="0" borderId="337" xfId="0" applyFont="1" applyBorder="1"/>
    <xf numFmtId="0" fontId="18" fillId="0" borderId="1" xfId="0" applyFont="1" applyBorder="1" applyAlignment="1">
      <alignment horizontal="right" wrapText="1"/>
    </xf>
    <xf numFmtId="0" fontId="6" fillId="0" borderId="183" xfId="0" applyFont="1" applyBorder="1"/>
    <xf numFmtId="0" fontId="3" fillId="0" borderId="0" xfId="0" applyFont="1"/>
    <xf numFmtId="9" fontId="8" fillId="0" borderId="140" xfId="0" applyNumberFormat="1" applyFont="1" applyBorder="1" applyAlignment="1">
      <alignment horizontal="center"/>
    </xf>
    <xf numFmtId="0" fontId="6" fillId="0" borderId="140" xfId="0" applyFont="1" applyBorder="1"/>
    <xf numFmtId="0" fontId="8" fillId="0" borderId="140" xfId="0" applyFont="1" applyBorder="1" applyAlignment="1">
      <alignment horizontal="center" vertical="top" wrapText="1"/>
    </xf>
    <xf numFmtId="0" fontId="8" fillId="0" borderId="0" xfId="0" applyFont="1" applyAlignment="1">
      <alignment horizontal="center" vertical="top" wrapText="1"/>
    </xf>
    <xf numFmtId="0" fontId="38" fillId="7" borderId="300" xfId="0" applyFont="1" applyFill="1" applyBorder="1" applyAlignment="1">
      <alignment wrapText="1"/>
    </xf>
    <xf numFmtId="0" fontId="6" fillId="0" borderId="301" xfId="0" applyFont="1" applyBorder="1"/>
    <xf numFmtId="3" fontId="8" fillId="35" borderId="1" xfId="0" applyNumberFormat="1" applyFont="1" applyFill="1" applyBorder="1"/>
    <xf numFmtId="0" fontId="8" fillId="32" borderId="330" xfId="0" applyFont="1" applyFill="1" applyBorder="1"/>
    <xf numFmtId="0" fontId="6" fillId="0" borderId="218" xfId="0" applyFont="1" applyBorder="1"/>
    <xf numFmtId="0" fontId="6" fillId="0" borderId="331" xfId="0" applyFont="1" applyBorder="1"/>
    <xf numFmtId="0" fontId="8" fillId="25" borderId="74" xfId="0" applyFont="1" applyFill="1" applyBorder="1"/>
    <xf numFmtId="3" fontId="8" fillId="30" borderId="1" xfId="0" applyNumberFormat="1" applyFont="1" applyFill="1" applyBorder="1"/>
    <xf numFmtId="0" fontId="8" fillId="11" borderId="74" xfId="0" applyFont="1" applyFill="1" applyBorder="1"/>
    <xf numFmtId="0" fontId="8" fillId="28" borderId="74" xfId="0" applyFont="1" applyFill="1" applyBorder="1"/>
    <xf numFmtId="0" fontId="44" fillId="4" borderId="241" xfId="0" applyFont="1" applyFill="1" applyBorder="1" applyAlignment="1">
      <alignment vertical="center"/>
    </xf>
    <xf numFmtId="0" fontId="6" fillId="0" borderId="242" xfId="0" applyFont="1" applyBorder="1"/>
    <xf numFmtId="0" fontId="6" fillId="0" borderId="306" xfId="0" applyFont="1" applyBorder="1"/>
    <xf numFmtId="0" fontId="41" fillId="2" borderId="67" xfId="0" applyFont="1" applyFill="1" applyBorder="1" applyAlignment="1">
      <alignment horizontal="center"/>
    </xf>
    <xf numFmtId="0" fontId="45" fillId="0" borderId="313" xfId="0" applyFont="1" applyBorder="1" applyAlignment="1">
      <alignment horizontal="center" wrapText="1"/>
    </xf>
    <xf numFmtId="0" fontId="6" fillId="0" borderId="314" xfId="0" applyFont="1" applyBorder="1"/>
    <xf numFmtId="0" fontId="6" fillId="0" borderId="315" xfId="0" applyFont="1" applyBorder="1"/>
    <xf numFmtId="0" fontId="41" fillId="0" borderId="0" xfId="0" applyFont="1" applyAlignment="1">
      <alignment horizontal="left" wrapText="1"/>
    </xf>
    <xf numFmtId="0" fontId="41" fillId="2" borderId="1" xfId="0" applyFont="1" applyFill="1" applyBorder="1" applyAlignment="1">
      <alignment horizontal="center"/>
    </xf>
    <xf numFmtId="0" fontId="31" fillId="38" borderId="9" xfId="0" applyFont="1" applyFill="1" applyBorder="1" applyAlignment="1">
      <alignment horizontal="center"/>
    </xf>
    <xf numFmtId="0" fontId="6" fillId="0" borderId="346" xfId="0" applyFont="1" applyBorder="1"/>
    <xf numFmtId="0" fontId="6" fillId="0" borderId="100" xfId="0" applyFont="1" applyBorder="1"/>
    <xf numFmtId="0" fontId="31" fillId="39" borderId="9" xfId="0" applyFont="1" applyFill="1" applyBorder="1" applyAlignment="1">
      <alignment horizontal="center"/>
    </xf>
    <xf numFmtId="0" fontId="31" fillId="41" borderId="9" xfId="0" applyFont="1" applyFill="1" applyBorder="1" applyAlignment="1">
      <alignment horizontal="center"/>
    </xf>
    <xf numFmtId="0" fontId="4" fillId="2" borderId="344" xfId="0" applyFont="1" applyFill="1" applyBorder="1" applyAlignment="1">
      <alignment horizontal="center"/>
    </xf>
    <xf numFmtId="0" fontId="6" fillId="0" borderId="117" xfId="0" applyFont="1" applyBorder="1"/>
    <xf numFmtId="0" fontId="51" fillId="0" borderId="0" xfId="0" applyFont="1"/>
    <xf numFmtId="0" fontId="31" fillId="40" borderId="9" xfId="0" applyFont="1" applyFill="1" applyBorder="1" applyAlignment="1">
      <alignment horizontal="center"/>
    </xf>
    <xf numFmtId="0" fontId="6" fillId="0" borderId="350" xfId="0" applyFont="1" applyBorder="1"/>
    <xf numFmtId="0" fontId="8" fillId="0" borderId="9" xfId="0" applyFont="1" applyBorder="1"/>
    <xf numFmtId="0" fontId="6" fillId="0" borderId="151" xfId="0" applyFont="1" applyBorder="1"/>
    <xf numFmtId="186" fontId="132" fillId="0" borderId="118" xfId="0" applyNumberFormat="1" applyFont="1" applyBorder="1"/>
    <xf numFmtId="0" fontId="133" fillId="0" borderId="364" xfId="0" applyFont="1" applyBorder="1"/>
    <xf numFmtId="0" fontId="134" fillId="0" borderId="365" xfId="0" applyFont="1" applyBorder="1" applyAlignment="1">
      <alignment horizontal="center"/>
    </xf>
    <xf numFmtId="0" fontId="134" fillId="0" borderId="366" xfId="0" applyFont="1" applyBorder="1" applyAlignment="1">
      <alignment horizontal="center"/>
    </xf>
    <xf numFmtId="0" fontId="134" fillId="0" borderId="367" xfId="0" applyFont="1" applyBorder="1"/>
    <xf numFmtId="0" fontId="134" fillId="0" borderId="368" xfId="0" applyFont="1" applyBorder="1" applyAlignment="1">
      <alignment horizontal="center"/>
    </xf>
    <xf numFmtId="0" fontId="134" fillId="0" borderId="369" xfId="0" applyFont="1" applyBorder="1" applyAlignment="1">
      <alignment horizontal="center"/>
    </xf>
    <xf numFmtId="0" fontId="133" fillId="0" borderId="177" xfId="0" applyFont="1" applyBorder="1"/>
    <xf numFmtId="169" fontId="133" fillId="0" borderId="260" xfId="0" applyNumberFormat="1" applyFont="1" applyBorder="1"/>
    <xf numFmtId="169" fontId="133" fillId="0" borderId="179" xfId="0" applyNumberFormat="1" applyFont="1" applyBorder="1"/>
    <xf numFmtId="0" fontId="133" fillId="0" borderId="157" xfId="0" applyFont="1" applyBorder="1"/>
    <xf numFmtId="169" fontId="133" fillId="0" borderId="3" xfId="0" applyNumberFormat="1" applyFont="1" applyBorder="1"/>
    <xf numFmtId="169" fontId="133" fillId="0" borderId="118" xfId="0" applyNumberFormat="1" applyFont="1" applyBorder="1"/>
    <xf numFmtId="0" fontId="133" fillId="0" borderId="370" xfId="0" applyFont="1" applyBorder="1"/>
    <xf numFmtId="169" fontId="133" fillId="0" borderId="56" xfId="0" applyNumberFormat="1" applyFont="1" applyBorder="1"/>
    <xf numFmtId="169" fontId="133" fillId="0" borderId="203" xfId="0" applyNumberFormat="1" applyFont="1" applyBorder="1"/>
    <xf numFmtId="0" fontId="133" fillId="0" borderId="104" xfId="0" applyFont="1" applyBorder="1"/>
    <xf numFmtId="0" fontId="133" fillId="0" borderId="337" xfId="0" applyFont="1" applyBorder="1"/>
    <xf numFmtId="0" fontId="134" fillId="31" borderId="86" xfId="0" applyFont="1" applyFill="1" applyBorder="1" applyAlignment="1">
      <alignment horizontal="center"/>
    </xf>
    <xf numFmtId="43" fontId="134" fillId="31" borderId="371" xfId="0" applyNumberFormat="1" applyFont="1" applyFill="1" applyBorder="1"/>
    <xf numFmtId="0" fontId="0" fillId="0" borderId="0" xfId="0" applyAlignment="1"/>
    <xf numFmtId="0" fontId="134" fillId="0" borderId="372" xfId="0" applyFont="1" applyBorder="1" applyAlignment="1">
      <alignment horizontal="center"/>
    </xf>
    <xf numFmtId="0" fontId="134" fillId="0" borderId="373" xfId="0" applyFont="1" applyBorder="1" applyAlignment="1">
      <alignment horizontal="center"/>
    </xf>
    <xf numFmtId="0" fontId="134" fillId="0" borderId="374" xfId="0" applyFont="1" applyBorder="1" applyAlignment="1">
      <alignment horizontal="center"/>
    </xf>
    <xf numFmtId="0" fontId="134" fillId="0" borderId="375" xfId="0" applyFont="1" applyBorder="1" applyAlignment="1">
      <alignment horizontal="center"/>
    </xf>
    <xf numFmtId="169" fontId="133" fillId="0" borderId="260" xfId="0" applyNumberFormat="1" applyFont="1" applyBorder="1" applyAlignment="1">
      <alignment horizontal="right"/>
    </xf>
    <xf numFmtId="169" fontId="133" fillId="0" borderId="343" xfId="0" applyNumberFormat="1" applyFont="1" applyBorder="1" applyAlignment="1">
      <alignment horizontal="right"/>
    </xf>
    <xf numFmtId="169" fontId="133" fillId="0" borderId="376" xfId="0" applyNumberFormat="1" applyFont="1" applyBorder="1" applyAlignment="1">
      <alignment horizontal="right"/>
    </xf>
    <xf numFmtId="169" fontId="133" fillId="0" borderId="3" xfId="0" applyNumberFormat="1" applyFont="1" applyBorder="1" applyAlignment="1">
      <alignment horizontal="right"/>
    </xf>
    <xf numFmtId="169" fontId="133" fillId="0" borderId="344" xfId="0" applyNumberFormat="1" applyFont="1" applyBorder="1" applyAlignment="1">
      <alignment horizontal="right"/>
    </xf>
    <xf numFmtId="169" fontId="133" fillId="0" borderId="220" xfId="0" applyNumberFormat="1" applyFont="1" applyBorder="1" applyAlignment="1">
      <alignment horizontal="right"/>
    </xf>
    <xf numFmtId="169" fontId="133" fillId="0" borderId="348" xfId="0" applyNumberFormat="1" applyFont="1" applyBorder="1"/>
    <xf numFmtId="169" fontId="133" fillId="0" borderId="377" xfId="0" applyNumberFormat="1" applyFont="1" applyBorder="1"/>
    <xf numFmtId="43" fontId="134" fillId="31" borderId="371" xfId="0" applyNumberFormat="1" applyFont="1" applyFill="1" applyBorder="1" applyAlignment="1">
      <alignment horizontal="right"/>
    </xf>
    <xf numFmtId="0" fontId="3" fillId="0" borderId="0" xfId="0" applyFont="1" applyFill="1"/>
    <xf numFmtId="0" fontId="24" fillId="0" borderId="4" xfId="0" applyFont="1" applyFill="1" applyBorder="1"/>
    <xf numFmtId="0" fontId="135" fillId="0" borderId="364" xfId="0" applyFont="1" applyBorder="1"/>
    <xf numFmtId="0" fontId="136" fillId="0" borderId="365" xfId="0" applyFont="1" applyBorder="1" applyAlignment="1">
      <alignment horizontal="center"/>
    </xf>
    <xf numFmtId="0" fontId="136" fillId="0" borderId="372" xfId="0" applyFont="1" applyBorder="1" applyAlignment="1">
      <alignment horizontal="center"/>
    </xf>
    <xf numFmtId="0" fontId="136" fillId="0" borderId="373" xfId="0" applyFont="1" applyBorder="1" applyAlignment="1">
      <alignment horizontal="center"/>
    </xf>
    <xf numFmtId="0" fontId="136" fillId="0" borderId="367" xfId="0" applyFont="1" applyBorder="1"/>
    <xf numFmtId="0" fontId="136" fillId="0" borderId="368" xfId="0" applyFont="1" applyBorder="1" applyAlignment="1">
      <alignment horizontal="center"/>
    </xf>
    <xf numFmtId="0" fontId="136" fillId="0" borderId="374" xfId="0" applyFont="1" applyBorder="1" applyAlignment="1">
      <alignment horizontal="center"/>
    </xf>
    <xf numFmtId="0" fontId="136" fillId="0" borderId="375" xfId="0" applyFont="1" applyBorder="1" applyAlignment="1">
      <alignment horizontal="center"/>
    </xf>
    <xf numFmtId="0" fontId="135" fillId="0" borderId="177" xfId="0" applyFont="1" applyBorder="1"/>
    <xf numFmtId="169" fontId="135" fillId="0" borderId="260" xfId="0" applyNumberFormat="1" applyFont="1" applyBorder="1" applyAlignment="1">
      <alignment horizontal="right"/>
    </xf>
    <xf numFmtId="169" fontId="135" fillId="0" borderId="343" xfId="0" applyNumberFormat="1" applyFont="1" applyBorder="1" applyAlignment="1">
      <alignment horizontal="right"/>
    </xf>
    <xf numFmtId="169" fontId="135" fillId="0" borderId="376" xfId="0" applyNumberFormat="1" applyFont="1" applyBorder="1" applyAlignment="1">
      <alignment horizontal="right"/>
    </xf>
    <xf numFmtId="0" fontId="135" fillId="0" borderId="157" xfId="0" applyFont="1" applyBorder="1"/>
    <xf numFmtId="0" fontId="135" fillId="0" borderId="370" xfId="0" applyFont="1" applyBorder="1"/>
    <xf numFmtId="169" fontId="135" fillId="0" borderId="30" xfId="0" applyNumberFormat="1" applyFont="1" applyBorder="1" applyAlignment="1">
      <alignment horizontal="right"/>
    </xf>
    <xf numFmtId="169" fontId="135" fillId="0" borderId="378" xfId="0" applyNumberFormat="1" applyFont="1" applyBorder="1" applyAlignment="1">
      <alignment horizontal="right"/>
    </xf>
    <xf numFmtId="169" fontId="135" fillId="0" borderId="379" xfId="0" applyNumberFormat="1" applyFont="1" applyBorder="1" applyAlignment="1">
      <alignment horizontal="right"/>
    </xf>
    <xf numFmtId="0" fontId="135" fillId="0" borderId="104" xfId="0" applyFont="1" applyBorder="1"/>
    <xf numFmtId="0" fontId="135" fillId="0" borderId="337" xfId="0" applyFont="1" applyBorder="1"/>
    <xf numFmtId="0" fontId="136" fillId="31" borderId="86" xfId="0" applyFont="1" applyFill="1" applyBorder="1" applyAlignment="1">
      <alignment horizontal="center"/>
    </xf>
    <xf numFmtId="43" fontId="136" fillId="31" borderId="371" xfId="0" applyNumberFormat="1" applyFont="1" applyFill="1" applyBorder="1" applyAlignment="1">
      <alignment horizontal="right"/>
    </xf>
    <xf numFmtId="0" fontId="129" fillId="0" borderId="229" xfId="1" applyFont="1"/>
    <xf numFmtId="183" fontId="129" fillId="0" borderId="229" xfId="1" applyNumberFormat="1" applyFont="1"/>
    <xf numFmtId="0" fontId="137" fillId="0" borderId="229" xfId="1"/>
    <xf numFmtId="169" fontId="129" fillId="0" borderId="229" xfId="1" applyNumberFormat="1" applyFont="1"/>
    <xf numFmtId="183" fontId="138" fillId="0" borderId="229" xfId="1" applyNumberFormat="1" applyFont="1"/>
  </cellXfs>
  <cellStyles count="2">
    <cellStyle name="Normal" xfId="0" builtinId="0"/>
    <cellStyle name="Normal 2" xfId="1" xr:uid="{98F2F368-A438-47B4-8AF2-5FE00C4399B8}"/>
  </cellStyles>
  <dxfs count="2">
    <dxf>
      <fill>
        <patternFill patternType="solid">
          <fgColor rgb="FFFFFF99"/>
          <bgColor rgb="FFFFFF99"/>
        </patternFill>
      </fill>
    </dxf>
    <dxf>
      <font>
        <color rgb="FFFFFFFF"/>
      </font>
      <fill>
        <patternFill patternType="none"/>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4"/></Relationships>
</file>

<file path=xl/_rels/comments3.xml.rels><?xml version="1.0" encoding="UTF-8" standalone="yes"?>
<Relationships xmlns="http://schemas.openxmlformats.org/package/2006/relationships"><Relationship Id="rId1" Type="http://customschemas.google.com/relationships/workbookmetadata" Target="commentsmeta1"/></Relationships>
</file>

<file path=xl/_rels/comments4.xml.rels><?xml version="1.0" encoding="UTF-8" standalone="yes"?>
<Relationships xmlns="http://schemas.openxmlformats.org/package/2006/relationships"><Relationship Id="rId1" Type="http://customschemas.google.com/relationships/workbookmetadata" Target="commentsmeta2"/></Relationships>
</file>

<file path=xl/_rels/comments5.xml.rels><?xml version="1.0" encoding="UTF-8" standalone="yes"?>
<Relationships xmlns="http://schemas.openxmlformats.org/package/2006/relationships"><Relationship Id="rId1" Type="http://customschemas.google.com/relationships/workbookmetadata" Target="commentsmeta3"/></Relationships>
</file>

<file path=xl/_rels/comments6.xml.rels><?xml version="1.0" encoding="UTF-8" standalone="yes"?>
<Relationships xmlns="http://schemas.openxmlformats.org/package/2006/relationships"><Relationship Id="rId1" Type="http://customschemas.google.com/relationships/workbookmetadata" Target="commentsmeta6"/></Relationships>
</file>

<file path=xl/_rels/comments7.xml.rels><?xml version="1.0" encoding="UTF-8" standalone="yes"?>
<Relationships xmlns="http://schemas.openxmlformats.org/package/2006/relationships"><Relationship Id="rId1" Type="http://customschemas.google.com/relationships/workbookmetadata" Target="commentsmeta5"/></Relationships>
</file>

<file path=xl/_rels/comments8.xml.rels><?xml version="1.0" encoding="UTF-8" standalone="yes"?>
<Relationships xmlns="http://schemas.openxmlformats.org/package/2006/relationships"><Relationship Id="rId1" Type="http://customschemas.google.com/relationships/workbookmetadata" Target="commentsmeta8"/></Relationships>
</file>

<file path=xl/_rels/comments9.xml.rels><?xml version="1.0" encoding="UTF-8" standalone="yes"?>
<Relationships xmlns="http://schemas.openxmlformats.org/package/2006/relationships"><Relationship Id="rId1" Type="http://customschemas.google.com/relationships/workbookmetadata" Target="commentsmeta10"/></Relationships>
</file>

<file path=xl/_rels/comments10.xml.rels><?xml version="1.0" encoding="UTF-8" standalone="yes"?>
<Relationships xmlns="http://schemas.openxmlformats.org/package/2006/relationships"><Relationship Id="rId1" Type="http://customschemas.google.com/relationships/workbookmetadata" Target="commentsmeta7"/></Relationships>
</file>

<file path=xl/_rels/comments11.xml.rels><?xml version="1.0" encoding="UTF-8" standalone="yes"?>
<Relationships xmlns="http://schemas.openxmlformats.org/package/2006/relationships"><Relationship Id="rId1" Type="http://customschemas.google.com/relationships/workbookmetadata" Target="commentsmeta9"/></Relationships>
</file>

<file path=xl/_rels/comments12.xml.rels><?xml version="1.0" encoding="UTF-8" standalone="yes"?>
<Relationships xmlns="http://schemas.openxmlformats.org/package/2006/relationships"><Relationship Id="rId1" Type="http://customschemas.google.com/relationships/workbookmetadata" Target="commentsmeta11"/></Relationships>
</file>

<file path=xl/_rels/comments13.xml.rels><?xml version="1.0" encoding="UTF-8" standalone="yes"?>
<Relationships xmlns="http://schemas.openxmlformats.org/package/2006/relationships"><Relationship Id="rId1" Type="http://customschemas.google.com/relationships/workbookmetadata" Target="commentsmeta12"/></Relationships>
</file>

<file path=xl/_rels/comments16.xml.rels><?xml version="1.0" encoding="UTF-8" standalone="yes"?>
<Relationships xmlns="http://schemas.openxmlformats.org/package/2006/relationships"><Relationship Id="rId1" Type="http://customschemas.google.com/relationships/workbookmetadata" Target="commentsmeta13"/></Relationships>
</file>

<file path=xl/_rels/comments17.xml.rels><?xml version="1.0" encoding="UTF-8" standalone="yes"?>
<Relationships xmlns="http://schemas.openxmlformats.org/package/2006/relationships"><Relationship Id="rId1" Type="http://customschemas.google.com/relationships/workbookmetadata" Target="commentsmeta18"/></Relationships>
</file>

<file path=xl/_rels/comments18.xml.rels><?xml version="1.0" encoding="UTF-8" standalone="yes"?>
<Relationships xmlns="http://schemas.openxmlformats.org/package/2006/relationships"><Relationship Id="rId1" Type="http://customschemas.google.com/relationships/workbookmetadata" Target="commentsmeta14"/></Relationships>
</file>

<file path=xl/_rels/comments19.xml.rels><?xml version="1.0" encoding="UTF-8" standalone="yes"?>
<Relationships xmlns="http://schemas.openxmlformats.org/package/2006/relationships"><Relationship Id="rId1" Type="http://customschemas.google.com/relationships/workbookmetadata" Target="commentsmeta16"/></Relationships>
</file>

<file path=xl/_rels/comments20.xml.rels><?xml version="1.0" encoding="UTF-8" standalone="yes"?>
<Relationships xmlns="http://schemas.openxmlformats.org/package/2006/relationships"><Relationship Id="rId1" Type="http://customschemas.google.com/relationships/workbookmetadata" Target="commentsmeta17"/></Relationships>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customschemas.google.com/relationships/workbookmetadata" Target="metadata"/><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 Id="rId35" Type="http://schemas.openxmlformats.org/officeDocument/2006/relationships/customXml" Target="../customXml/item2.xml"/><Relationship Id="rId8" Type="http://schemas.openxmlformats.org/officeDocument/2006/relationships/worksheet" Target="worksheets/sheet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200" b="1" i="0">
                <a:solidFill>
                  <a:srgbClr val="000000"/>
                </a:solidFill>
                <a:latin typeface="+mn-lt"/>
              </a:defRPr>
            </a:pPr>
            <a:r>
              <a:rPr sz="1200" b="1" i="0">
                <a:solidFill>
                  <a:srgbClr val="000000"/>
                </a:solidFill>
                <a:latin typeface="+mn-lt"/>
              </a:rPr>
              <a:t>2006, 2011 &amp; 2020 GHG Inventory</a:t>
            </a:r>
          </a:p>
        </c:rich>
      </c:tx>
      <c:overlay val="0"/>
    </c:title>
    <c:autoTitleDeleted val="0"/>
    <c:plotArea>
      <c:layout/>
      <c:barChart>
        <c:barDir val="col"/>
        <c:grouping val="clustered"/>
        <c:varyColors val="1"/>
        <c:ser>
          <c:idx val="0"/>
          <c:order val="0"/>
          <c:tx>
            <c:v>2006</c:v>
          </c:tx>
          <c:spPr>
            <a:solidFill>
              <a:srgbClr val="9999FF"/>
            </a:solidFill>
            <a:ln cmpd="sng">
              <a:noFill/>
            </a:ln>
          </c:spPr>
          <c:invertIfNegative val="1"/>
          <c:cat>
            <c:strRef>
              <c:f>Graphs!$C$177:$C$184</c:f>
              <c:strCache>
                <c:ptCount val="8"/>
                <c:pt idx="0">
                  <c:v>Electricity Use (Consumption)</c:v>
                </c:pt>
                <c:pt idx="1">
                  <c:v>RCI Fuel Use</c:v>
                </c:pt>
                <c:pt idx="2">
                  <c:v>Transportation - Onroad</c:v>
                </c:pt>
                <c:pt idx="3">
                  <c:v>Transportation - Nonroad</c:v>
                </c:pt>
                <c:pt idx="4">
                  <c:v>Fossil Fuel Industry</c:v>
                </c:pt>
                <c:pt idx="5">
                  <c:v>Industrial Processes</c:v>
                </c:pt>
                <c:pt idx="6">
                  <c:v>Agriculture</c:v>
                </c:pt>
                <c:pt idx="7">
                  <c:v>Waste Management</c:v>
                </c:pt>
              </c:strCache>
            </c:strRef>
          </c:cat>
          <c:val>
            <c:numRef>
              <c:f>Graphs!$D$177:$D$184</c:f>
              <c:numCache>
                <c:formatCode>General</c:formatCode>
                <c:ptCount val="8"/>
                <c:pt idx="0">
                  <c:v>42.475674553317035</c:v>
                </c:pt>
                <c:pt idx="1">
                  <c:v>16.870796954329833</c:v>
                </c:pt>
                <c:pt idx="2">
                  <c:v>29.669799999999999</c:v>
                </c:pt>
                <c:pt idx="3">
                  <c:v>5.8017938791854329</c:v>
                </c:pt>
                <c:pt idx="4">
                  <c:v>0.94188463845227166</c:v>
                </c:pt>
                <c:pt idx="5">
                  <c:v>7.4410423344781096</c:v>
                </c:pt>
                <c:pt idx="6">
                  <c:v>1.7714261577852335</c:v>
                </c:pt>
                <c:pt idx="7">
                  <c:v>2.2571179512006849</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0-A941-43EF-9F9A-496EE1338E14}"/>
            </c:ext>
          </c:extLst>
        </c:ser>
        <c:ser>
          <c:idx val="1"/>
          <c:order val="1"/>
          <c:tx>
            <c:v>2011</c:v>
          </c:tx>
          <c:spPr>
            <a:solidFill>
              <a:srgbClr val="993366"/>
            </a:solidFill>
            <a:ln cmpd="sng">
              <a:noFill/>
            </a:ln>
          </c:spPr>
          <c:invertIfNegative val="1"/>
          <c:cat>
            <c:strRef>
              <c:f>Graphs!$C$177:$C$184</c:f>
              <c:strCache>
                <c:ptCount val="8"/>
                <c:pt idx="0">
                  <c:v>Electricity Use (Consumption)</c:v>
                </c:pt>
                <c:pt idx="1">
                  <c:v>RCI Fuel Use</c:v>
                </c:pt>
                <c:pt idx="2">
                  <c:v>Transportation - Onroad</c:v>
                </c:pt>
                <c:pt idx="3">
                  <c:v>Transportation - Nonroad</c:v>
                </c:pt>
                <c:pt idx="4">
                  <c:v>Fossil Fuel Industry</c:v>
                </c:pt>
                <c:pt idx="5">
                  <c:v>Industrial Processes</c:v>
                </c:pt>
                <c:pt idx="6">
                  <c:v>Agriculture</c:v>
                </c:pt>
                <c:pt idx="7">
                  <c:v>Waste Management</c:v>
                </c:pt>
              </c:strCache>
            </c:strRef>
          </c:cat>
          <c:val>
            <c:numRef>
              <c:f>Graphs!$E$177:$E$184</c:f>
              <c:numCache>
                <c:formatCode>0.000000</c:formatCode>
                <c:ptCount val="8"/>
                <c:pt idx="0">
                  <c:v>37.860129294372811</c:v>
                </c:pt>
                <c:pt idx="1">
                  <c:v>17.000425590955349</c:v>
                </c:pt>
                <c:pt idx="2">
                  <c:v>28.24707569993187</c:v>
                </c:pt>
                <c:pt idx="3">
                  <c:v>7.022468457280195</c:v>
                </c:pt>
                <c:pt idx="4">
                  <c:v>0.83609220289311492</c:v>
                </c:pt>
                <c:pt idx="5">
                  <c:v>4.3985727448193961</c:v>
                </c:pt>
                <c:pt idx="6">
                  <c:v>1.6619477356257877</c:v>
                </c:pt>
                <c:pt idx="7">
                  <c:v>2.2571179512006849</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1-A941-43EF-9F9A-496EE1338E14}"/>
            </c:ext>
          </c:extLst>
        </c:ser>
        <c:ser>
          <c:idx val="2"/>
          <c:order val="2"/>
          <c:tx>
            <c:v>2020</c:v>
          </c:tx>
          <c:spPr>
            <a:solidFill>
              <a:srgbClr val="FFFFCC"/>
            </a:solidFill>
            <a:ln cmpd="sng">
              <a:noFill/>
            </a:ln>
          </c:spPr>
          <c:invertIfNegative val="1"/>
          <c:cat>
            <c:strRef>
              <c:f>Graphs!$C$177:$C$184</c:f>
              <c:strCache>
                <c:ptCount val="8"/>
                <c:pt idx="0">
                  <c:v>Electricity Use (Consumption)</c:v>
                </c:pt>
                <c:pt idx="1">
                  <c:v>RCI Fuel Use</c:v>
                </c:pt>
                <c:pt idx="2">
                  <c:v>Transportation - Onroad</c:v>
                </c:pt>
                <c:pt idx="3">
                  <c:v>Transportation - Nonroad</c:v>
                </c:pt>
                <c:pt idx="4">
                  <c:v>Fossil Fuel Industry</c:v>
                </c:pt>
                <c:pt idx="5">
                  <c:v>Industrial Processes</c:v>
                </c:pt>
                <c:pt idx="6">
                  <c:v>Agriculture</c:v>
                </c:pt>
                <c:pt idx="7">
                  <c:v>Waste Management</c:v>
                </c:pt>
              </c:strCache>
            </c:strRef>
          </c:cat>
          <c:val>
            <c:numRef>
              <c:f>Graphs!$F$177:$F$184</c:f>
              <c:numCache>
                <c:formatCode>General</c:formatCode>
                <c:ptCount val="8"/>
                <c:pt idx="0">
                  <c:v>58.792780404291136</c:v>
                </c:pt>
                <c:pt idx="1">
                  <c:v>18.84224894318902</c:v>
                </c:pt>
                <c:pt idx="2">
                  <c:v>38.589753745791242</c:v>
                </c:pt>
                <c:pt idx="3">
                  <c:v>8.1941357079120607</c:v>
                </c:pt>
                <c:pt idx="4">
                  <c:v>0.92368868344346611</c:v>
                </c:pt>
                <c:pt idx="5">
                  <c:v>10.244740524234293</c:v>
                </c:pt>
                <c:pt idx="6">
                  <c:v>1.8593377996177092</c:v>
                </c:pt>
                <c:pt idx="7">
                  <c:v>2.6028767109984461</c:v>
                </c:pt>
              </c:numCache>
            </c:numRef>
          </c:val>
          <c:extLst>
            <c:ext xmlns:c14="http://schemas.microsoft.com/office/drawing/2007/8/2/chart" uri="{6F2FDCE9-48DA-4B69-8628-5D25D57E5C99}">
              <c14:invertSolidFillFmt>
                <c14:spPr xmlns:c14="http://schemas.microsoft.com/office/drawing/2007/8/2/chart">
                  <a:solidFill>
                    <a:srgbClr val="FFFFFF"/>
                  </a:solidFill>
                  <a:ln cmpd="sng">
                    <a:noFill/>
                  </a:ln>
                </c14:spPr>
              </c14:invertSolidFillFmt>
            </c:ext>
            <c:ext xmlns:c16="http://schemas.microsoft.com/office/drawing/2014/chart" uri="{C3380CC4-5D6E-409C-BE32-E72D297353CC}">
              <c16:uniqueId val="{00000002-A941-43EF-9F9A-496EE1338E14}"/>
            </c:ext>
          </c:extLst>
        </c:ser>
        <c:dLbls>
          <c:showLegendKey val="0"/>
          <c:showVal val="0"/>
          <c:showCatName val="0"/>
          <c:showSerName val="0"/>
          <c:showPercent val="0"/>
          <c:showBubbleSize val="0"/>
        </c:dLbls>
        <c:gapWidth val="150"/>
        <c:axId val="533170162"/>
        <c:axId val="1997346799"/>
      </c:barChart>
      <c:catAx>
        <c:axId val="533170162"/>
        <c:scaling>
          <c:orientation val="minMax"/>
        </c:scaling>
        <c:delete val="0"/>
        <c:axPos val="b"/>
        <c:title>
          <c:tx>
            <c:rich>
              <a:bodyPr/>
              <a:lstStyle/>
              <a:p>
                <a:pPr lvl="0">
                  <a:defRPr sz="1000" b="1" i="0">
                    <a:solidFill>
                      <a:srgbClr val="000000"/>
                    </a:solidFill>
                    <a:latin typeface="+mn-lt"/>
                  </a:defRPr>
                </a:pPr>
                <a:r>
                  <a:rPr sz="1000" b="1" i="0">
                    <a:solidFill>
                      <a:srgbClr val="000000"/>
                    </a:solidFill>
                    <a:latin typeface="+mn-lt"/>
                  </a:rPr>
                  <a:t>Source Sectors</a:t>
                </a:r>
              </a:p>
            </c:rich>
          </c:tx>
          <c:overlay val="0"/>
        </c:title>
        <c:numFmt formatCode="General" sourceLinked="1"/>
        <c:majorTickMark val="none"/>
        <c:minorTickMark val="none"/>
        <c:tickLblPos val="nextTo"/>
        <c:spPr>
          <a:ln>
            <a:noFill/>
          </a:ln>
        </c:spPr>
        <c:txPr>
          <a:bodyPr/>
          <a:lstStyle/>
          <a:p>
            <a:pPr lvl="0">
              <a:defRPr b="0" i="0">
                <a:solidFill>
                  <a:srgbClr val="000000"/>
                </a:solidFill>
                <a:latin typeface="+mn-lt"/>
              </a:defRPr>
            </a:pPr>
            <a:endParaRPr lang="en-US"/>
          </a:p>
        </c:txPr>
        <c:crossAx val="1997346799"/>
        <c:crosses val="autoZero"/>
        <c:auto val="1"/>
        <c:lblAlgn val="ctr"/>
        <c:lblOffset val="100"/>
        <c:noMultiLvlLbl val="1"/>
      </c:catAx>
      <c:valAx>
        <c:axId val="1997346799"/>
        <c:scaling>
          <c:orientation val="minMax"/>
        </c:scaling>
        <c:delete val="0"/>
        <c:axPos val="l"/>
        <c:majorGridlines>
          <c:spPr>
            <a:ln>
              <a:solidFill>
                <a:srgbClr val="B7B7B7"/>
              </a:solidFill>
            </a:ln>
          </c:spPr>
        </c:majorGridlines>
        <c:title>
          <c:tx>
            <c:rich>
              <a:bodyPr/>
              <a:lstStyle/>
              <a:p>
                <a:pPr lvl="0">
                  <a:defRPr sz="1000" b="1" i="0">
                    <a:solidFill>
                      <a:srgbClr val="000000"/>
                    </a:solidFill>
                    <a:latin typeface="+mn-lt"/>
                  </a:defRPr>
                </a:pPr>
                <a:r>
                  <a:rPr sz="1000" b="1" i="0">
                    <a:solidFill>
                      <a:srgbClr val="000000"/>
                    </a:solidFill>
                    <a:latin typeface="+mn-lt"/>
                  </a:rPr>
                  <a:t>MMTCO2E</a:t>
                </a:r>
              </a:p>
            </c:rich>
          </c:tx>
          <c:overlay val="0"/>
        </c:title>
        <c:numFmt formatCode="General" sourceLinked="1"/>
        <c:majorTickMark val="none"/>
        <c:minorTickMark val="none"/>
        <c:tickLblPos val="nextTo"/>
        <c:spPr>
          <a:ln>
            <a:noFill/>
          </a:ln>
        </c:spPr>
        <c:txPr>
          <a:bodyPr/>
          <a:lstStyle/>
          <a:p>
            <a:pPr lvl="0">
              <a:defRPr b="0" i="0">
                <a:solidFill>
                  <a:srgbClr val="000000"/>
                </a:solidFill>
                <a:latin typeface="+mn-lt"/>
              </a:defRPr>
            </a:pPr>
            <a:endParaRPr lang="en-US"/>
          </a:p>
        </c:txPr>
        <c:crossAx val="533170162"/>
        <c:crosses val="autoZero"/>
        <c:crossBetween val="between"/>
      </c:valAx>
    </c:plotArea>
    <c:legend>
      <c:legendPos val="r"/>
      <c:overlay val="0"/>
      <c:txPr>
        <a:bodyPr/>
        <a:lstStyle/>
        <a:p>
          <a:pPr lvl="0">
            <a:defRPr b="0" i="0">
              <a:solidFill>
                <a:srgbClr val="1A1A1A"/>
              </a:solidFill>
              <a:latin typeface="+mn-lt"/>
            </a:defRPr>
          </a:pPr>
          <a:endParaRPr lang="en-US"/>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200" b="1" i="0">
                <a:solidFill>
                  <a:srgbClr val="000000"/>
                </a:solidFill>
                <a:latin typeface="+mn-lt"/>
              </a:defRPr>
            </a:pPr>
            <a:r>
              <a:rPr sz="1200" b="1" i="0">
                <a:solidFill>
                  <a:srgbClr val="000000"/>
                </a:solidFill>
                <a:latin typeface="+mn-lt"/>
              </a:rPr>
              <a:t>2011 GHG Emissions By Sector</a:t>
            </a:r>
          </a:p>
        </c:rich>
      </c:tx>
      <c:overlay val="0"/>
    </c:title>
    <c:autoTitleDeleted val="0"/>
    <c:plotArea>
      <c:layout/>
      <c:pieChart>
        <c:varyColors val="1"/>
        <c:ser>
          <c:idx val="0"/>
          <c:order val="0"/>
          <c:tx>
            <c:strRef>
              <c:f>Graphs!$E$176</c:f>
              <c:strCache>
                <c:ptCount val="1"/>
                <c:pt idx="0">
                  <c:v>2011</c:v>
                </c:pt>
              </c:strCache>
            </c:strRef>
          </c:tx>
          <c:dPt>
            <c:idx val="0"/>
            <c:bubble3D val="0"/>
            <c:spPr>
              <a:solidFill>
                <a:srgbClr val="9999FF"/>
              </a:solidFill>
            </c:spPr>
            <c:extLst>
              <c:ext xmlns:c16="http://schemas.microsoft.com/office/drawing/2014/chart" uri="{C3380CC4-5D6E-409C-BE32-E72D297353CC}">
                <c16:uniqueId val="{00000001-8562-49FC-9966-B6E85B0E7618}"/>
              </c:ext>
            </c:extLst>
          </c:dPt>
          <c:dPt>
            <c:idx val="1"/>
            <c:bubble3D val="0"/>
            <c:spPr>
              <a:solidFill>
                <a:srgbClr val="993366"/>
              </a:solidFill>
            </c:spPr>
            <c:extLst>
              <c:ext xmlns:c16="http://schemas.microsoft.com/office/drawing/2014/chart" uri="{C3380CC4-5D6E-409C-BE32-E72D297353CC}">
                <c16:uniqueId val="{00000003-8562-49FC-9966-B6E85B0E7618}"/>
              </c:ext>
            </c:extLst>
          </c:dPt>
          <c:dPt>
            <c:idx val="2"/>
            <c:bubble3D val="0"/>
            <c:spPr>
              <a:solidFill>
                <a:srgbClr val="FFFFCC"/>
              </a:solidFill>
            </c:spPr>
            <c:extLst>
              <c:ext xmlns:c16="http://schemas.microsoft.com/office/drawing/2014/chart" uri="{C3380CC4-5D6E-409C-BE32-E72D297353CC}">
                <c16:uniqueId val="{00000005-8562-49FC-9966-B6E85B0E7618}"/>
              </c:ext>
            </c:extLst>
          </c:dPt>
          <c:dPt>
            <c:idx val="3"/>
            <c:bubble3D val="0"/>
            <c:spPr>
              <a:solidFill>
                <a:srgbClr val="CCFFFF"/>
              </a:solidFill>
            </c:spPr>
            <c:extLst>
              <c:ext xmlns:c16="http://schemas.microsoft.com/office/drawing/2014/chart" uri="{C3380CC4-5D6E-409C-BE32-E72D297353CC}">
                <c16:uniqueId val="{00000007-8562-49FC-9966-B6E85B0E7618}"/>
              </c:ext>
            </c:extLst>
          </c:dPt>
          <c:dPt>
            <c:idx val="4"/>
            <c:bubble3D val="0"/>
            <c:spPr>
              <a:solidFill>
                <a:srgbClr val="660066"/>
              </a:solidFill>
            </c:spPr>
            <c:extLst>
              <c:ext xmlns:c16="http://schemas.microsoft.com/office/drawing/2014/chart" uri="{C3380CC4-5D6E-409C-BE32-E72D297353CC}">
                <c16:uniqueId val="{00000009-8562-49FC-9966-B6E85B0E7618}"/>
              </c:ext>
            </c:extLst>
          </c:dPt>
          <c:dPt>
            <c:idx val="5"/>
            <c:bubble3D val="0"/>
            <c:spPr>
              <a:solidFill>
                <a:srgbClr val="FF8080"/>
              </a:solidFill>
            </c:spPr>
            <c:extLst>
              <c:ext xmlns:c16="http://schemas.microsoft.com/office/drawing/2014/chart" uri="{C3380CC4-5D6E-409C-BE32-E72D297353CC}">
                <c16:uniqueId val="{0000000B-8562-49FC-9966-B6E85B0E7618}"/>
              </c:ext>
            </c:extLst>
          </c:dPt>
          <c:dPt>
            <c:idx val="6"/>
            <c:bubble3D val="0"/>
            <c:spPr>
              <a:solidFill>
                <a:srgbClr val="0066CC"/>
              </a:solidFill>
            </c:spPr>
            <c:extLst>
              <c:ext xmlns:c16="http://schemas.microsoft.com/office/drawing/2014/chart" uri="{C3380CC4-5D6E-409C-BE32-E72D297353CC}">
                <c16:uniqueId val="{0000000D-8562-49FC-9966-B6E85B0E7618}"/>
              </c:ext>
            </c:extLst>
          </c:dPt>
          <c:dPt>
            <c:idx val="7"/>
            <c:bubble3D val="0"/>
            <c:spPr>
              <a:solidFill>
                <a:srgbClr val="CCCCFF"/>
              </a:solidFill>
            </c:spPr>
            <c:extLst>
              <c:ext xmlns:c16="http://schemas.microsoft.com/office/drawing/2014/chart" uri="{C3380CC4-5D6E-409C-BE32-E72D297353CC}">
                <c16:uniqueId val="{0000000F-8562-49FC-9966-B6E85B0E7618}"/>
              </c:ext>
            </c:extLst>
          </c:dPt>
          <c:dLbls>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Graphs!$C$177:$C$184</c:f>
              <c:strCache>
                <c:ptCount val="8"/>
                <c:pt idx="0">
                  <c:v>Electricity Use (Consumption)</c:v>
                </c:pt>
                <c:pt idx="1">
                  <c:v>RCI Fuel Use</c:v>
                </c:pt>
                <c:pt idx="2">
                  <c:v>Transportation - Onroad</c:v>
                </c:pt>
                <c:pt idx="3">
                  <c:v>Transportation - Nonroad</c:v>
                </c:pt>
                <c:pt idx="4">
                  <c:v>Fossil Fuel Industry</c:v>
                </c:pt>
                <c:pt idx="5">
                  <c:v>Industrial Processes</c:v>
                </c:pt>
                <c:pt idx="6">
                  <c:v>Agriculture</c:v>
                </c:pt>
                <c:pt idx="7">
                  <c:v>Waste Management</c:v>
                </c:pt>
              </c:strCache>
            </c:strRef>
          </c:cat>
          <c:val>
            <c:numRef>
              <c:f>Graphs!$E$177:$E$184</c:f>
              <c:numCache>
                <c:formatCode>0.000000</c:formatCode>
                <c:ptCount val="8"/>
                <c:pt idx="0">
                  <c:v>37.860129294372811</c:v>
                </c:pt>
                <c:pt idx="1">
                  <c:v>17.000425590955349</c:v>
                </c:pt>
                <c:pt idx="2">
                  <c:v>28.24707569993187</c:v>
                </c:pt>
                <c:pt idx="3">
                  <c:v>7.022468457280195</c:v>
                </c:pt>
                <c:pt idx="4">
                  <c:v>0.83609220289311492</c:v>
                </c:pt>
                <c:pt idx="5">
                  <c:v>4.3985727448193961</c:v>
                </c:pt>
                <c:pt idx="6">
                  <c:v>1.6619477356257877</c:v>
                </c:pt>
                <c:pt idx="7">
                  <c:v>2.2571179512006849</c:v>
                </c:pt>
              </c:numCache>
            </c:numRef>
          </c:val>
          <c:extLst>
            <c:ext xmlns:c16="http://schemas.microsoft.com/office/drawing/2014/chart" uri="{C3380CC4-5D6E-409C-BE32-E72D297353CC}">
              <c16:uniqueId val="{00000010-8562-49FC-9966-B6E85B0E7618}"/>
            </c:ext>
          </c:extLst>
        </c:ser>
        <c:dLbls>
          <c:showLegendKey val="0"/>
          <c:showVal val="0"/>
          <c:showCatName val="0"/>
          <c:showSerName val="0"/>
          <c:showPercent val="0"/>
          <c:showBubbleSize val="0"/>
          <c:showLeaderLines val="1"/>
        </c:dLbls>
        <c:firstSliceAng val="0"/>
      </c:pieChart>
    </c:plotArea>
    <c:plotVisOnly val="1"/>
    <c:dispBlanksAs val="zero"/>
    <c:showDLblsOverMax val="1"/>
  </c:chart>
  <c:spPr>
    <a:solidFill>
      <a:srgbClr val="FFFFFF"/>
    </a:solidFill>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200" b="1" i="0">
                <a:solidFill>
                  <a:srgbClr val="000000"/>
                </a:solidFill>
                <a:latin typeface="+mn-lt"/>
              </a:defRPr>
            </a:pPr>
            <a:r>
              <a:rPr sz="1200" b="1" i="0">
                <a:solidFill>
                  <a:srgbClr val="000000"/>
                </a:solidFill>
                <a:latin typeface="+mn-lt"/>
              </a:rPr>
              <a:t>Figure ES-3</a:t>
            </a:r>
          </a:p>
        </c:rich>
      </c:tx>
      <c:overlay val="0"/>
    </c:title>
    <c:autoTitleDeleted val="0"/>
    <c:plotArea>
      <c:layout/>
      <c:areaChart>
        <c:grouping val="stacked"/>
        <c:varyColors val="1"/>
        <c:ser>
          <c:idx val="0"/>
          <c:order val="0"/>
          <c:tx>
            <c:v>Electricity Use (Consumption)</c:v>
          </c:tx>
          <c:spPr>
            <a:solidFill>
              <a:srgbClr val="9999FF">
                <a:alpha val="30000"/>
              </a:srgbClr>
            </a:solidFill>
            <a:ln cmpd="sng">
              <a:solidFill>
                <a:srgbClr val="9999FF"/>
              </a:solidFill>
            </a:ln>
          </c:spPr>
          <c:cat>
            <c:numRef>
              <c:f>Graphs!$I$176:$W$176</c:f>
              <c:numCache>
                <c:formatCode>General</c:formatCode>
                <c:ptCount val="15"/>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numCache>
            </c:numRef>
          </c:cat>
          <c:val>
            <c:numRef>
              <c:f>Graphs!$I$177:$W$177</c:f>
              <c:numCache>
                <c:formatCode>0.000000</c:formatCode>
                <c:ptCount val="15"/>
                <c:pt idx="0">
                  <c:v>42.179744588914474</c:v>
                </c:pt>
                <c:pt idx="1">
                  <c:v>50.159633983674567</c:v>
                </c:pt>
                <c:pt idx="2">
                  <c:v>50.485323301676758</c:v>
                </c:pt>
                <c:pt idx="3">
                  <c:v>49.045730065705428</c:v>
                </c:pt>
                <c:pt idx="4">
                  <c:v>51.921441838508308</c:v>
                </c:pt>
                <c:pt idx="5">
                  <c:v>37.860129294372811</c:v>
                </c:pt>
                <c:pt idx="6">
                  <c:v>54.163190510478508</c:v>
                </c:pt>
                <c:pt idx="7">
                  <c:v>54.587157573028939</c:v>
                </c:pt>
                <c:pt idx="8">
                  <c:v>54.964527636444579</c:v>
                </c:pt>
                <c:pt idx="9">
                  <c:v>55.276924419376485</c:v>
                </c:pt>
                <c:pt idx="10">
                  <c:v>56.281792817111608</c:v>
                </c:pt>
                <c:pt idx="11">
                  <c:v>56.885584918576626</c:v>
                </c:pt>
                <c:pt idx="12">
                  <c:v>57.496596273428729</c:v>
                </c:pt>
                <c:pt idx="13">
                  <c:v>58.133859458779312</c:v>
                </c:pt>
                <c:pt idx="14">
                  <c:v>58.792780404291136</c:v>
                </c:pt>
              </c:numCache>
            </c:numRef>
          </c:val>
          <c:extLst>
            <c:ext xmlns:c16="http://schemas.microsoft.com/office/drawing/2014/chart" uri="{C3380CC4-5D6E-409C-BE32-E72D297353CC}">
              <c16:uniqueId val="{00000000-5905-48C5-AC1B-87608C9094C0}"/>
            </c:ext>
          </c:extLst>
        </c:ser>
        <c:ser>
          <c:idx val="1"/>
          <c:order val="1"/>
          <c:tx>
            <c:v>RCI Fuel Use</c:v>
          </c:tx>
          <c:spPr>
            <a:solidFill>
              <a:srgbClr val="993366">
                <a:alpha val="30000"/>
              </a:srgbClr>
            </a:solidFill>
            <a:ln cmpd="sng">
              <a:solidFill>
                <a:srgbClr val="993366"/>
              </a:solidFill>
            </a:ln>
          </c:spPr>
          <c:cat>
            <c:numRef>
              <c:f>Graphs!$I$176:$W$176</c:f>
              <c:numCache>
                <c:formatCode>General</c:formatCode>
                <c:ptCount val="15"/>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numCache>
            </c:numRef>
          </c:cat>
          <c:val>
            <c:numRef>
              <c:f>Graphs!$I$178:$W$178</c:f>
              <c:numCache>
                <c:formatCode>0.000000</c:formatCode>
                <c:ptCount val="15"/>
                <c:pt idx="0">
                  <c:v>16.870796954329833</c:v>
                </c:pt>
                <c:pt idx="1">
                  <c:v>16.793814891553112</c:v>
                </c:pt>
                <c:pt idx="2">
                  <c:v>16.943946237574483</c:v>
                </c:pt>
                <c:pt idx="3">
                  <c:v>17.094077583595816</c:v>
                </c:pt>
                <c:pt idx="4">
                  <c:v>17.244208929617187</c:v>
                </c:pt>
                <c:pt idx="5">
                  <c:v>17.000425590955349</c:v>
                </c:pt>
                <c:pt idx="6">
                  <c:v>17.573780781280004</c:v>
                </c:pt>
                <c:pt idx="7">
                  <c:v>17.738566707111389</c:v>
                </c:pt>
                <c:pt idx="8">
                  <c:v>17.903352632942809</c:v>
                </c:pt>
                <c:pt idx="9">
                  <c:v>18.068138558774205</c:v>
                </c:pt>
                <c:pt idx="10">
                  <c:v>18.222960635657177</c:v>
                </c:pt>
                <c:pt idx="11">
                  <c:v>18.377782712540121</c:v>
                </c:pt>
                <c:pt idx="12">
                  <c:v>18.532604789423097</c:v>
                </c:pt>
                <c:pt idx="13">
                  <c:v>18.687426866306048</c:v>
                </c:pt>
                <c:pt idx="14">
                  <c:v>18.84224894318902</c:v>
                </c:pt>
              </c:numCache>
            </c:numRef>
          </c:val>
          <c:extLst>
            <c:ext xmlns:c16="http://schemas.microsoft.com/office/drawing/2014/chart" uri="{C3380CC4-5D6E-409C-BE32-E72D297353CC}">
              <c16:uniqueId val="{00000001-5905-48C5-AC1B-87608C9094C0}"/>
            </c:ext>
          </c:extLst>
        </c:ser>
        <c:ser>
          <c:idx val="2"/>
          <c:order val="2"/>
          <c:tx>
            <c:v>Transportation - Onroad</c:v>
          </c:tx>
          <c:spPr>
            <a:solidFill>
              <a:srgbClr val="FFFFCC">
                <a:alpha val="30000"/>
              </a:srgbClr>
            </a:solidFill>
            <a:ln cmpd="sng">
              <a:solidFill>
                <a:srgbClr val="FFFFCC"/>
              </a:solidFill>
            </a:ln>
          </c:spPr>
          <c:cat>
            <c:numRef>
              <c:f>Graphs!$I$176:$W$176</c:f>
              <c:numCache>
                <c:formatCode>General</c:formatCode>
                <c:ptCount val="15"/>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numCache>
            </c:numRef>
          </c:cat>
          <c:val>
            <c:numRef>
              <c:f>Graphs!$I$179:$W$179</c:f>
              <c:numCache>
                <c:formatCode>_(* #,##0.00_);_(* \(#,##0.00\);_(* "-"??_);_(@_)</c:formatCode>
                <c:ptCount val="15"/>
                <c:pt idx="0">
                  <c:v>29.669799999999999</c:v>
                </c:pt>
                <c:pt idx="1">
                  <c:v>30.306939553270801</c:v>
                </c:pt>
                <c:pt idx="2">
                  <c:v>30.944079106541608</c:v>
                </c:pt>
                <c:pt idx="3">
                  <c:v>31.581218659812407</c:v>
                </c:pt>
                <c:pt idx="4">
                  <c:v>32.218358213083214</c:v>
                </c:pt>
                <c:pt idx="5">
                  <c:v>28.24707569993187</c:v>
                </c:pt>
                <c:pt idx="6">
                  <c:v>33.492637319624819</c:v>
                </c:pt>
                <c:pt idx="7">
                  <c:v>34.129776872895626</c:v>
                </c:pt>
                <c:pt idx="8">
                  <c:v>34.766916426166425</c:v>
                </c:pt>
                <c:pt idx="9">
                  <c:v>35.404055979437231</c:v>
                </c:pt>
                <c:pt idx="10">
                  <c:v>36.041195532708038</c:v>
                </c:pt>
                <c:pt idx="11">
                  <c:v>36.678335085978837</c:v>
                </c:pt>
                <c:pt idx="12">
                  <c:v>37.315474639249643</c:v>
                </c:pt>
                <c:pt idx="13">
                  <c:v>37.952614192520436</c:v>
                </c:pt>
                <c:pt idx="14">
                  <c:v>38.589753745791242</c:v>
                </c:pt>
              </c:numCache>
            </c:numRef>
          </c:val>
          <c:extLst>
            <c:ext xmlns:c16="http://schemas.microsoft.com/office/drawing/2014/chart" uri="{C3380CC4-5D6E-409C-BE32-E72D297353CC}">
              <c16:uniqueId val="{00000002-5905-48C5-AC1B-87608C9094C0}"/>
            </c:ext>
          </c:extLst>
        </c:ser>
        <c:ser>
          <c:idx val="3"/>
          <c:order val="3"/>
          <c:tx>
            <c:v>Transportation - Nonroad</c:v>
          </c:tx>
          <c:spPr>
            <a:solidFill>
              <a:srgbClr val="CCFFFF">
                <a:alpha val="30000"/>
              </a:srgbClr>
            </a:solidFill>
            <a:ln cmpd="sng">
              <a:solidFill>
                <a:srgbClr val="CCFFFF"/>
              </a:solidFill>
            </a:ln>
          </c:spPr>
          <c:cat>
            <c:numRef>
              <c:f>Graphs!$I$176:$W$176</c:f>
              <c:numCache>
                <c:formatCode>General</c:formatCode>
                <c:ptCount val="15"/>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numCache>
            </c:numRef>
          </c:cat>
          <c:val>
            <c:numRef>
              <c:f>Graphs!$I$180:$W$180</c:f>
              <c:numCache>
                <c:formatCode>_(* #,##0.00_);_(* \(#,##0.00\);_(* "-"??_);_(@_)</c:formatCode>
                <c:ptCount val="15"/>
                <c:pt idx="0">
                  <c:v>5.8017938791854329</c:v>
                </c:pt>
                <c:pt idx="1">
                  <c:v>5.9280910316434721</c:v>
                </c:pt>
                <c:pt idx="2">
                  <c:v>6.123583602931391</c:v>
                </c:pt>
                <c:pt idx="3">
                  <c:v>6.2804537908531035</c:v>
                </c:pt>
                <c:pt idx="4">
                  <c:v>6.4398682903296738</c:v>
                </c:pt>
                <c:pt idx="5">
                  <c:v>7.022468457280195</c:v>
                </c:pt>
                <c:pt idx="6">
                  <c:v>6.7666726243195656</c:v>
                </c:pt>
                <c:pt idx="7">
                  <c:v>6.934241056217024</c:v>
                </c:pt>
                <c:pt idx="8">
                  <c:v>7.1047113981067058</c:v>
                </c:pt>
                <c:pt idx="9">
                  <c:v>7.2781800446502132</c:v>
                </c:pt>
                <c:pt idx="10">
                  <c:v>7.4547480436026419</c:v>
                </c:pt>
                <c:pt idx="11">
                  <c:v>7.6345184755157991</c:v>
                </c:pt>
                <c:pt idx="12">
                  <c:v>7.8175988729916597</c:v>
                </c:pt>
                <c:pt idx="13">
                  <c:v>8.0041000114670702</c:v>
                </c:pt>
                <c:pt idx="14">
                  <c:v>8.1941357079120607</c:v>
                </c:pt>
              </c:numCache>
            </c:numRef>
          </c:val>
          <c:extLst>
            <c:ext xmlns:c16="http://schemas.microsoft.com/office/drawing/2014/chart" uri="{C3380CC4-5D6E-409C-BE32-E72D297353CC}">
              <c16:uniqueId val="{00000003-5905-48C5-AC1B-87608C9094C0}"/>
            </c:ext>
          </c:extLst>
        </c:ser>
        <c:ser>
          <c:idx val="4"/>
          <c:order val="4"/>
          <c:tx>
            <c:v>Fossil Fuel Industry</c:v>
          </c:tx>
          <c:spPr>
            <a:solidFill>
              <a:srgbClr val="660066">
                <a:alpha val="30000"/>
              </a:srgbClr>
            </a:solidFill>
            <a:ln cmpd="sng">
              <a:solidFill>
                <a:srgbClr val="660066"/>
              </a:solidFill>
            </a:ln>
          </c:spPr>
          <c:cat>
            <c:numRef>
              <c:f>Graphs!$I$176:$W$176</c:f>
              <c:numCache>
                <c:formatCode>General</c:formatCode>
                <c:ptCount val="15"/>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numCache>
            </c:numRef>
          </c:cat>
          <c:val>
            <c:numRef>
              <c:f>Graphs!$I$181:$W$181</c:f>
              <c:numCache>
                <c:formatCode>0.00</c:formatCode>
                <c:ptCount val="15"/>
                <c:pt idx="0">
                  <c:v>0.94188463845198123</c:v>
                </c:pt>
                <c:pt idx="1">
                  <c:v>0.78746263901343827</c:v>
                </c:pt>
                <c:pt idx="2">
                  <c:v>0.79794156550805639</c:v>
                </c:pt>
                <c:pt idx="3">
                  <c:v>0.80842049200267452</c:v>
                </c:pt>
                <c:pt idx="4">
                  <c:v>0.81889941849728998</c:v>
                </c:pt>
                <c:pt idx="5">
                  <c:v>0.83609220289311492</c:v>
                </c:pt>
                <c:pt idx="6">
                  <c:v>0.83985727148652622</c:v>
                </c:pt>
                <c:pt idx="7">
                  <c:v>0.85033619798114457</c:v>
                </c:pt>
                <c:pt idx="8">
                  <c:v>0.86081512447575981</c:v>
                </c:pt>
                <c:pt idx="9">
                  <c:v>0.87129405097037793</c:v>
                </c:pt>
                <c:pt idx="10">
                  <c:v>0.88177297746499628</c:v>
                </c:pt>
                <c:pt idx="11">
                  <c:v>0.8922519039596144</c:v>
                </c:pt>
                <c:pt idx="12">
                  <c:v>0.90273083045422964</c:v>
                </c:pt>
                <c:pt idx="13">
                  <c:v>0.91320975694884776</c:v>
                </c:pt>
                <c:pt idx="14">
                  <c:v>0.92368868344346611</c:v>
                </c:pt>
              </c:numCache>
            </c:numRef>
          </c:val>
          <c:extLst>
            <c:ext xmlns:c16="http://schemas.microsoft.com/office/drawing/2014/chart" uri="{C3380CC4-5D6E-409C-BE32-E72D297353CC}">
              <c16:uniqueId val="{00000004-5905-48C5-AC1B-87608C9094C0}"/>
            </c:ext>
          </c:extLst>
        </c:ser>
        <c:ser>
          <c:idx val="5"/>
          <c:order val="5"/>
          <c:tx>
            <c:v>Industrial Processes</c:v>
          </c:tx>
          <c:spPr>
            <a:solidFill>
              <a:srgbClr val="FF8080">
                <a:alpha val="30000"/>
              </a:srgbClr>
            </a:solidFill>
            <a:ln cmpd="sng">
              <a:solidFill>
                <a:srgbClr val="FF8080"/>
              </a:solidFill>
            </a:ln>
          </c:spPr>
          <c:cat>
            <c:numRef>
              <c:f>Graphs!$I$176:$W$176</c:f>
              <c:numCache>
                <c:formatCode>General</c:formatCode>
                <c:ptCount val="15"/>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numCache>
            </c:numRef>
          </c:cat>
          <c:val>
            <c:numRef>
              <c:f>Graphs!$I$182:$W$182</c:f>
              <c:numCache>
                <c:formatCode>0.00</c:formatCode>
                <c:ptCount val="15"/>
                <c:pt idx="0">
                  <c:v>7.4410424236811288</c:v>
                </c:pt>
                <c:pt idx="1">
                  <c:v>7.6103215182007062</c:v>
                </c:pt>
                <c:pt idx="2">
                  <c:v>7.5629247285501258</c:v>
                </c:pt>
                <c:pt idx="3">
                  <c:v>8.0111768983214837</c:v>
                </c:pt>
                <c:pt idx="4">
                  <c:v>8.2113527537241051</c:v>
                </c:pt>
                <c:pt idx="5">
                  <c:v>4.3985727448193961</c:v>
                </c:pt>
                <c:pt idx="6">
                  <c:v>8.6117044645292697</c:v>
                </c:pt>
                <c:pt idx="7">
                  <c:v>8.811880319931868</c:v>
                </c:pt>
                <c:pt idx="8">
                  <c:v>9.0120561753344894</c:v>
                </c:pt>
                <c:pt idx="9">
                  <c:v>9.2122320307370913</c:v>
                </c:pt>
                <c:pt idx="10">
                  <c:v>9.4124078861397127</c:v>
                </c:pt>
                <c:pt idx="11">
                  <c:v>9.6125837415423181</c:v>
                </c:pt>
                <c:pt idx="12">
                  <c:v>9.8127595969449324</c:v>
                </c:pt>
                <c:pt idx="13">
                  <c:v>10.027485226517665</c:v>
                </c:pt>
                <c:pt idx="14">
                  <c:v>10.244740524234293</c:v>
                </c:pt>
              </c:numCache>
            </c:numRef>
          </c:val>
          <c:extLst>
            <c:ext xmlns:c16="http://schemas.microsoft.com/office/drawing/2014/chart" uri="{C3380CC4-5D6E-409C-BE32-E72D297353CC}">
              <c16:uniqueId val="{00000005-5905-48C5-AC1B-87608C9094C0}"/>
            </c:ext>
          </c:extLst>
        </c:ser>
        <c:ser>
          <c:idx val="6"/>
          <c:order val="6"/>
          <c:tx>
            <c:v>Agriculture</c:v>
          </c:tx>
          <c:spPr>
            <a:solidFill>
              <a:srgbClr val="0066CC">
                <a:alpha val="30000"/>
              </a:srgbClr>
            </a:solidFill>
            <a:ln cmpd="sng">
              <a:solidFill>
                <a:srgbClr val="0066CC"/>
              </a:solidFill>
            </a:ln>
          </c:spPr>
          <c:cat>
            <c:numRef>
              <c:f>Graphs!$I$176:$W$176</c:f>
              <c:numCache>
                <c:formatCode>General</c:formatCode>
                <c:ptCount val="15"/>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numCache>
            </c:numRef>
          </c:cat>
          <c:val>
            <c:numRef>
              <c:f>Graphs!$I$183:$W$183</c:f>
              <c:numCache>
                <c:formatCode>0.00</c:formatCode>
                <c:ptCount val="15"/>
                <c:pt idx="0">
                  <c:v>1.7714261577852333</c:v>
                </c:pt>
                <c:pt idx="1">
                  <c:v>1.5139029807623536</c:v>
                </c:pt>
                <c:pt idx="2">
                  <c:v>1.8456153540664655</c:v>
                </c:pt>
                <c:pt idx="3">
                  <c:v>1.7870513192900073</c:v>
                </c:pt>
                <c:pt idx="4">
                  <c:v>1.8484423382290367</c:v>
                </c:pt>
                <c:pt idx="5">
                  <c:v>1.6619477356257877</c:v>
                </c:pt>
                <c:pt idx="6">
                  <c:v>1.8498712898730012</c:v>
                </c:pt>
                <c:pt idx="7">
                  <c:v>1.7880680909904909</c:v>
                </c:pt>
                <c:pt idx="8">
                  <c:v>1.8511187465206678</c:v>
                </c:pt>
                <c:pt idx="9">
                  <c:v>1.7883742254687578</c:v>
                </c:pt>
                <c:pt idx="10">
                  <c:v>1.8526808785947622</c:v>
                </c:pt>
                <c:pt idx="11">
                  <c:v>1.7891893303721129</c:v>
                </c:pt>
                <c:pt idx="12">
                  <c:v>1.8551844921729721</c:v>
                </c:pt>
                <c:pt idx="13">
                  <c:v>1.7911286974967606</c:v>
                </c:pt>
                <c:pt idx="14">
                  <c:v>1.8593377996177092</c:v>
                </c:pt>
              </c:numCache>
            </c:numRef>
          </c:val>
          <c:extLst>
            <c:ext xmlns:c16="http://schemas.microsoft.com/office/drawing/2014/chart" uri="{C3380CC4-5D6E-409C-BE32-E72D297353CC}">
              <c16:uniqueId val="{00000006-5905-48C5-AC1B-87608C9094C0}"/>
            </c:ext>
          </c:extLst>
        </c:ser>
        <c:ser>
          <c:idx val="7"/>
          <c:order val="7"/>
          <c:tx>
            <c:v>Waste Management</c:v>
          </c:tx>
          <c:spPr>
            <a:solidFill>
              <a:srgbClr val="CCCCFF">
                <a:alpha val="30000"/>
              </a:srgbClr>
            </a:solidFill>
            <a:ln cmpd="sng">
              <a:solidFill>
                <a:srgbClr val="CCCCFF"/>
              </a:solidFill>
            </a:ln>
          </c:spPr>
          <c:cat>
            <c:numRef>
              <c:f>Graphs!$I$176:$W$176</c:f>
              <c:numCache>
                <c:formatCode>General</c:formatCode>
                <c:ptCount val="15"/>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numCache>
            </c:numRef>
          </c:cat>
          <c:val>
            <c:numRef>
              <c:f>Graphs!$I$184:$W$184</c:f>
              <c:numCache>
                <c:formatCode>0.00</c:formatCode>
                <c:ptCount val="15"/>
                <c:pt idx="0">
                  <c:v>2.2571179512006849</c:v>
                </c:pt>
                <c:pt idx="1">
                  <c:v>2.2757751464297691</c:v>
                </c:pt>
                <c:pt idx="2">
                  <c:v>2.2981771806560092</c:v>
                </c:pt>
                <c:pt idx="3">
                  <c:v>2.3205792148822502</c:v>
                </c:pt>
                <c:pt idx="4">
                  <c:v>2.3429812491084907</c:v>
                </c:pt>
                <c:pt idx="5">
                  <c:v>2.2571179512006849</c:v>
                </c:pt>
                <c:pt idx="6">
                  <c:v>2.3978286853693773</c:v>
                </c:pt>
                <c:pt idx="7">
                  <c:v>2.4257104100909164</c:v>
                </c:pt>
                <c:pt idx="8">
                  <c:v>2.453592134812455</c:v>
                </c:pt>
                <c:pt idx="9">
                  <c:v>2.4814738595339949</c:v>
                </c:pt>
                <c:pt idx="10">
                  <c:v>2.5062526777248353</c:v>
                </c:pt>
                <c:pt idx="11">
                  <c:v>2.5304086860432382</c:v>
                </c:pt>
                <c:pt idx="12">
                  <c:v>2.5545646943616407</c:v>
                </c:pt>
                <c:pt idx="13">
                  <c:v>2.5787207026800432</c:v>
                </c:pt>
                <c:pt idx="14">
                  <c:v>2.6028767109984461</c:v>
                </c:pt>
              </c:numCache>
            </c:numRef>
          </c:val>
          <c:extLst>
            <c:ext xmlns:c16="http://schemas.microsoft.com/office/drawing/2014/chart" uri="{C3380CC4-5D6E-409C-BE32-E72D297353CC}">
              <c16:uniqueId val="{00000007-5905-48C5-AC1B-87608C9094C0}"/>
            </c:ext>
          </c:extLst>
        </c:ser>
        <c:dLbls>
          <c:showLegendKey val="0"/>
          <c:showVal val="0"/>
          <c:showCatName val="0"/>
          <c:showSerName val="0"/>
          <c:showPercent val="0"/>
          <c:showBubbleSize val="0"/>
        </c:dLbls>
        <c:axId val="444043385"/>
        <c:axId val="595285096"/>
      </c:areaChart>
      <c:catAx>
        <c:axId val="444043385"/>
        <c:scaling>
          <c:orientation val="minMax"/>
        </c:scaling>
        <c:delete val="0"/>
        <c:axPos val="b"/>
        <c:title>
          <c:tx>
            <c:rich>
              <a:bodyPr/>
              <a:lstStyle/>
              <a:p>
                <a:pPr lvl="0">
                  <a:defRPr sz="1200" b="1" i="0">
                    <a:solidFill>
                      <a:srgbClr val="000000"/>
                    </a:solidFill>
                    <a:latin typeface="+mn-lt"/>
                  </a:defRPr>
                </a:pPr>
                <a:r>
                  <a:rPr sz="1200" b="1" i="0">
                    <a:solidFill>
                      <a:srgbClr val="000000"/>
                    </a:solidFill>
                    <a:latin typeface="+mn-lt"/>
                  </a:rPr>
                  <a:t>Year</a:t>
                </a:r>
              </a:p>
            </c:rich>
          </c:tx>
          <c:overlay val="0"/>
        </c:title>
        <c:numFmt formatCode="General" sourceLinked="1"/>
        <c:majorTickMark val="none"/>
        <c:minorTickMark val="none"/>
        <c:tickLblPos val="nextTo"/>
        <c:spPr>
          <a:ln>
            <a:noFill/>
          </a:ln>
        </c:spPr>
        <c:txPr>
          <a:bodyPr/>
          <a:lstStyle/>
          <a:p>
            <a:pPr lvl="0">
              <a:defRPr b="0" i="0">
                <a:solidFill>
                  <a:srgbClr val="000000"/>
                </a:solidFill>
                <a:latin typeface="+mn-lt"/>
              </a:defRPr>
            </a:pPr>
            <a:endParaRPr lang="en-US"/>
          </a:p>
        </c:txPr>
        <c:crossAx val="595285096"/>
        <c:crosses val="autoZero"/>
        <c:auto val="1"/>
        <c:lblAlgn val="ctr"/>
        <c:lblOffset val="100"/>
        <c:noMultiLvlLbl val="1"/>
      </c:catAx>
      <c:valAx>
        <c:axId val="595285096"/>
        <c:scaling>
          <c:orientation val="minMax"/>
        </c:scaling>
        <c:delete val="0"/>
        <c:axPos val="l"/>
        <c:majorGridlines>
          <c:spPr>
            <a:ln>
              <a:solidFill>
                <a:srgbClr val="B7B7B7"/>
              </a:solidFill>
            </a:ln>
          </c:spPr>
        </c:majorGridlines>
        <c:title>
          <c:tx>
            <c:rich>
              <a:bodyPr/>
              <a:lstStyle/>
              <a:p>
                <a:pPr lvl="0">
                  <a:defRPr sz="1200" b="1" i="0">
                    <a:solidFill>
                      <a:srgbClr val="000000"/>
                    </a:solidFill>
                    <a:latin typeface="+mn-lt"/>
                  </a:defRPr>
                </a:pPr>
                <a:r>
                  <a:rPr sz="1200" b="1" i="0">
                    <a:solidFill>
                      <a:srgbClr val="000000"/>
                    </a:solidFill>
                    <a:latin typeface="+mn-lt"/>
                  </a:rPr>
                  <a:t>MMTCO2E</a:t>
                </a:r>
              </a:p>
            </c:rich>
          </c:tx>
          <c:overlay val="0"/>
        </c:title>
        <c:numFmt formatCode="0.000000" sourceLinked="1"/>
        <c:majorTickMark val="none"/>
        <c:minorTickMark val="none"/>
        <c:tickLblPos val="nextTo"/>
        <c:spPr>
          <a:ln>
            <a:noFill/>
          </a:ln>
        </c:spPr>
        <c:txPr>
          <a:bodyPr/>
          <a:lstStyle/>
          <a:p>
            <a:pPr lvl="0">
              <a:defRPr b="0" i="0">
                <a:solidFill>
                  <a:srgbClr val="000000"/>
                </a:solidFill>
                <a:latin typeface="+mn-lt"/>
              </a:defRPr>
            </a:pPr>
            <a:endParaRPr lang="en-US"/>
          </a:p>
        </c:txPr>
        <c:crossAx val="444043385"/>
        <c:crosses val="autoZero"/>
        <c:crossBetween val="midCat"/>
      </c:valAx>
    </c:plotArea>
    <c:legend>
      <c:legendPos val="t"/>
      <c:overlay val="0"/>
      <c:txPr>
        <a:bodyPr/>
        <a:lstStyle/>
        <a:p>
          <a:pPr lvl="0">
            <a:defRPr b="0" i="0">
              <a:solidFill>
                <a:srgbClr val="1A1A1A"/>
              </a:solidFill>
              <a:latin typeface="+mn-lt"/>
            </a:defRPr>
          </a:pPr>
          <a:endParaRPr lang="en-US"/>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200" b="1" i="0">
                <a:solidFill>
                  <a:srgbClr val="000000"/>
                </a:solidFill>
                <a:latin typeface="+mn-lt"/>
              </a:defRPr>
            </a:pPr>
            <a:r>
              <a:rPr sz="1200" b="1" i="0">
                <a:solidFill>
                  <a:srgbClr val="000000"/>
                </a:solidFill>
                <a:latin typeface="+mn-lt"/>
              </a:rPr>
              <a:t>Figure ES-3</a:t>
            </a:r>
          </a:p>
        </c:rich>
      </c:tx>
      <c:overlay val="0"/>
    </c:title>
    <c:autoTitleDeleted val="0"/>
    <c:plotArea>
      <c:layout/>
      <c:areaChart>
        <c:grouping val="stacked"/>
        <c:varyColors val="1"/>
        <c:ser>
          <c:idx val="0"/>
          <c:order val="0"/>
          <c:tx>
            <c:v>Electricity Use (Consumption)</c:v>
          </c:tx>
          <c:spPr>
            <a:solidFill>
              <a:srgbClr val="9999FF">
                <a:alpha val="30000"/>
              </a:srgbClr>
            </a:solidFill>
            <a:ln cmpd="sng">
              <a:solidFill>
                <a:srgbClr val="9999FF"/>
              </a:solidFill>
            </a:ln>
          </c:spPr>
          <c:cat>
            <c:numRef>
              <c:f>Graphs!$I$186:$W$186</c:f>
              <c:numCache>
                <c:formatCode>General</c:formatCode>
                <c:ptCount val="15"/>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numCache>
            </c:numRef>
          </c:cat>
          <c:val>
            <c:numRef>
              <c:f>Graphs!$I$187:$W$187</c:f>
              <c:numCache>
                <c:formatCode>0.000000</c:formatCode>
                <c:ptCount val="15"/>
                <c:pt idx="0">
                  <c:v>42.179744588914474</c:v>
                </c:pt>
                <c:pt idx="1">
                  <c:v>50.159633983674567</c:v>
                </c:pt>
                <c:pt idx="2">
                  <c:v>50.485323301676758</c:v>
                </c:pt>
                <c:pt idx="3">
                  <c:v>49.045730065705428</c:v>
                </c:pt>
                <c:pt idx="4">
                  <c:v>51.921441838508308</c:v>
                </c:pt>
                <c:pt idx="5">
                  <c:v>37.860129294372811</c:v>
                </c:pt>
                <c:pt idx="6">
                  <c:v>54.163190510478508</c:v>
                </c:pt>
                <c:pt idx="7">
                  <c:v>54.587157573028939</c:v>
                </c:pt>
                <c:pt idx="8">
                  <c:v>54.964527636444579</c:v>
                </c:pt>
                <c:pt idx="9">
                  <c:v>55.276924419376485</c:v>
                </c:pt>
                <c:pt idx="10">
                  <c:v>56.281792817111608</c:v>
                </c:pt>
                <c:pt idx="11">
                  <c:v>56.885584918576626</c:v>
                </c:pt>
                <c:pt idx="12">
                  <c:v>57.496596273428729</c:v>
                </c:pt>
                <c:pt idx="13">
                  <c:v>58.133859458779312</c:v>
                </c:pt>
                <c:pt idx="14">
                  <c:v>58.792780404291136</c:v>
                </c:pt>
              </c:numCache>
            </c:numRef>
          </c:val>
          <c:extLst>
            <c:ext xmlns:c16="http://schemas.microsoft.com/office/drawing/2014/chart" uri="{C3380CC4-5D6E-409C-BE32-E72D297353CC}">
              <c16:uniqueId val="{00000000-4CAA-4FB1-8931-C42246C16CEC}"/>
            </c:ext>
          </c:extLst>
        </c:ser>
        <c:ser>
          <c:idx val="1"/>
          <c:order val="1"/>
          <c:tx>
            <c:v>RCI Fuel Use</c:v>
          </c:tx>
          <c:spPr>
            <a:solidFill>
              <a:srgbClr val="993366">
                <a:alpha val="30000"/>
              </a:srgbClr>
            </a:solidFill>
            <a:ln cmpd="sng">
              <a:solidFill>
                <a:srgbClr val="993366"/>
              </a:solidFill>
            </a:ln>
          </c:spPr>
          <c:cat>
            <c:numRef>
              <c:f>Graphs!$I$186:$W$186</c:f>
              <c:numCache>
                <c:formatCode>General</c:formatCode>
                <c:ptCount val="15"/>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numCache>
            </c:numRef>
          </c:cat>
          <c:val>
            <c:numRef>
              <c:f>Graphs!$I$188:$W$188</c:f>
              <c:numCache>
                <c:formatCode>0.000000</c:formatCode>
                <c:ptCount val="15"/>
                <c:pt idx="0">
                  <c:v>16.870796954329833</c:v>
                </c:pt>
                <c:pt idx="1">
                  <c:v>16.793814891553112</c:v>
                </c:pt>
                <c:pt idx="2">
                  <c:v>16.943946237574483</c:v>
                </c:pt>
                <c:pt idx="3">
                  <c:v>17.094077583595816</c:v>
                </c:pt>
                <c:pt idx="4">
                  <c:v>17.244208929617187</c:v>
                </c:pt>
                <c:pt idx="5">
                  <c:v>17.000425590955349</c:v>
                </c:pt>
                <c:pt idx="6">
                  <c:v>17.573780781280004</c:v>
                </c:pt>
                <c:pt idx="7">
                  <c:v>17.738566707111389</c:v>
                </c:pt>
                <c:pt idx="8">
                  <c:v>17.903352632942809</c:v>
                </c:pt>
                <c:pt idx="9">
                  <c:v>18.068138558774205</c:v>
                </c:pt>
                <c:pt idx="10">
                  <c:v>18.222960635657177</c:v>
                </c:pt>
                <c:pt idx="11">
                  <c:v>18.377782712540121</c:v>
                </c:pt>
                <c:pt idx="12">
                  <c:v>18.532604789423097</c:v>
                </c:pt>
                <c:pt idx="13">
                  <c:v>18.687426866306048</c:v>
                </c:pt>
                <c:pt idx="14">
                  <c:v>18.84224894318902</c:v>
                </c:pt>
              </c:numCache>
            </c:numRef>
          </c:val>
          <c:extLst>
            <c:ext xmlns:c16="http://schemas.microsoft.com/office/drawing/2014/chart" uri="{C3380CC4-5D6E-409C-BE32-E72D297353CC}">
              <c16:uniqueId val="{00000001-4CAA-4FB1-8931-C42246C16CEC}"/>
            </c:ext>
          </c:extLst>
        </c:ser>
        <c:ser>
          <c:idx val="2"/>
          <c:order val="2"/>
          <c:tx>
            <c:v>16.870797</c:v>
          </c:tx>
          <c:spPr>
            <a:solidFill>
              <a:srgbClr val="FFFFCC">
                <a:alpha val="30000"/>
              </a:srgbClr>
            </a:solidFill>
            <a:ln cmpd="sng">
              <a:solidFill>
                <a:srgbClr val="FFFFCC"/>
              </a:solidFill>
            </a:ln>
          </c:spPr>
          <c:cat>
            <c:numRef>
              <c:f>Graphs!$I$186:$W$186</c:f>
              <c:numCache>
                <c:formatCode>General</c:formatCode>
                <c:ptCount val="15"/>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numCache>
            </c:numRef>
          </c:cat>
          <c:val>
            <c:numRef>
              <c:f>Graphs!$J$188:$W$188</c:f>
              <c:numCache>
                <c:formatCode>0.000000</c:formatCode>
                <c:ptCount val="14"/>
                <c:pt idx="0">
                  <c:v>16.793814891553112</c:v>
                </c:pt>
                <c:pt idx="1">
                  <c:v>16.943946237574483</c:v>
                </c:pt>
                <c:pt idx="2">
                  <c:v>17.094077583595816</c:v>
                </c:pt>
                <c:pt idx="3">
                  <c:v>17.244208929617187</c:v>
                </c:pt>
                <c:pt idx="4">
                  <c:v>17.000425590955349</c:v>
                </c:pt>
                <c:pt idx="5">
                  <c:v>17.573780781280004</c:v>
                </c:pt>
                <c:pt idx="6">
                  <c:v>17.738566707111389</c:v>
                </c:pt>
                <c:pt idx="7">
                  <c:v>17.903352632942809</c:v>
                </c:pt>
                <c:pt idx="8">
                  <c:v>18.068138558774205</c:v>
                </c:pt>
                <c:pt idx="9">
                  <c:v>18.222960635657177</c:v>
                </c:pt>
                <c:pt idx="10">
                  <c:v>18.377782712540121</c:v>
                </c:pt>
                <c:pt idx="11">
                  <c:v>18.532604789423097</c:v>
                </c:pt>
                <c:pt idx="12">
                  <c:v>18.687426866306048</c:v>
                </c:pt>
                <c:pt idx="13">
                  <c:v>18.84224894318902</c:v>
                </c:pt>
              </c:numCache>
            </c:numRef>
          </c:val>
          <c:extLst>
            <c:ext xmlns:c16="http://schemas.microsoft.com/office/drawing/2014/chart" uri="{C3380CC4-5D6E-409C-BE32-E72D297353CC}">
              <c16:uniqueId val="{00000002-4CAA-4FB1-8931-C42246C16CEC}"/>
            </c:ext>
          </c:extLst>
        </c:ser>
        <c:ser>
          <c:idx val="3"/>
          <c:order val="3"/>
          <c:tx>
            <c:v>Transportation - Nonroad</c:v>
          </c:tx>
          <c:spPr>
            <a:solidFill>
              <a:srgbClr val="CCFFFF">
                <a:alpha val="30000"/>
              </a:srgbClr>
            </a:solidFill>
            <a:ln cmpd="sng">
              <a:solidFill>
                <a:srgbClr val="CCFFFF"/>
              </a:solidFill>
            </a:ln>
          </c:spPr>
          <c:cat>
            <c:numRef>
              <c:f>Graphs!$I$186:$W$186</c:f>
              <c:numCache>
                <c:formatCode>General</c:formatCode>
                <c:ptCount val="15"/>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numCache>
            </c:numRef>
          </c:cat>
          <c:val>
            <c:numRef>
              <c:f>Graphs!$I$190:$W$190</c:f>
              <c:numCache>
                <c:formatCode>_(* #,##0.00_);_(* \(#,##0.00\);_(* "-"??_);_(@_)</c:formatCode>
                <c:ptCount val="15"/>
                <c:pt idx="0">
                  <c:v>5.8017938791854329</c:v>
                </c:pt>
                <c:pt idx="1">
                  <c:v>5.9280910316434721</c:v>
                </c:pt>
                <c:pt idx="2">
                  <c:v>6.123583602931391</c:v>
                </c:pt>
                <c:pt idx="3">
                  <c:v>6.2804537908531035</c:v>
                </c:pt>
                <c:pt idx="4">
                  <c:v>6.4398682903296738</c:v>
                </c:pt>
                <c:pt idx="5">
                  <c:v>7.022468457280195</c:v>
                </c:pt>
                <c:pt idx="6">
                  <c:v>6.7666726243195656</c:v>
                </c:pt>
                <c:pt idx="7">
                  <c:v>6.934241056217024</c:v>
                </c:pt>
                <c:pt idx="8">
                  <c:v>7.1047113981067058</c:v>
                </c:pt>
                <c:pt idx="9">
                  <c:v>7.2781800446502132</c:v>
                </c:pt>
                <c:pt idx="10">
                  <c:v>7.4547480436026419</c:v>
                </c:pt>
                <c:pt idx="11">
                  <c:v>7.6345184755157991</c:v>
                </c:pt>
                <c:pt idx="12">
                  <c:v>7.8175988729916597</c:v>
                </c:pt>
                <c:pt idx="13">
                  <c:v>8.0041000114670702</c:v>
                </c:pt>
                <c:pt idx="14">
                  <c:v>8.1941357079120607</c:v>
                </c:pt>
              </c:numCache>
            </c:numRef>
          </c:val>
          <c:extLst>
            <c:ext xmlns:c16="http://schemas.microsoft.com/office/drawing/2014/chart" uri="{C3380CC4-5D6E-409C-BE32-E72D297353CC}">
              <c16:uniqueId val="{00000003-4CAA-4FB1-8931-C42246C16CEC}"/>
            </c:ext>
          </c:extLst>
        </c:ser>
        <c:ser>
          <c:idx val="4"/>
          <c:order val="4"/>
          <c:tx>
            <c:v>Fossil Fuel Industry</c:v>
          </c:tx>
          <c:spPr>
            <a:solidFill>
              <a:srgbClr val="660066">
                <a:alpha val="30000"/>
              </a:srgbClr>
            </a:solidFill>
            <a:ln cmpd="sng">
              <a:solidFill>
                <a:srgbClr val="660066"/>
              </a:solidFill>
            </a:ln>
          </c:spPr>
          <c:cat>
            <c:numRef>
              <c:f>Graphs!$I$186:$W$186</c:f>
              <c:numCache>
                <c:formatCode>General</c:formatCode>
                <c:ptCount val="15"/>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numCache>
            </c:numRef>
          </c:cat>
          <c:val>
            <c:numRef>
              <c:f>Graphs!$I$191:$W$191</c:f>
              <c:numCache>
                <c:formatCode>0.00</c:formatCode>
                <c:ptCount val="15"/>
                <c:pt idx="0">
                  <c:v>0.94188463845198123</c:v>
                </c:pt>
                <c:pt idx="1">
                  <c:v>0.78746263901343827</c:v>
                </c:pt>
                <c:pt idx="2">
                  <c:v>0.79794156550805639</c:v>
                </c:pt>
                <c:pt idx="3">
                  <c:v>0.80842049200267452</c:v>
                </c:pt>
                <c:pt idx="4">
                  <c:v>0.81889941849728998</c:v>
                </c:pt>
                <c:pt idx="5">
                  <c:v>0.83609220289311492</c:v>
                </c:pt>
                <c:pt idx="6">
                  <c:v>0.83985727148652622</c:v>
                </c:pt>
                <c:pt idx="7">
                  <c:v>0.85033619798114457</c:v>
                </c:pt>
                <c:pt idx="8">
                  <c:v>0.86081512447575981</c:v>
                </c:pt>
                <c:pt idx="9">
                  <c:v>0.87129405097037793</c:v>
                </c:pt>
                <c:pt idx="10">
                  <c:v>0.88177297746499628</c:v>
                </c:pt>
                <c:pt idx="11">
                  <c:v>0.8922519039596144</c:v>
                </c:pt>
                <c:pt idx="12">
                  <c:v>0.90273083045422964</c:v>
                </c:pt>
                <c:pt idx="13">
                  <c:v>0.91320975694884776</c:v>
                </c:pt>
                <c:pt idx="14">
                  <c:v>0.92368868344346611</c:v>
                </c:pt>
              </c:numCache>
            </c:numRef>
          </c:val>
          <c:extLst>
            <c:ext xmlns:c16="http://schemas.microsoft.com/office/drawing/2014/chart" uri="{C3380CC4-5D6E-409C-BE32-E72D297353CC}">
              <c16:uniqueId val="{00000004-4CAA-4FB1-8931-C42246C16CEC}"/>
            </c:ext>
          </c:extLst>
        </c:ser>
        <c:ser>
          <c:idx val="5"/>
          <c:order val="5"/>
          <c:tx>
            <c:v>Industrial Processes</c:v>
          </c:tx>
          <c:spPr>
            <a:solidFill>
              <a:srgbClr val="FF8080">
                <a:alpha val="30000"/>
              </a:srgbClr>
            </a:solidFill>
            <a:ln cmpd="sng">
              <a:solidFill>
                <a:srgbClr val="FF8080"/>
              </a:solidFill>
            </a:ln>
          </c:spPr>
          <c:cat>
            <c:numRef>
              <c:f>Graphs!$I$186:$W$186</c:f>
              <c:numCache>
                <c:formatCode>General</c:formatCode>
                <c:ptCount val="15"/>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numCache>
            </c:numRef>
          </c:cat>
          <c:val>
            <c:numRef>
              <c:f>Graphs!$I$192:$W$192</c:f>
              <c:numCache>
                <c:formatCode>0.00</c:formatCode>
                <c:ptCount val="15"/>
                <c:pt idx="0">
                  <c:v>7.4410424236811288</c:v>
                </c:pt>
                <c:pt idx="1">
                  <c:v>7.6103215182007062</c:v>
                </c:pt>
                <c:pt idx="2">
                  <c:v>7.5629247285501258</c:v>
                </c:pt>
                <c:pt idx="3">
                  <c:v>8.0111768983214837</c:v>
                </c:pt>
                <c:pt idx="4">
                  <c:v>8.2113527537241051</c:v>
                </c:pt>
                <c:pt idx="5">
                  <c:v>4.3985727448193961</c:v>
                </c:pt>
                <c:pt idx="6">
                  <c:v>8.6117044645292697</c:v>
                </c:pt>
                <c:pt idx="7">
                  <c:v>8.811880319931868</c:v>
                </c:pt>
                <c:pt idx="8">
                  <c:v>9.0120561753344894</c:v>
                </c:pt>
                <c:pt idx="9">
                  <c:v>9.2122320307370913</c:v>
                </c:pt>
                <c:pt idx="10">
                  <c:v>9.4124078861397127</c:v>
                </c:pt>
                <c:pt idx="11">
                  <c:v>9.6125837415423181</c:v>
                </c:pt>
                <c:pt idx="12">
                  <c:v>9.8127595969449324</c:v>
                </c:pt>
                <c:pt idx="13">
                  <c:v>10.027485226517665</c:v>
                </c:pt>
                <c:pt idx="14">
                  <c:v>10.244740524234293</c:v>
                </c:pt>
              </c:numCache>
            </c:numRef>
          </c:val>
          <c:extLst>
            <c:ext xmlns:c16="http://schemas.microsoft.com/office/drawing/2014/chart" uri="{C3380CC4-5D6E-409C-BE32-E72D297353CC}">
              <c16:uniqueId val="{00000005-4CAA-4FB1-8931-C42246C16CEC}"/>
            </c:ext>
          </c:extLst>
        </c:ser>
        <c:ser>
          <c:idx val="6"/>
          <c:order val="6"/>
          <c:tx>
            <c:v>Agriculture</c:v>
          </c:tx>
          <c:spPr>
            <a:solidFill>
              <a:srgbClr val="0066CC">
                <a:alpha val="30000"/>
              </a:srgbClr>
            </a:solidFill>
            <a:ln cmpd="sng">
              <a:solidFill>
                <a:srgbClr val="0066CC"/>
              </a:solidFill>
            </a:ln>
          </c:spPr>
          <c:cat>
            <c:numRef>
              <c:f>Graphs!$I$186:$W$186</c:f>
              <c:numCache>
                <c:formatCode>General</c:formatCode>
                <c:ptCount val="15"/>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numCache>
            </c:numRef>
          </c:cat>
          <c:val>
            <c:numRef>
              <c:f>Graphs!$I$193:$W$193</c:f>
              <c:numCache>
                <c:formatCode>0.00</c:formatCode>
                <c:ptCount val="15"/>
                <c:pt idx="0">
                  <c:v>1.7714261577852333</c:v>
                </c:pt>
                <c:pt idx="1">
                  <c:v>1.5139029807623536</c:v>
                </c:pt>
                <c:pt idx="2">
                  <c:v>1.8456153540664655</c:v>
                </c:pt>
                <c:pt idx="3">
                  <c:v>1.7870513192900073</c:v>
                </c:pt>
                <c:pt idx="4">
                  <c:v>1.8484423382290367</c:v>
                </c:pt>
                <c:pt idx="5">
                  <c:v>1.6619477356257877</c:v>
                </c:pt>
                <c:pt idx="6">
                  <c:v>1.8498712898730012</c:v>
                </c:pt>
                <c:pt idx="7">
                  <c:v>1.7880680909904909</c:v>
                </c:pt>
                <c:pt idx="8">
                  <c:v>1.8511187465206678</c:v>
                </c:pt>
                <c:pt idx="9">
                  <c:v>1.7883742254687578</c:v>
                </c:pt>
                <c:pt idx="10">
                  <c:v>1.8526808785947622</c:v>
                </c:pt>
                <c:pt idx="11">
                  <c:v>1.7891893303721129</c:v>
                </c:pt>
                <c:pt idx="12">
                  <c:v>1.8551844921729721</c:v>
                </c:pt>
                <c:pt idx="13">
                  <c:v>1.7911286974967606</c:v>
                </c:pt>
                <c:pt idx="14">
                  <c:v>1.8593377996177092</c:v>
                </c:pt>
              </c:numCache>
            </c:numRef>
          </c:val>
          <c:extLst>
            <c:ext xmlns:c16="http://schemas.microsoft.com/office/drawing/2014/chart" uri="{C3380CC4-5D6E-409C-BE32-E72D297353CC}">
              <c16:uniqueId val="{00000006-4CAA-4FB1-8931-C42246C16CEC}"/>
            </c:ext>
          </c:extLst>
        </c:ser>
        <c:ser>
          <c:idx val="7"/>
          <c:order val="7"/>
          <c:tx>
            <c:v>Waste Management</c:v>
          </c:tx>
          <c:spPr>
            <a:solidFill>
              <a:srgbClr val="CCCCFF">
                <a:alpha val="30000"/>
              </a:srgbClr>
            </a:solidFill>
            <a:ln cmpd="sng">
              <a:solidFill>
                <a:srgbClr val="CCCCFF"/>
              </a:solidFill>
            </a:ln>
          </c:spPr>
          <c:cat>
            <c:numRef>
              <c:f>Graphs!$I$186:$W$186</c:f>
              <c:numCache>
                <c:formatCode>General</c:formatCode>
                <c:ptCount val="15"/>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numCache>
            </c:numRef>
          </c:cat>
          <c:val>
            <c:numRef>
              <c:f>Graphs!$I$194:$W$194</c:f>
              <c:numCache>
                <c:formatCode>0.00</c:formatCode>
                <c:ptCount val="15"/>
                <c:pt idx="0">
                  <c:v>2.2571179512006849</c:v>
                </c:pt>
                <c:pt idx="1">
                  <c:v>2.2757751464297691</c:v>
                </c:pt>
                <c:pt idx="2">
                  <c:v>2.2981771806560092</c:v>
                </c:pt>
                <c:pt idx="3">
                  <c:v>2.3205792148822502</c:v>
                </c:pt>
                <c:pt idx="4">
                  <c:v>2.3429812491084907</c:v>
                </c:pt>
                <c:pt idx="5">
                  <c:v>2.2571179512006849</c:v>
                </c:pt>
                <c:pt idx="6">
                  <c:v>2.3978286853693773</c:v>
                </c:pt>
                <c:pt idx="7">
                  <c:v>2.4257104100909164</c:v>
                </c:pt>
                <c:pt idx="8">
                  <c:v>2.453592134812455</c:v>
                </c:pt>
                <c:pt idx="9">
                  <c:v>2.4814738595339949</c:v>
                </c:pt>
                <c:pt idx="10">
                  <c:v>2.5062526777248353</c:v>
                </c:pt>
                <c:pt idx="11">
                  <c:v>2.5304086860432382</c:v>
                </c:pt>
                <c:pt idx="12">
                  <c:v>2.5545646943616407</c:v>
                </c:pt>
                <c:pt idx="13">
                  <c:v>2.5787207026800432</c:v>
                </c:pt>
                <c:pt idx="14">
                  <c:v>2.6028767109984461</c:v>
                </c:pt>
              </c:numCache>
            </c:numRef>
          </c:val>
          <c:extLst>
            <c:ext xmlns:c16="http://schemas.microsoft.com/office/drawing/2014/chart" uri="{C3380CC4-5D6E-409C-BE32-E72D297353CC}">
              <c16:uniqueId val="{00000007-4CAA-4FB1-8931-C42246C16CEC}"/>
            </c:ext>
          </c:extLst>
        </c:ser>
        <c:dLbls>
          <c:showLegendKey val="0"/>
          <c:showVal val="0"/>
          <c:showCatName val="0"/>
          <c:showSerName val="0"/>
          <c:showPercent val="0"/>
          <c:showBubbleSize val="0"/>
        </c:dLbls>
        <c:axId val="438032946"/>
        <c:axId val="266140283"/>
      </c:areaChart>
      <c:catAx>
        <c:axId val="438032946"/>
        <c:scaling>
          <c:orientation val="minMax"/>
        </c:scaling>
        <c:delete val="0"/>
        <c:axPos val="b"/>
        <c:title>
          <c:tx>
            <c:rich>
              <a:bodyPr/>
              <a:lstStyle/>
              <a:p>
                <a:pPr lvl="0">
                  <a:defRPr sz="1000" b="1" i="0">
                    <a:solidFill>
                      <a:srgbClr val="000000"/>
                    </a:solidFill>
                    <a:latin typeface="+mn-lt"/>
                  </a:defRPr>
                </a:pPr>
                <a:r>
                  <a:rPr sz="1000" b="1" i="0">
                    <a:solidFill>
                      <a:srgbClr val="000000"/>
                    </a:solidFill>
                    <a:latin typeface="+mn-lt"/>
                  </a:rPr>
                  <a:t>Years</a:t>
                </a:r>
              </a:p>
            </c:rich>
          </c:tx>
          <c:overlay val="0"/>
        </c:title>
        <c:numFmt formatCode="General" sourceLinked="1"/>
        <c:majorTickMark val="none"/>
        <c:minorTickMark val="none"/>
        <c:tickLblPos val="nextTo"/>
        <c:spPr>
          <a:ln>
            <a:noFill/>
          </a:ln>
        </c:spPr>
        <c:txPr>
          <a:bodyPr/>
          <a:lstStyle/>
          <a:p>
            <a:pPr lvl="0">
              <a:defRPr b="0" i="0">
                <a:solidFill>
                  <a:srgbClr val="000000"/>
                </a:solidFill>
                <a:latin typeface="+mn-lt"/>
              </a:defRPr>
            </a:pPr>
            <a:endParaRPr lang="en-US"/>
          </a:p>
        </c:txPr>
        <c:crossAx val="266140283"/>
        <c:crosses val="autoZero"/>
        <c:auto val="1"/>
        <c:lblAlgn val="ctr"/>
        <c:lblOffset val="100"/>
        <c:noMultiLvlLbl val="1"/>
      </c:catAx>
      <c:valAx>
        <c:axId val="266140283"/>
        <c:scaling>
          <c:orientation val="minMax"/>
        </c:scaling>
        <c:delete val="0"/>
        <c:axPos val="l"/>
        <c:majorGridlines>
          <c:spPr>
            <a:ln>
              <a:solidFill>
                <a:srgbClr val="B7B7B7"/>
              </a:solidFill>
            </a:ln>
          </c:spPr>
        </c:majorGridlines>
        <c:title>
          <c:tx>
            <c:rich>
              <a:bodyPr/>
              <a:lstStyle/>
              <a:p>
                <a:pPr lvl="0">
                  <a:defRPr sz="1000" b="1" i="0">
                    <a:solidFill>
                      <a:srgbClr val="000000"/>
                    </a:solidFill>
                    <a:latin typeface="+mn-lt"/>
                  </a:defRPr>
                </a:pPr>
                <a:r>
                  <a:rPr sz="1000" b="1" i="0">
                    <a:solidFill>
                      <a:srgbClr val="000000"/>
                    </a:solidFill>
                    <a:latin typeface="+mn-lt"/>
                  </a:rPr>
                  <a:t>MMTCO2E</a:t>
                </a:r>
              </a:p>
            </c:rich>
          </c:tx>
          <c:overlay val="0"/>
        </c:title>
        <c:numFmt formatCode="0.000000" sourceLinked="1"/>
        <c:majorTickMark val="none"/>
        <c:minorTickMark val="none"/>
        <c:tickLblPos val="nextTo"/>
        <c:spPr>
          <a:ln>
            <a:noFill/>
          </a:ln>
        </c:spPr>
        <c:txPr>
          <a:bodyPr/>
          <a:lstStyle/>
          <a:p>
            <a:pPr lvl="0">
              <a:defRPr b="0" i="0">
                <a:solidFill>
                  <a:srgbClr val="000000"/>
                </a:solidFill>
                <a:latin typeface="+mn-lt"/>
              </a:defRPr>
            </a:pPr>
            <a:endParaRPr lang="en-US"/>
          </a:p>
        </c:txPr>
        <c:crossAx val="438032946"/>
        <c:crosses val="autoZero"/>
        <c:crossBetween val="midCat"/>
      </c:valAx>
    </c:plotArea>
    <c:legend>
      <c:legendPos val="t"/>
      <c:overlay val="0"/>
      <c:txPr>
        <a:bodyPr/>
        <a:lstStyle/>
        <a:p>
          <a:pPr lvl="0">
            <a:defRPr b="0" i="0">
              <a:solidFill>
                <a:srgbClr val="1A1A1A"/>
              </a:solidFill>
              <a:latin typeface="+mn-lt"/>
            </a:defRPr>
          </a:pPr>
          <a:endParaRPr lang="en-US"/>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200" b="1" i="0">
                <a:solidFill>
                  <a:srgbClr val="000000"/>
                </a:solidFill>
                <a:latin typeface="+mn-lt"/>
              </a:defRPr>
            </a:pPr>
            <a:r>
              <a:rPr sz="1200" b="1" i="0">
                <a:solidFill>
                  <a:srgbClr val="000000"/>
                </a:solidFill>
                <a:latin typeface="+mn-lt"/>
              </a:rPr>
              <a:t>Gross Energy Generation By Energy Sources 2011 (MWh)</a:t>
            </a:r>
          </a:p>
        </c:rich>
      </c:tx>
      <c:overlay val="0"/>
    </c:title>
    <c:autoTitleDeleted val="0"/>
    <c:view3D>
      <c:rotX val="50"/>
      <c:rotY val="0"/>
      <c:rAngAx val="1"/>
    </c:view3D>
    <c:floor>
      <c:thickness val="0"/>
    </c:floor>
    <c:sideWall>
      <c:thickness val="0"/>
    </c:sideWall>
    <c:backWall>
      <c:thickness val="0"/>
    </c:backWall>
    <c:plotArea>
      <c:layout/>
      <c:pie3DChart>
        <c:varyColors val="1"/>
        <c:ser>
          <c:idx val="0"/>
          <c:order val="0"/>
          <c:dPt>
            <c:idx val="0"/>
            <c:bubble3D val="0"/>
            <c:spPr>
              <a:solidFill>
                <a:srgbClr val="9999FF"/>
              </a:solidFill>
            </c:spPr>
            <c:extLst>
              <c:ext xmlns:c16="http://schemas.microsoft.com/office/drawing/2014/chart" uri="{C3380CC4-5D6E-409C-BE32-E72D297353CC}">
                <c16:uniqueId val="{00000001-2961-44EA-B7C1-6CBDBB146ED1}"/>
              </c:ext>
            </c:extLst>
          </c:dPt>
          <c:dPt>
            <c:idx val="1"/>
            <c:bubble3D val="0"/>
            <c:spPr>
              <a:solidFill>
                <a:srgbClr val="993366"/>
              </a:solidFill>
            </c:spPr>
            <c:extLst>
              <c:ext xmlns:c16="http://schemas.microsoft.com/office/drawing/2014/chart" uri="{C3380CC4-5D6E-409C-BE32-E72D297353CC}">
                <c16:uniqueId val="{00000003-2961-44EA-B7C1-6CBDBB146ED1}"/>
              </c:ext>
            </c:extLst>
          </c:dPt>
          <c:dPt>
            <c:idx val="2"/>
            <c:bubble3D val="0"/>
            <c:spPr>
              <a:solidFill>
                <a:srgbClr val="FFFFCC"/>
              </a:solidFill>
            </c:spPr>
            <c:extLst>
              <c:ext xmlns:c16="http://schemas.microsoft.com/office/drawing/2014/chart" uri="{C3380CC4-5D6E-409C-BE32-E72D297353CC}">
                <c16:uniqueId val="{00000005-2961-44EA-B7C1-6CBDBB146ED1}"/>
              </c:ext>
            </c:extLst>
          </c:dPt>
          <c:dPt>
            <c:idx val="3"/>
            <c:bubble3D val="0"/>
            <c:spPr>
              <a:solidFill>
                <a:srgbClr val="CCFFFF"/>
              </a:solidFill>
            </c:spPr>
            <c:extLst>
              <c:ext xmlns:c16="http://schemas.microsoft.com/office/drawing/2014/chart" uri="{C3380CC4-5D6E-409C-BE32-E72D297353CC}">
                <c16:uniqueId val="{00000007-2961-44EA-B7C1-6CBDBB146ED1}"/>
              </c:ext>
            </c:extLst>
          </c:dPt>
          <c:dPt>
            <c:idx val="4"/>
            <c:bubble3D val="0"/>
            <c:spPr>
              <a:solidFill>
                <a:srgbClr val="660066"/>
              </a:solidFill>
            </c:spPr>
            <c:extLst>
              <c:ext xmlns:c16="http://schemas.microsoft.com/office/drawing/2014/chart" uri="{C3380CC4-5D6E-409C-BE32-E72D297353CC}">
                <c16:uniqueId val="{00000009-2961-44EA-B7C1-6CBDBB146ED1}"/>
              </c:ext>
            </c:extLst>
          </c:dPt>
          <c:dPt>
            <c:idx val="5"/>
            <c:bubble3D val="0"/>
            <c:spPr>
              <a:solidFill>
                <a:srgbClr val="FF8080"/>
              </a:solidFill>
            </c:spPr>
            <c:extLst>
              <c:ext xmlns:c16="http://schemas.microsoft.com/office/drawing/2014/chart" uri="{C3380CC4-5D6E-409C-BE32-E72D297353CC}">
                <c16:uniqueId val="{0000000B-2961-44EA-B7C1-6CBDBB146ED1}"/>
              </c:ext>
            </c:extLst>
          </c:dPt>
          <c:dPt>
            <c:idx val="6"/>
            <c:bubble3D val="0"/>
            <c:spPr>
              <a:solidFill>
                <a:srgbClr val="0066CC"/>
              </a:solidFill>
            </c:spPr>
            <c:extLst>
              <c:ext xmlns:c16="http://schemas.microsoft.com/office/drawing/2014/chart" uri="{C3380CC4-5D6E-409C-BE32-E72D297353CC}">
                <c16:uniqueId val="{0000000D-2961-44EA-B7C1-6CBDBB146ED1}"/>
              </c:ext>
            </c:extLst>
          </c:dPt>
          <c:dPt>
            <c:idx val="7"/>
            <c:bubble3D val="0"/>
            <c:spPr>
              <a:solidFill>
                <a:srgbClr val="CCCCFF"/>
              </a:solidFill>
            </c:spPr>
            <c:extLst>
              <c:ext xmlns:c16="http://schemas.microsoft.com/office/drawing/2014/chart" uri="{C3380CC4-5D6E-409C-BE32-E72D297353CC}">
                <c16:uniqueId val="{0000000F-2961-44EA-B7C1-6CBDBB146ED1}"/>
              </c:ext>
            </c:extLst>
          </c:dPt>
          <c:dPt>
            <c:idx val="8"/>
            <c:bubble3D val="0"/>
            <c:spPr>
              <a:solidFill>
                <a:srgbClr val="000080"/>
              </a:solidFill>
            </c:spPr>
            <c:extLst>
              <c:ext xmlns:c16="http://schemas.microsoft.com/office/drawing/2014/chart" uri="{C3380CC4-5D6E-409C-BE32-E72D297353CC}">
                <c16:uniqueId val="{00000011-2961-44EA-B7C1-6CBDBB146ED1}"/>
              </c:ext>
            </c:extLst>
          </c:dPt>
          <c:dPt>
            <c:idx val="9"/>
            <c:bubble3D val="0"/>
            <c:spPr>
              <a:solidFill>
                <a:srgbClr val="FF00FF"/>
              </a:solidFill>
            </c:spPr>
            <c:extLst>
              <c:ext xmlns:c16="http://schemas.microsoft.com/office/drawing/2014/chart" uri="{C3380CC4-5D6E-409C-BE32-E72D297353CC}">
                <c16:uniqueId val="{00000013-2961-44EA-B7C1-6CBDBB146ED1}"/>
              </c:ext>
            </c:extLst>
          </c:dPt>
          <c:dPt>
            <c:idx val="10"/>
            <c:bubble3D val="0"/>
            <c:spPr>
              <a:solidFill>
                <a:srgbClr val="FFFF00"/>
              </a:solidFill>
            </c:spPr>
            <c:extLst>
              <c:ext xmlns:c16="http://schemas.microsoft.com/office/drawing/2014/chart" uri="{C3380CC4-5D6E-409C-BE32-E72D297353CC}">
                <c16:uniqueId val="{00000015-2961-44EA-B7C1-6CBDBB146ED1}"/>
              </c:ext>
            </c:extLst>
          </c:dPt>
          <c:dLbls>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Graphs!$C$250:$C$260</c:f>
              <c:strCache>
                <c:ptCount val="11"/>
                <c:pt idx="0">
                  <c:v>Coal</c:v>
                </c:pt>
                <c:pt idx="1">
                  <c:v>Petroleum</c:v>
                </c:pt>
                <c:pt idx="2">
                  <c:v>Natural Gas</c:v>
                </c:pt>
                <c:pt idx="3">
                  <c:v>Other Gases</c:v>
                </c:pt>
                <c:pt idx="4">
                  <c:v>Nuclear</c:v>
                </c:pt>
                <c:pt idx="5">
                  <c:v>Hydroelectric Conventional</c:v>
                </c:pt>
                <c:pt idx="6">
                  <c:v>Wind</c:v>
                </c:pt>
                <c:pt idx="7">
                  <c:v>Solar Thermal and Photovoltaic</c:v>
                </c:pt>
                <c:pt idx="8">
                  <c:v>Wood and Wood Derived Fuels</c:v>
                </c:pt>
                <c:pt idx="9">
                  <c:v>Other Biomass</c:v>
                </c:pt>
                <c:pt idx="10">
                  <c:v>Other</c:v>
                </c:pt>
              </c:strCache>
            </c:strRef>
          </c:cat>
          <c:val>
            <c:numRef>
              <c:f>Graphs!$D$250:$D$260</c:f>
              <c:numCache>
                <c:formatCode>#,##0</c:formatCode>
                <c:ptCount val="11"/>
                <c:pt idx="0">
                  <c:v>21186919</c:v>
                </c:pt>
                <c:pt idx="1">
                  <c:v>219804</c:v>
                </c:pt>
                <c:pt idx="2">
                  <c:v>2236976</c:v>
                </c:pt>
                <c:pt idx="3">
                  <c:v>154641</c:v>
                </c:pt>
                <c:pt idx="4">
                  <c:v>14397437</c:v>
                </c:pt>
                <c:pt idx="5">
                  <c:v>2540908</c:v>
                </c:pt>
                <c:pt idx="6">
                  <c:v>319254</c:v>
                </c:pt>
                <c:pt idx="7">
                  <c:v>2070</c:v>
                </c:pt>
                <c:pt idx="8">
                  <c:v>167437</c:v>
                </c:pt>
                <c:pt idx="9">
                  <c:v>420114</c:v>
                </c:pt>
                <c:pt idx="10">
                  <c:v>267727</c:v>
                </c:pt>
              </c:numCache>
            </c:numRef>
          </c:val>
          <c:extLst>
            <c:ext xmlns:c16="http://schemas.microsoft.com/office/drawing/2014/chart" uri="{C3380CC4-5D6E-409C-BE32-E72D297353CC}">
              <c16:uniqueId val="{00000016-2961-44EA-B7C1-6CBDBB146ED1}"/>
            </c:ext>
          </c:extLst>
        </c:ser>
        <c:dLbls>
          <c:showLegendKey val="0"/>
          <c:showVal val="0"/>
          <c:showCatName val="0"/>
          <c:showSerName val="0"/>
          <c:showPercent val="0"/>
          <c:showBubbleSize val="0"/>
          <c:showLeaderLines val="1"/>
        </c:dLbls>
      </c:pie3DChart>
    </c:plotArea>
    <c:plotVisOnly val="1"/>
    <c:dispBlanksAs val="zero"/>
    <c:showDLblsOverMax val="1"/>
  </c:chart>
  <c:spPr>
    <a:solidFill>
      <a:srgbClr val="FFFFFF"/>
    </a:solidFill>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areaChart>
        <c:grouping val="stacked"/>
        <c:varyColors val="1"/>
        <c:ser>
          <c:idx val="0"/>
          <c:order val="0"/>
          <c:tx>
            <c:v>Coal</c:v>
          </c:tx>
          <c:spPr>
            <a:solidFill>
              <a:srgbClr val="9999FF">
                <a:alpha val="30000"/>
              </a:srgbClr>
            </a:solidFill>
            <a:ln cmpd="sng">
              <a:solidFill>
                <a:srgbClr val="9999FF"/>
              </a:solidFill>
            </a:ln>
          </c:spPr>
          <c:cat>
            <c:numRef>
              <c:f>Graphs!$D$296:$X$296</c:f>
              <c:numCache>
                <c:formatCode>General</c:formatCode>
                <c:ptCount val="21"/>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numCache>
            </c:numRef>
          </c:cat>
          <c:val>
            <c:numRef>
              <c:f>Graphs!$D$297:$X$297</c:f>
              <c:numCache>
                <c:formatCode>#,##0</c:formatCode>
                <c:ptCount val="21"/>
                <c:pt idx="0">
                  <c:v>22835671</c:v>
                </c:pt>
                <c:pt idx="1">
                  <c:v>23850470</c:v>
                </c:pt>
                <c:pt idx="2">
                  <c:v>25126979</c:v>
                </c:pt>
                <c:pt idx="3">
                  <c:v>25624758</c:v>
                </c:pt>
                <c:pt idx="4">
                  <c:v>27595256</c:v>
                </c:pt>
                <c:pt idx="5">
                  <c:v>27992005</c:v>
                </c:pt>
                <c:pt idx="6">
                  <c:v>27620925</c:v>
                </c:pt>
                <c:pt idx="7">
                  <c:v>29294727</c:v>
                </c:pt>
                <c:pt idx="8">
                  <c:v>29687655</c:v>
                </c:pt>
                <c:pt idx="9">
                  <c:v>29451065</c:v>
                </c:pt>
                <c:pt idx="10">
                  <c:v>28379409</c:v>
                </c:pt>
                <c:pt idx="11">
                  <c:v>28712053</c:v>
                </c:pt>
                <c:pt idx="12">
                  <c:v>29939086</c:v>
                </c:pt>
                <c:pt idx="13">
                  <c:v>29195458</c:v>
                </c:pt>
                <c:pt idx="14">
                  <c:v>29302792</c:v>
                </c:pt>
                <c:pt idx="15">
                  <c:v>29408022</c:v>
                </c:pt>
                <c:pt idx="16">
                  <c:v>29699186</c:v>
                </c:pt>
                <c:pt idx="17">
                  <c:v>27218239</c:v>
                </c:pt>
                <c:pt idx="18">
                  <c:v>24162345</c:v>
                </c:pt>
                <c:pt idx="19">
                  <c:v>23668204</c:v>
                </c:pt>
                <c:pt idx="20">
                  <c:v>21186919</c:v>
                </c:pt>
              </c:numCache>
            </c:numRef>
          </c:val>
          <c:extLst>
            <c:ext xmlns:c16="http://schemas.microsoft.com/office/drawing/2014/chart" uri="{C3380CC4-5D6E-409C-BE32-E72D297353CC}">
              <c16:uniqueId val="{00000000-BC6E-4729-A298-3FB42F158451}"/>
            </c:ext>
          </c:extLst>
        </c:ser>
        <c:ser>
          <c:idx val="1"/>
          <c:order val="1"/>
          <c:tx>
            <c:v>Petroleum</c:v>
          </c:tx>
          <c:spPr>
            <a:solidFill>
              <a:srgbClr val="993366">
                <a:alpha val="30000"/>
              </a:srgbClr>
            </a:solidFill>
            <a:ln cmpd="sng">
              <a:solidFill>
                <a:srgbClr val="993366"/>
              </a:solidFill>
            </a:ln>
          </c:spPr>
          <c:cat>
            <c:numRef>
              <c:f>Graphs!$D$296:$X$296</c:f>
              <c:numCache>
                <c:formatCode>General</c:formatCode>
                <c:ptCount val="21"/>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numCache>
            </c:numRef>
          </c:cat>
          <c:val>
            <c:numRef>
              <c:f>Graphs!$D$298:$X$298</c:f>
              <c:numCache>
                <c:formatCode>#,##0</c:formatCode>
                <c:ptCount val="21"/>
                <c:pt idx="0">
                  <c:v>4078506</c:v>
                </c:pt>
                <c:pt idx="1">
                  <c:v>2749511</c:v>
                </c:pt>
                <c:pt idx="2">
                  <c:v>4164790</c:v>
                </c:pt>
                <c:pt idx="3">
                  <c:v>4275226</c:v>
                </c:pt>
                <c:pt idx="4">
                  <c:v>1479469</c:v>
                </c:pt>
                <c:pt idx="5">
                  <c:v>1472027</c:v>
                </c:pt>
                <c:pt idx="6">
                  <c:v>1565010</c:v>
                </c:pt>
                <c:pt idx="7">
                  <c:v>3454350</c:v>
                </c:pt>
                <c:pt idx="8">
                  <c:v>4290788</c:v>
                </c:pt>
                <c:pt idx="9">
                  <c:v>2388595</c:v>
                </c:pt>
                <c:pt idx="10">
                  <c:v>3021639</c:v>
                </c:pt>
                <c:pt idx="11">
                  <c:v>2282432</c:v>
                </c:pt>
                <c:pt idx="12">
                  <c:v>3572183</c:v>
                </c:pt>
                <c:pt idx="13">
                  <c:v>3296842</c:v>
                </c:pt>
                <c:pt idx="14">
                  <c:v>3805569</c:v>
                </c:pt>
                <c:pt idx="15">
                  <c:v>580726</c:v>
                </c:pt>
                <c:pt idx="16">
                  <c:v>984831</c:v>
                </c:pt>
                <c:pt idx="17">
                  <c:v>405840</c:v>
                </c:pt>
                <c:pt idx="18">
                  <c:v>329901</c:v>
                </c:pt>
                <c:pt idx="19">
                  <c:v>322438</c:v>
                </c:pt>
                <c:pt idx="20">
                  <c:v>219804</c:v>
                </c:pt>
              </c:numCache>
            </c:numRef>
          </c:val>
          <c:extLst>
            <c:ext xmlns:c16="http://schemas.microsoft.com/office/drawing/2014/chart" uri="{C3380CC4-5D6E-409C-BE32-E72D297353CC}">
              <c16:uniqueId val="{00000001-BC6E-4729-A298-3FB42F158451}"/>
            </c:ext>
          </c:extLst>
        </c:ser>
        <c:ser>
          <c:idx val="2"/>
          <c:order val="2"/>
          <c:tx>
            <c:v>Natural Gas</c:v>
          </c:tx>
          <c:spPr>
            <a:solidFill>
              <a:srgbClr val="FFFFCC">
                <a:alpha val="30000"/>
              </a:srgbClr>
            </a:solidFill>
            <a:ln cmpd="sng">
              <a:solidFill>
                <a:srgbClr val="FFFFCC"/>
              </a:solidFill>
            </a:ln>
          </c:spPr>
          <c:cat>
            <c:numRef>
              <c:f>Graphs!$D$296:$X$296</c:f>
              <c:numCache>
                <c:formatCode>General</c:formatCode>
                <c:ptCount val="21"/>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numCache>
            </c:numRef>
          </c:cat>
          <c:val>
            <c:numRef>
              <c:f>Graphs!$D$299:$X$299</c:f>
              <c:numCache>
                <c:formatCode>#,##0</c:formatCode>
                <c:ptCount val="21"/>
                <c:pt idx="0">
                  <c:v>1517463</c:v>
                </c:pt>
                <c:pt idx="1">
                  <c:v>1077542</c:v>
                </c:pt>
                <c:pt idx="2">
                  <c:v>772304</c:v>
                </c:pt>
                <c:pt idx="3">
                  <c:v>1172042</c:v>
                </c:pt>
                <c:pt idx="4">
                  <c:v>1548884</c:v>
                </c:pt>
                <c:pt idx="5">
                  <c:v>987627</c:v>
                </c:pt>
                <c:pt idx="6">
                  <c:v>1412585</c:v>
                </c:pt>
                <c:pt idx="7">
                  <c:v>1990596</c:v>
                </c:pt>
                <c:pt idx="8">
                  <c:v>2125193</c:v>
                </c:pt>
                <c:pt idx="9">
                  <c:v>2852876</c:v>
                </c:pt>
                <c:pt idx="10">
                  <c:v>1760812</c:v>
                </c:pt>
                <c:pt idx="11">
                  <c:v>2214431</c:v>
                </c:pt>
                <c:pt idx="12">
                  <c:v>1195642</c:v>
                </c:pt>
                <c:pt idx="13">
                  <c:v>1183301</c:v>
                </c:pt>
                <c:pt idx="14">
                  <c:v>1886986</c:v>
                </c:pt>
                <c:pt idx="15">
                  <c:v>1770206</c:v>
                </c:pt>
                <c:pt idx="16">
                  <c:v>2240927</c:v>
                </c:pt>
                <c:pt idx="17">
                  <c:v>1848147</c:v>
                </c:pt>
                <c:pt idx="18">
                  <c:v>1767844</c:v>
                </c:pt>
                <c:pt idx="19">
                  <c:v>2896978</c:v>
                </c:pt>
                <c:pt idx="20">
                  <c:v>2236976</c:v>
                </c:pt>
              </c:numCache>
            </c:numRef>
          </c:val>
          <c:extLst>
            <c:ext xmlns:c16="http://schemas.microsoft.com/office/drawing/2014/chart" uri="{C3380CC4-5D6E-409C-BE32-E72D297353CC}">
              <c16:uniqueId val="{00000002-BC6E-4729-A298-3FB42F158451}"/>
            </c:ext>
          </c:extLst>
        </c:ser>
        <c:ser>
          <c:idx val="3"/>
          <c:order val="3"/>
          <c:tx>
            <c:v>Other Gases</c:v>
          </c:tx>
          <c:spPr>
            <a:solidFill>
              <a:srgbClr val="CCFFFF">
                <a:alpha val="30000"/>
              </a:srgbClr>
            </a:solidFill>
            <a:ln cmpd="sng">
              <a:solidFill>
                <a:srgbClr val="CCFFFF"/>
              </a:solidFill>
            </a:ln>
          </c:spPr>
          <c:cat>
            <c:numRef>
              <c:f>Graphs!$D$296:$X$296</c:f>
              <c:numCache>
                <c:formatCode>General</c:formatCode>
                <c:ptCount val="21"/>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numCache>
            </c:numRef>
          </c:cat>
          <c:val>
            <c:numRef>
              <c:f>Graphs!$D$300:$X$300</c:f>
              <c:numCache>
                <c:formatCode>#,##0</c:formatCode>
                <c:ptCount val="21"/>
                <c:pt idx="0">
                  <c:v>478704</c:v>
                </c:pt>
                <c:pt idx="1">
                  <c:v>506572</c:v>
                </c:pt>
                <c:pt idx="2">
                  <c:v>475788</c:v>
                </c:pt>
                <c:pt idx="3">
                  <c:v>501762</c:v>
                </c:pt>
                <c:pt idx="4">
                  <c:v>685721</c:v>
                </c:pt>
                <c:pt idx="5">
                  <c:v>539335</c:v>
                </c:pt>
                <c:pt idx="6">
                  <c:v>564036</c:v>
                </c:pt>
                <c:pt idx="7">
                  <c:v>82316</c:v>
                </c:pt>
                <c:pt idx="8">
                  <c:v>59891</c:v>
                </c:pt>
                <c:pt idx="9">
                  <c:v>74572</c:v>
                </c:pt>
                <c:pt idx="10">
                  <c:v>439980</c:v>
                </c:pt>
                <c:pt idx="11">
                  <c:v>504513</c:v>
                </c:pt>
                <c:pt idx="12">
                  <c:v>325355</c:v>
                </c:pt>
                <c:pt idx="13">
                  <c:v>411565</c:v>
                </c:pt>
                <c:pt idx="14">
                  <c:v>342466</c:v>
                </c:pt>
                <c:pt idx="15">
                  <c:v>332444</c:v>
                </c:pt>
                <c:pt idx="16">
                  <c:v>377560</c:v>
                </c:pt>
                <c:pt idx="17">
                  <c:v>337823</c:v>
                </c:pt>
                <c:pt idx="18">
                  <c:v>269182</c:v>
                </c:pt>
                <c:pt idx="19">
                  <c:v>214727</c:v>
                </c:pt>
                <c:pt idx="20">
                  <c:v>154641</c:v>
                </c:pt>
              </c:numCache>
            </c:numRef>
          </c:val>
          <c:extLst>
            <c:ext xmlns:c16="http://schemas.microsoft.com/office/drawing/2014/chart" uri="{C3380CC4-5D6E-409C-BE32-E72D297353CC}">
              <c16:uniqueId val="{00000003-BC6E-4729-A298-3FB42F158451}"/>
            </c:ext>
          </c:extLst>
        </c:ser>
        <c:ser>
          <c:idx val="4"/>
          <c:order val="4"/>
          <c:tx>
            <c:v>Nuclear</c:v>
          </c:tx>
          <c:spPr>
            <a:solidFill>
              <a:srgbClr val="660066">
                <a:alpha val="30000"/>
              </a:srgbClr>
            </a:solidFill>
            <a:ln cmpd="sng">
              <a:solidFill>
                <a:srgbClr val="660066"/>
              </a:solidFill>
            </a:ln>
          </c:spPr>
          <c:cat>
            <c:numRef>
              <c:f>Graphs!$D$296:$X$296</c:f>
              <c:numCache>
                <c:formatCode>General</c:formatCode>
                <c:ptCount val="21"/>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numCache>
            </c:numRef>
          </c:cat>
          <c:val>
            <c:numRef>
              <c:f>Graphs!$D$301:$X$301</c:f>
              <c:numCache>
                <c:formatCode>#,##0</c:formatCode>
                <c:ptCount val="21"/>
                <c:pt idx="0">
                  <c:v>9036100</c:v>
                </c:pt>
                <c:pt idx="1">
                  <c:v>10663950</c:v>
                </c:pt>
                <c:pt idx="2">
                  <c:v>12300816</c:v>
                </c:pt>
                <c:pt idx="3">
                  <c:v>11235408</c:v>
                </c:pt>
                <c:pt idx="4">
                  <c:v>12937971</c:v>
                </c:pt>
                <c:pt idx="5">
                  <c:v>12092768</c:v>
                </c:pt>
                <c:pt idx="6">
                  <c:v>13212967</c:v>
                </c:pt>
                <c:pt idx="7">
                  <c:v>13330598</c:v>
                </c:pt>
                <c:pt idx="8">
                  <c:v>13312335</c:v>
                </c:pt>
                <c:pt idx="9">
                  <c:v>13827243</c:v>
                </c:pt>
                <c:pt idx="10">
                  <c:v>13656267</c:v>
                </c:pt>
                <c:pt idx="11">
                  <c:v>12128005</c:v>
                </c:pt>
                <c:pt idx="12">
                  <c:v>13690713</c:v>
                </c:pt>
                <c:pt idx="13">
                  <c:v>14580260</c:v>
                </c:pt>
                <c:pt idx="14">
                  <c:v>14703221</c:v>
                </c:pt>
                <c:pt idx="15">
                  <c:v>13830411</c:v>
                </c:pt>
                <c:pt idx="16">
                  <c:v>14353192</c:v>
                </c:pt>
                <c:pt idx="17">
                  <c:v>14678695</c:v>
                </c:pt>
                <c:pt idx="18">
                  <c:v>14550119</c:v>
                </c:pt>
                <c:pt idx="19">
                  <c:v>13993948</c:v>
                </c:pt>
                <c:pt idx="20">
                  <c:v>14397437</c:v>
                </c:pt>
              </c:numCache>
            </c:numRef>
          </c:val>
          <c:extLst>
            <c:ext xmlns:c16="http://schemas.microsoft.com/office/drawing/2014/chart" uri="{C3380CC4-5D6E-409C-BE32-E72D297353CC}">
              <c16:uniqueId val="{00000004-BC6E-4729-A298-3FB42F158451}"/>
            </c:ext>
          </c:extLst>
        </c:ser>
        <c:ser>
          <c:idx val="5"/>
          <c:order val="5"/>
          <c:tx>
            <c:v>Hydroelectric Conventional</c:v>
          </c:tx>
          <c:spPr>
            <a:solidFill>
              <a:srgbClr val="FF8080">
                <a:alpha val="30000"/>
              </a:srgbClr>
            </a:solidFill>
            <a:ln cmpd="sng">
              <a:solidFill>
                <a:srgbClr val="FF8080"/>
              </a:solidFill>
            </a:ln>
          </c:spPr>
          <c:cat>
            <c:numRef>
              <c:f>Graphs!$D$296:$X$296</c:f>
              <c:numCache>
                <c:formatCode>General</c:formatCode>
                <c:ptCount val="21"/>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numCache>
            </c:numRef>
          </c:cat>
          <c:val>
            <c:numRef>
              <c:f>Graphs!$D$302:$X$302</c:f>
              <c:numCache>
                <c:formatCode>#,##0</c:formatCode>
                <c:ptCount val="21"/>
                <c:pt idx="0">
                  <c:v>1407287</c:v>
                </c:pt>
                <c:pt idx="1">
                  <c:v>1824659</c:v>
                </c:pt>
                <c:pt idx="2">
                  <c:v>1658271</c:v>
                </c:pt>
                <c:pt idx="3">
                  <c:v>2009536</c:v>
                </c:pt>
                <c:pt idx="4">
                  <c:v>1442006</c:v>
                </c:pt>
                <c:pt idx="5">
                  <c:v>2457463</c:v>
                </c:pt>
                <c:pt idx="6">
                  <c:v>1588375</c:v>
                </c:pt>
                <c:pt idx="7">
                  <c:v>1739737</c:v>
                </c:pt>
                <c:pt idx="8">
                  <c:v>1424197</c:v>
                </c:pt>
                <c:pt idx="9">
                  <c:v>1732619</c:v>
                </c:pt>
                <c:pt idx="10">
                  <c:v>1183518</c:v>
                </c:pt>
                <c:pt idx="11">
                  <c:v>1660989</c:v>
                </c:pt>
                <c:pt idx="12">
                  <c:v>2646984</c:v>
                </c:pt>
                <c:pt idx="13">
                  <c:v>2507521</c:v>
                </c:pt>
                <c:pt idx="14">
                  <c:v>1703639</c:v>
                </c:pt>
                <c:pt idx="15">
                  <c:v>2104275</c:v>
                </c:pt>
                <c:pt idx="16">
                  <c:v>1652216</c:v>
                </c:pt>
                <c:pt idx="17">
                  <c:v>1974078</c:v>
                </c:pt>
                <c:pt idx="18">
                  <c:v>1888769</c:v>
                </c:pt>
                <c:pt idx="19">
                  <c:v>1667397</c:v>
                </c:pt>
                <c:pt idx="20">
                  <c:v>2540908</c:v>
                </c:pt>
              </c:numCache>
            </c:numRef>
          </c:val>
          <c:extLst>
            <c:ext xmlns:c16="http://schemas.microsoft.com/office/drawing/2014/chart" uri="{C3380CC4-5D6E-409C-BE32-E72D297353CC}">
              <c16:uniqueId val="{00000005-BC6E-4729-A298-3FB42F158451}"/>
            </c:ext>
          </c:extLst>
        </c:ser>
        <c:ser>
          <c:idx val="6"/>
          <c:order val="6"/>
          <c:tx>
            <c:v>Wind</c:v>
          </c:tx>
          <c:spPr>
            <a:solidFill>
              <a:srgbClr val="0066CC">
                <a:alpha val="30000"/>
              </a:srgbClr>
            </a:solidFill>
            <a:ln cmpd="sng">
              <a:solidFill>
                <a:srgbClr val="0066CC"/>
              </a:solidFill>
            </a:ln>
          </c:spPr>
          <c:cat>
            <c:numRef>
              <c:f>Graphs!$D$296:$X$296</c:f>
              <c:numCache>
                <c:formatCode>General</c:formatCode>
                <c:ptCount val="21"/>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numCache>
            </c:numRef>
          </c:cat>
          <c:val>
            <c:numRef>
              <c:f>Graphs!$D$303:$X$303</c:f>
              <c:numCache>
                <c:formatCode>#,##0</c:formatCode>
                <c:ptCount val="21"/>
                <c:pt idx="19">
                  <c:v>1494</c:v>
                </c:pt>
                <c:pt idx="20">
                  <c:v>319254</c:v>
                </c:pt>
              </c:numCache>
            </c:numRef>
          </c:val>
          <c:extLst>
            <c:ext xmlns:c16="http://schemas.microsoft.com/office/drawing/2014/chart" uri="{C3380CC4-5D6E-409C-BE32-E72D297353CC}">
              <c16:uniqueId val="{00000006-BC6E-4729-A298-3FB42F158451}"/>
            </c:ext>
          </c:extLst>
        </c:ser>
        <c:ser>
          <c:idx val="7"/>
          <c:order val="7"/>
          <c:tx>
            <c:v>Solar Thermal and Photovoltaic</c:v>
          </c:tx>
          <c:spPr>
            <a:solidFill>
              <a:srgbClr val="CCCCFF">
                <a:alpha val="30000"/>
              </a:srgbClr>
            </a:solidFill>
            <a:ln cmpd="sng">
              <a:solidFill>
                <a:srgbClr val="CCCCFF"/>
              </a:solidFill>
            </a:ln>
          </c:spPr>
          <c:cat>
            <c:numRef>
              <c:f>Graphs!$D$296:$X$296</c:f>
              <c:numCache>
                <c:formatCode>General</c:formatCode>
                <c:ptCount val="21"/>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numCache>
            </c:numRef>
          </c:cat>
          <c:val>
            <c:numRef>
              <c:f>Graphs!$D$304:$X$304</c:f>
              <c:numCache>
                <c:formatCode>#,##0</c:formatCode>
                <c:ptCount val="21"/>
                <c:pt idx="19">
                  <c:v>80</c:v>
                </c:pt>
                <c:pt idx="20">
                  <c:v>2070</c:v>
                </c:pt>
              </c:numCache>
            </c:numRef>
          </c:val>
          <c:extLst>
            <c:ext xmlns:c16="http://schemas.microsoft.com/office/drawing/2014/chart" uri="{C3380CC4-5D6E-409C-BE32-E72D297353CC}">
              <c16:uniqueId val="{00000007-BC6E-4729-A298-3FB42F158451}"/>
            </c:ext>
          </c:extLst>
        </c:ser>
        <c:ser>
          <c:idx val="8"/>
          <c:order val="8"/>
          <c:tx>
            <c:v>Wood and Wood Derived Fuels</c:v>
          </c:tx>
          <c:spPr>
            <a:solidFill>
              <a:srgbClr val="000080">
                <a:alpha val="30000"/>
              </a:srgbClr>
            </a:solidFill>
            <a:ln cmpd="sng">
              <a:solidFill>
                <a:srgbClr val="000080"/>
              </a:solidFill>
            </a:ln>
          </c:spPr>
          <c:cat>
            <c:numRef>
              <c:f>Graphs!$D$296:$X$296</c:f>
              <c:numCache>
                <c:formatCode>General</c:formatCode>
                <c:ptCount val="21"/>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numCache>
            </c:numRef>
          </c:cat>
          <c:val>
            <c:numRef>
              <c:f>Graphs!$D$305:$X$305</c:f>
              <c:numCache>
                <c:formatCode>#,##0</c:formatCode>
                <c:ptCount val="21"/>
                <c:pt idx="0">
                  <c:v>160602</c:v>
                </c:pt>
                <c:pt idx="1">
                  <c:v>174801</c:v>
                </c:pt>
                <c:pt idx="2">
                  <c:v>175122</c:v>
                </c:pt>
                <c:pt idx="3">
                  <c:v>168822</c:v>
                </c:pt>
                <c:pt idx="4">
                  <c:v>175144</c:v>
                </c:pt>
                <c:pt idx="5">
                  <c:v>167554</c:v>
                </c:pt>
                <c:pt idx="6">
                  <c:v>155906</c:v>
                </c:pt>
                <c:pt idx="7">
                  <c:v>155647</c:v>
                </c:pt>
                <c:pt idx="8">
                  <c:v>171088</c:v>
                </c:pt>
                <c:pt idx="9">
                  <c:v>179580</c:v>
                </c:pt>
                <c:pt idx="10">
                  <c:v>11939</c:v>
                </c:pt>
                <c:pt idx="11">
                  <c:v>182904</c:v>
                </c:pt>
                <c:pt idx="12">
                  <c:v>225240</c:v>
                </c:pt>
                <c:pt idx="13">
                  <c:v>192384</c:v>
                </c:pt>
                <c:pt idx="14">
                  <c:v>205985</c:v>
                </c:pt>
                <c:pt idx="15">
                  <c:v>218066</c:v>
                </c:pt>
                <c:pt idx="16">
                  <c:v>203097</c:v>
                </c:pt>
                <c:pt idx="17">
                  <c:v>197704</c:v>
                </c:pt>
                <c:pt idx="18">
                  <c:v>175058</c:v>
                </c:pt>
                <c:pt idx="19">
                  <c:v>164688</c:v>
                </c:pt>
                <c:pt idx="20">
                  <c:v>167437</c:v>
                </c:pt>
              </c:numCache>
            </c:numRef>
          </c:val>
          <c:extLst>
            <c:ext xmlns:c16="http://schemas.microsoft.com/office/drawing/2014/chart" uri="{C3380CC4-5D6E-409C-BE32-E72D297353CC}">
              <c16:uniqueId val="{00000008-BC6E-4729-A298-3FB42F158451}"/>
            </c:ext>
          </c:extLst>
        </c:ser>
        <c:ser>
          <c:idx val="9"/>
          <c:order val="9"/>
          <c:tx>
            <c:v>Other Biomass</c:v>
          </c:tx>
          <c:spPr>
            <a:solidFill>
              <a:srgbClr val="FF00FF">
                <a:alpha val="30000"/>
              </a:srgbClr>
            </a:solidFill>
            <a:ln cmpd="sng">
              <a:solidFill>
                <a:srgbClr val="FF00FF"/>
              </a:solidFill>
            </a:ln>
          </c:spPr>
          <c:cat>
            <c:numRef>
              <c:f>Graphs!$D$296:$X$296</c:f>
              <c:numCache>
                <c:formatCode>General</c:formatCode>
                <c:ptCount val="21"/>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numCache>
            </c:numRef>
          </c:cat>
          <c:val>
            <c:numRef>
              <c:f>Graphs!$D$306:$X$306</c:f>
              <c:numCache>
                <c:formatCode>#,##0</c:formatCode>
                <c:ptCount val="21"/>
                <c:pt idx="0">
                  <c:v>336551</c:v>
                </c:pt>
                <c:pt idx="1">
                  <c:v>329854</c:v>
                </c:pt>
                <c:pt idx="2">
                  <c:v>303818</c:v>
                </c:pt>
                <c:pt idx="3">
                  <c:v>352064</c:v>
                </c:pt>
                <c:pt idx="4">
                  <c:v>501192</c:v>
                </c:pt>
                <c:pt idx="5">
                  <c:v>565838</c:v>
                </c:pt>
                <c:pt idx="6">
                  <c:v>587592</c:v>
                </c:pt>
                <c:pt idx="7">
                  <c:v>605046</c:v>
                </c:pt>
                <c:pt idx="8">
                  <c:v>614474</c:v>
                </c:pt>
                <c:pt idx="9">
                  <c:v>638830</c:v>
                </c:pt>
                <c:pt idx="10">
                  <c:v>361076</c:v>
                </c:pt>
                <c:pt idx="11">
                  <c:v>338727</c:v>
                </c:pt>
                <c:pt idx="12">
                  <c:v>370811</c:v>
                </c:pt>
                <c:pt idx="13">
                  <c:v>396824</c:v>
                </c:pt>
                <c:pt idx="14">
                  <c:v>417380</c:v>
                </c:pt>
                <c:pt idx="15">
                  <c:v>408095</c:v>
                </c:pt>
                <c:pt idx="16">
                  <c:v>400364</c:v>
                </c:pt>
                <c:pt idx="17">
                  <c:v>414781</c:v>
                </c:pt>
                <c:pt idx="18">
                  <c:v>375721</c:v>
                </c:pt>
                <c:pt idx="19">
                  <c:v>407402</c:v>
                </c:pt>
                <c:pt idx="20">
                  <c:v>420114</c:v>
                </c:pt>
              </c:numCache>
            </c:numRef>
          </c:val>
          <c:extLst>
            <c:ext xmlns:c16="http://schemas.microsoft.com/office/drawing/2014/chart" uri="{C3380CC4-5D6E-409C-BE32-E72D297353CC}">
              <c16:uniqueId val="{00000009-BC6E-4729-A298-3FB42F158451}"/>
            </c:ext>
          </c:extLst>
        </c:ser>
        <c:ser>
          <c:idx val="10"/>
          <c:order val="10"/>
          <c:tx>
            <c:v>Other</c:v>
          </c:tx>
          <c:spPr>
            <a:solidFill>
              <a:srgbClr val="FFFF00">
                <a:alpha val="30000"/>
              </a:srgbClr>
            </a:solidFill>
            <a:ln cmpd="sng">
              <a:solidFill>
                <a:srgbClr val="FFFF00"/>
              </a:solidFill>
            </a:ln>
          </c:spPr>
          <c:cat>
            <c:numRef>
              <c:f>Graphs!$D$296:$X$296</c:f>
              <c:numCache>
                <c:formatCode>General</c:formatCode>
                <c:ptCount val="21"/>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pt idx="19">
                  <c:v>2010</c:v>
                </c:pt>
                <c:pt idx="20">
                  <c:v>2011</c:v>
                </c:pt>
              </c:numCache>
            </c:numRef>
          </c:cat>
          <c:val>
            <c:numRef>
              <c:f>Graphs!$D$307:$X$307</c:f>
              <c:numCache>
                <c:formatCode>General</c:formatCode>
                <c:ptCount val="21"/>
                <c:pt idx="10" formatCode="#,##0">
                  <c:v>247700</c:v>
                </c:pt>
                <c:pt idx="11" formatCode="#,##0">
                  <c:v>255034</c:v>
                </c:pt>
                <c:pt idx="12" formatCode="#,##0">
                  <c:v>278224</c:v>
                </c:pt>
                <c:pt idx="13" formatCode="#,##0">
                  <c:v>288616</c:v>
                </c:pt>
                <c:pt idx="14" formatCode="#,##0">
                  <c:v>293561</c:v>
                </c:pt>
                <c:pt idx="15" formatCode="#,##0">
                  <c:v>304635</c:v>
                </c:pt>
                <c:pt idx="16" formatCode="#,##0">
                  <c:v>286550</c:v>
                </c:pt>
                <c:pt idx="17" formatCode="#,##0">
                  <c:v>285645</c:v>
                </c:pt>
                <c:pt idx="18" formatCode="#,##0">
                  <c:v>255893</c:v>
                </c:pt>
                <c:pt idx="19" formatCode="#,##0">
                  <c:v>269907</c:v>
                </c:pt>
                <c:pt idx="20" formatCode="#,##0">
                  <c:v>267727</c:v>
                </c:pt>
              </c:numCache>
            </c:numRef>
          </c:val>
          <c:extLst>
            <c:ext xmlns:c16="http://schemas.microsoft.com/office/drawing/2014/chart" uri="{C3380CC4-5D6E-409C-BE32-E72D297353CC}">
              <c16:uniqueId val="{0000000A-BC6E-4729-A298-3FB42F158451}"/>
            </c:ext>
          </c:extLst>
        </c:ser>
        <c:dLbls>
          <c:showLegendKey val="0"/>
          <c:showVal val="0"/>
          <c:showCatName val="0"/>
          <c:showSerName val="0"/>
          <c:showPercent val="0"/>
          <c:showBubbleSize val="0"/>
        </c:dLbls>
        <c:axId val="1639098910"/>
        <c:axId val="1715365128"/>
      </c:areaChart>
      <c:catAx>
        <c:axId val="1639098910"/>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spPr>
          <a:ln>
            <a:noFill/>
          </a:ln>
        </c:spPr>
        <c:txPr>
          <a:bodyPr/>
          <a:lstStyle/>
          <a:p>
            <a:pPr lvl="0">
              <a:defRPr b="0" i="0">
                <a:solidFill>
                  <a:srgbClr val="000000"/>
                </a:solidFill>
                <a:latin typeface="+mn-lt"/>
              </a:defRPr>
            </a:pPr>
            <a:endParaRPr lang="en-US"/>
          </a:p>
        </c:txPr>
        <c:crossAx val="1715365128"/>
        <c:crosses val="autoZero"/>
        <c:auto val="1"/>
        <c:lblAlgn val="ctr"/>
        <c:lblOffset val="100"/>
        <c:noMultiLvlLbl val="1"/>
      </c:catAx>
      <c:valAx>
        <c:axId val="1715365128"/>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a:p>
            </c:rich>
          </c:tx>
          <c:overlay val="0"/>
        </c:title>
        <c:numFmt formatCode="#,##0" sourceLinked="1"/>
        <c:majorTickMark val="none"/>
        <c:minorTickMark val="none"/>
        <c:tickLblPos val="nextTo"/>
        <c:spPr>
          <a:ln>
            <a:noFill/>
          </a:ln>
        </c:spPr>
        <c:txPr>
          <a:bodyPr/>
          <a:lstStyle/>
          <a:p>
            <a:pPr lvl="0">
              <a:defRPr b="0" i="0">
                <a:solidFill>
                  <a:srgbClr val="000000"/>
                </a:solidFill>
                <a:latin typeface="+mn-lt"/>
              </a:defRPr>
            </a:pPr>
            <a:endParaRPr lang="en-US"/>
          </a:p>
        </c:txPr>
        <c:crossAx val="1639098910"/>
        <c:crosses val="autoZero"/>
        <c:crossBetween val="midCat"/>
      </c:valAx>
    </c:plotArea>
    <c:legend>
      <c:legendPos val="t"/>
      <c:overlay val="0"/>
      <c:txPr>
        <a:bodyPr/>
        <a:lstStyle/>
        <a:p>
          <a:pPr lvl="0">
            <a:defRPr b="0" i="0">
              <a:solidFill>
                <a:srgbClr val="1A1A1A"/>
              </a:solidFill>
              <a:latin typeface="+mn-lt"/>
            </a:defRPr>
          </a:pPr>
          <a:endParaRPr lang="en-US"/>
        </a:p>
      </c:txPr>
    </c:legend>
    <c:plotVisOnly val="1"/>
    <c:dispBlanksAs val="zero"/>
    <c:showDLblsOverMax val="1"/>
  </c:chart>
  <c:spPr>
    <a:solidFill>
      <a:srgbClr val="FFFFFF"/>
    </a:solidFill>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200" b="1" i="0">
                <a:solidFill>
                  <a:srgbClr val="000000"/>
                </a:solidFill>
                <a:latin typeface="+mn-lt"/>
              </a:defRPr>
            </a:pPr>
            <a:r>
              <a:rPr sz="1200" b="1" i="0">
                <a:solidFill>
                  <a:srgbClr val="000000"/>
                </a:solidFill>
                <a:latin typeface="+mn-lt"/>
              </a:rPr>
              <a:t>2011 GHG Emissions by Sector</a:t>
            </a:r>
          </a:p>
        </c:rich>
      </c:tx>
      <c:overlay val="0"/>
    </c:title>
    <c:autoTitleDeleted val="0"/>
    <c:view3D>
      <c:rotX val="50"/>
      <c:rotY val="0"/>
      <c:rAngAx val="1"/>
    </c:view3D>
    <c:floor>
      <c:thickness val="0"/>
    </c:floor>
    <c:sideWall>
      <c:thickness val="0"/>
    </c:sideWall>
    <c:backWall>
      <c:thickness val="0"/>
    </c:backWall>
    <c:plotArea>
      <c:layout/>
      <c:pie3DChart>
        <c:varyColors val="1"/>
        <c:ser>
          <c:idx val="0"/>
          <c:order val="0"/>
          <c:dPt>
            <c:idx val="0"/>
            <c:bubble3D val="0"/>
            <c:spPr>
              <a:solidFill>
                <a:srgbClr val="9999FF"/>
              </a:solidFill>
            </c:spPr>
            <c:extLst>
              <c:ext xmlns:c16="http://schemas.microsoft.com/office/drawing/2014/chart" uri="{C3380CC4-5D6E-409C-BE32-E72D297353CC}">
                <c16:uniqueId val="{00000001-913B-45B4-BB27-68ABA2AE4D8D}"/>
              </c:ext>
            </c:extLst>
          </c:dPt>
          <c:dPt>
            <c:idx val="1"/>
            <c:bubble3D val="0"/>
            <c:spPr>
              <a:solidFill>
                <a:srgbClr val="993366"/>
              </a:solidFill>
            </c:spPr>
            <c:extLst>
              <c:ext xmlns:c16="http://schemas.microsoft.com/office/drawing/2014/chart" uri="{C3380CC4-5D6E-409C-BE32-E72D297353CC}">
                <c16:uniqueId val="{00000003-913B-45B4-BB27-68ABA2AE4D8D}"/>
              </c:ext>
            </c:extLst>
          </c:dPt>
          <c:dPt>
            <c:idx val="2"/>
            <c:bubble3D val="0"/>
            <c:spPr>
              <a:solidFill>
                <a:srgbClr val="FFFFCC"/>
              </a:solidFill>
            </c:spPr>
            <c:extLst>
              <c:ext xmlns:c16="http://schemas.microsoft.com/office/drawing/2014/chart" uri="{C3380CC4-5D6E-409C-BE32-E72D297353CC}">
                <c16:uniqueId val="{00000005-913B-45B4-BB27-68ABA2AE4D8D}"/>
              </c:ext>
            </c:extLst>
          </c:dPt>
          <c:dPt>
            <c:idx val="3"/>
            <c:bubble3D val="0"/>
            <c:spPr>
              <a:solidFill>
                <a:srgbClr val="CCFFFF"/>
              </a:solidFill>
            </c:spPr>
            <c:extLst>
              <c:ext xmlns:c16="http://schemas.microsoft.com/office/drawing/2014/chart" uri="{C3380CC4-5D6E-409C-BE32-E72D297353CC}">
                <c16:uniqueId val="{00000007-913B-45B4-BB27-68ABA2AE4D8D}"/>
              </c:ext>
            </c:extLst>
          </c:dPt>
          <c:dPt>
            <c:idx val="4"/>
            <c:bubble3D val="0"/>
            <c:spPr>
              <a:solidFill>
                <a:srgbClr val="660066"/>
              </a:solidFill>
            </c:spPr>
            <c:extLst>
              <c:ext xmlns:c16="http://schemas.microsoft.com/office/drawing/2014/chart" uri="{C3380CC4-5D6E-409C-BE32-E72D297353CC}">
                <c16:uniqueId val="{00000009-913B-45B4-BB27-68ABA2AE4D8D}"/>
              </c:ext>
            </c:extLst>
          </c:dPt>
          <c:dPt>
            <c:idx val="5"/>
            <c:bubble3D val="0"/>
            <c:spPr>
              <a:solidFill>
                <a:srgbClr val="FF8080"/>
              </a:solidFill>
            </c:spPr>
            <c:extLst>
              <c:ext xmlns:c16="http://schemas.microsoft.com/office/drawing/2014/chart" uri="{C3380CC4-5D6E-409C-BE32-E72D297353CC}">
                <c16:uniqueId val="{0000000B-913B-45B4-BB27-68ABA2AE4D8D}"/>
              </c:ext>
            </c:extLst>
          </c:dPt>
          <c:dPt>
            <c:idx val="6"/>
            <c:bubble3D val="0"/>
            <c:spPr>
              <a:solidFill>
                <a:srgbClr val="0066CC"/>
              </a:solidFill>
            </c:spPr>
            <c:extLst>
              <c:ext xmlns:c16="http://schemas.microsoft.com/office/drawing/2014/chart" uri="{C3380CC4-5D6E-409C-BE32-E72D297353CC}">
                <c16:uniqueId val="{0000000D-913B-45B4-BB27-68ABA2AE4D8D}"/>
              </c:ext>
            </c:extLst>
          </c:dPt>
          <c:dPt>
            <c:idx val="7"/>
            <c:bubble3D val="0"/>
            <c:spPr>
              <a:solidFill>
                <a:srgbClr val="CCCCFF"/>
              </a:solidFill>
            </c:spPr>
            <c:extLst>
              <c:ext xmlns:c16="http://schemas.microsoft.com/office/drawing/2014/chart" uri="{C3380CC4-5D6E-409C-BE32-E72D297353CC}">
                <c16:uniqueId val="{0000000F-913B-45B4-BB27-68ABA2AE4D8D}"/>
              </c:ext>
            </c:extLst>
          </c:dPt>
          <c:dLbls>
            <c:spPr>
              <a:noFill/>
              <a:ln>
                <a:noFill/>
              </a:ln>
              <a:effectLst/>
            </c:spPr>
            <c:showLegendKey val="0"/>
            <c:showVal val="0"/>
            <c:showCatName val="0"/>
            <c:showSerName val="0"/>
            <c:showPercent val="1"/>
            <c:showBubbleSize val="0"/>
            <c:showLeaderLines val="1"/>
            <c:extLst>
              <c:ext xmlns:c15="http://schemas.microsoft.com/office/drawing/2012/chart" uri="{CE6537A1-D6FC-4f65-9D91-7224C49458BB}"/>
            </c:extLst>
          </c:dLbls>
          <c:cat>
            <c:strRef>
              <c:f>Summary!$C$187:$C$194</c:f>
              <c:strCache>
                <c:ptCount val="8"/>
                <c:pt idx="0">
                  <c:v>Electricity Use (Consumption)</c:v>
                </c:pt>
                <c:pt idx="1">
                  <c:v>RCI Fuel Use</c:v>
                </c:pt>
                <c:pt idx="2">
                  <c:v>Transportation - Onroad</c:v>
                </c:pt>
                <c:pt idx="3">
                  <c:v>Transportation - Nonroad</c:v>
                </c:pt>
                <c:pt idx="4">
                  <c:v>Fossil Fuel Industry</c:v>
                </c:pt>
                <c:pt idx="5">
                  <c:v>Industrial Processes and Product Use</c:v>
                </c:pt>
                <c:pt idx="6">
                  <c:v>Agriculture</c:v>
                </c:pt>
                <c:pt idx="7">
                  <c:v>Waste Management</c:v>
                </c:pt>
              </c:strCache>
            </c:strRef>
          </c:cat>
          <c:val>
            <c:numRef>
              <c:f>Summary!$E$187:$E$194</c:f>
              <c:numCache>
                <c:formatCode>0.0000</c:formatCode>
                <c:ptCount val="8"/>
                <c:pt idx="0">
                  <c:v>37.853674777544299</c:v>
                </c:pt>
                <c:pt idx="1">
                  <c:v>15.084988088347371</c:v>
                </c:pt>
                <c:pt idx="2">
                  <c:v>28.249069439623398</c:v>
                </c:pt>
                <c:pt idx="3">
                  <c:v>8.3427059528844474</c:v>
                </c:pt>
                <c:pt idx="4">
                  <c:v>1.4070749186369684</c:v>
                </c:pt>
                <c:pt idx="5">
                  <c:v>4.6771566921314509</c:v>
                </c:pt>
                <c:pt idx="6">
                  <c:v>1.7796723314120297</c:v>
                </c:pt>
                <c:pt idx="7">
                  <c:v>4.6350298746454994</c:v>
                </c:pt>
              </c:numCache>
            </c:numRef>
          </c:val>
          <c:extLst>
            <c:ext xmlns:c16="http://schemas.microsoft.com/office/drawing/2014/chart" uri="{C3380CC4-5D6E-409C-BE32-E72D297353CC}">
              <c16:uniqueId val="{00000010-913B-45B4-BB27-68ABA2AE4D8D}"/>
            </c:ext>
          </c:extLst>
        </c:ser>
        <c:dLbls>
          <c:showLegendKey val="0"/>
          <c:showVal val="0"/>
          <c:showCatName val="0"/>
          <c:showSerName val="0"/>
          <c:showPercent val="0"/>
          <c:showBubbleSize val="0"/>
          <c:showLeaderLines val="1"/>
        </c:dLbls>
      </c:pie3DChart>
    </c:plotArea>
    <c:plotVisOnly val="1"/>
    <c:dispBlanksAs val="zero"/>
    <c:showDLblsOverMax val="1"/>
  </c:chart>
  <c:spPr>
    <a:solidFill>
      <a:srgbClr val="FFFFFF"/>
    </a:solidFill>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title>
      <c:tx>
        <c:rich>
          <a:bodyPr/>
          <a:lstStyle/>
          <a:p>
            <a:pPr lvl="0">
              <a:defRPr sz="1200" b="1" i="0">
                <a:solidFill>
                  <a:srgbClr val="000000"/>
                </a:solidFill>
                <a:latin typeface="+mn-lt"/>
              </a:defRPr>
            </a:pPr>
            <a:r>
              <a:rPr sz="1200" b="1" i="0">
                <a:solidFill>
                  <a:srgbClr val="000000"/>
                </a:solidFill>
                <a:latin typeface="+mn-lt"/>
              </a:rPr>
              <a:t>Primary Energy Use At Maryland Power Stations,Plus Import</a:t>
            </a:r>
          </a:p>
        </c:rich>
      </c:tx>
      <c:overlay val="0"/>
    </c:title>
    <c:autoTitleDeleted val="0"/>
    <c:plotArea>
      <c:layout/>
      <c:areaChart>
        <c:grouping val="stacked"/>
        <c:varyColors val="1"/>
        <c:ser>
          <c:idx val="0"/>
          <c:order val="0"/>
          <c:tx>
            <c:v>Coal </c:v>
          </c:tx>
          <c:spPr>
            <a:solidFill>
              <a:srgbClr val="9999FF">
                <a:alpha val="30000"/>
              </a:srgbClr>
            </a:solidFill>
            <a:ln cmpd="sng">
              <a:solidFill>
                <a:srgbClr val="9999FF"/>
              </a:solidFill>
            </a:ln>
          </c:spPr>
          <c:cat>
            <c:strRef>
              <c:f>Graphs!$E$316:$P$316</c:f>
              <c:strCache>
                <c:ptCount val="12"/>
                <c:pt idx="0">
                  <c:v>2000</c:v>
                </c:pt>
                <c:pt idx="1">
                  <c:v>2001</c:v>
                </c:pt>
                <c:pt idx="2">
                  <c:v>2002</c:v>
                </c:pt>
                <c:pt idx="3">
                  <c:v>2003</c:v>
                </c:pt>
                <c:pt idx="4">
                  <c:v>2004</c:v>
                </c:pt>
                <c:pt idx="5">
                  <c:v>2005</c:v>
                </c:pt>
                <c:pt idx="6">
                  <c:v>2006</c:v>
                </c:pt>
                <c:pt idx="7">
                  <c:v>2007</c:v>
                </c:pt>
                <c:pt idx="8">
                  <c:v>2008</c:v>
                </c:pt>
                <c:pt idx="9">
                  <c:v>2009</c:v>
                </c:pt>
                <c:pt idx="10">
                  <c:v>2010</c:v>
                </c:pt>
                <c:pt idx="11">
                  <c:v>2011</c:v>
                </c:pt>
              </c:strCache>
            </c:strRef>
          </c:cat>
          <c:val>
            <c:numRef>
              <c:f>Graphs!$E$317:$P$317</c:f>
              <c:numCache>
                <c:formatCode>_(* #,##0_);_(* \(#,##0\);_(* "-"??_);_(@_)</c:formatCode>
                <c:ptCount val="12"/>
                <c:pt idx="0">
                  <c:v>289747</c:v>
                </c:pt>
                <c:pt idx="1">
                  <c:v>283345</c:v>
                </c:pt>
                <c:pt idx="2">
                  <c:v>291706</c:v>
                </c:pt>
                <c:pt idx="3">
                  <c:v>297613</c:v>
                </c:pt>
                <c:pt idx="4">
                  <c:v>291315</c:v>
                </c:pt>
                <c:pt idx="5">
                  <c:v>295546</c:v>
                </c:pt>
                <c:pt idx="6">
                  <c:v>293181</c:v>
                </c:pt>
                <c:pt idx="7">
                  <c:v>297200</c:v>
                </c:pt>
                <c:pt idx="8">
                  <c:v>279847</c:v>
                </c:pt>
                <c:pt idx="9">
                  <c:v>243998</c:v>
                </c:pt>
                <c:pt idx="10">
                  <c:v>242944</c:v>
                </c:pt>
                <c:pt idx="11" formatCode="_(* #,##0_);_(* \(#,##0\);_(* \-??_);_(@_)">
                  <c:v>218918</c:v>
                </c:pt>
              </c:numCache>
            </c:numRef>
          </c:val>
          <c:extLst>
            <c:ext xmlns:c16="http://schemas.microsoft.com/office/drawing/2014/chart" uri="{C3380CC4-5D6E-409C-BE32-E72D297353CC}">
              <c16:uniqueId val="{00000000-8C3E-4C21-87F6-0C1C7F418356}"/>
            </c:ext>
          </c:extLst>
        </c:ser>
        <c:ser>
          <c:idx val="1"/>
          <c:order val="1"/>
          <c:tx>
            <c:v>DistillateFuel Oil</c:v>
          </c:tx>
          <c:spPr>
            <a:solidFill>
              <a:srgbClr val="993366">
                <a:alpha val="30000"/>
              </a:srgbClr>
            </a:solidFill>
            <a:ln cmpd="sng">
              <a:solidFill>
                <a:srgbClr val="993366"/>
              </a:solidFill>
            </a:ln>
          </c:spPr>
          <c:cat>
            <c:strRef>
              <c:f>Graphs!$E$316:$P$316</c:f>
              <c:strCache>
                <c:ptCount val="12"/>
                <c:pt idx="0">
                  <c:v>2000</c:v>
                </c:pt>
                <c:pt idx="1">
                  <c:v>2001</c:v>
                </c:pt>
                <c:pt idx="2">
                  <c:v>2002</c:v>
                </c:pt>
                <c:pt idx="3">
                  <c:v>2003</c:v>
                </c:pt>
                <c:pt idx="4">
                  <c:v>2004</c:v>
                </c:pt>
                <c:pt idx="5">
                  <c:v>2005</c:v>
                </c:pt>
                <c:pt idx="6">
                  <c:v>2006</c:v>
                </c:pt>
                <c:pt idx="7">
                  <c:v>2007</c:v>
                </c:pt>
                <c:pt idx="8">
                  <c:v>2008</c:v>
                </c:pt>
                <c:pt idx="9">
                  <c:v>2009</c:v>
                </c:pt>
                <c:pt idx="10">
                  <c:v>2010</c:v>
                </c:pt>
                <c:pt idx="11">
                  <c:v>2011</c:v>
                </c:pt>
              </c:strCache>
            </c:strRef>
          </c:cat>
          <c:val>
            <c:numRef>
              <c:f>Graphs!$E$318:$P$318</c:f>
              <c:numCache>
                <c:formatCode>_(* #,##0_);_(* \(#,##0\);_(* "-"??_);_(@_)</c:formatCode>
                <c:ptCount val="12"/>
                <c:pt idx="0">
                  <c:v>3390</c:v>
                </c:pt>
                <c:pt idx="1">
                  <c:v>5684</c:v>
                </c:pt>
                <c:pt idx="2">
                  <c:v>4132</c:v>
                </c:pt>
                <c:pt idx="3">
                  <c:v>6721</c:v>
                </c:pt>
                <c:pt idx="4">
                  <c:v>6626</c:v>
                </c:pt>
                <c:pt idx="5">
                  <c:v>6968</c:v>
                </c:pt>
                <c:pt idx="6">
                  <c:v>2618</c:v>
                </c:pt>
                <c:pt idx="7">
                  <c:v>4450</c:v>
                </c:pt>
                <c:pt idx="8">
                  <c:v>2972</c:v>
                </c:pt>
                <c:pt idx="9">
                  <c:v>2042</c:v>
                </c:pt>
                <c:pt idx="10">
                  <c:v>2980</c:v>
                </c:pt>
                <c:pt idx="11" formatCode="_(* #,##0_);_(* \(#,##0\);_(* \-??_);_(@_)">
                  <c:v>2026</c:v>
                </c:pt>
              </c:numCache>
            </c:numRef>
          </c:val>
          <c:extLst>
            <c:ext xmlns:c16="http://schemas.microsoft.com/office/drawing/2014/chart" uri="{C3380CC4-5D6E-409C-BE32-E72D297353CC}">
              <c16:uniqueId val="{00000001-8C3E-4C21-87F6-0C1C7F418356}"/>
            </c:ext>
          </c:extLst>
        </c:ser>
        <c:ser>
          <c:idx val="2"/>
          <c:order val="2"/>
          <c:tx>
            <c:v>Natural Gas </c:v>
          </c:tx>
          <c:spPr>
            <a:solidFill>
              <a:srgbClr val="FFFFCC">
                <a:alpha val="30000"/>
              </a:srgbClr>
            </a:solidFill>
            <a:ln cmpd="sng">
              <a:solidFill>
                <a:srgbClr val="FFFFCC"/>
              </a:solidFill>
            </a:ln>
          </c:spPr>
          <c:cat>
            <c:strRef>
              <c:f>Graphs!$E$316:$P$316</c:f>
              <c:strCache>
                <c:ptCount val="12"/>
                <c:pt idx="0">
                  <c:v>2000</c:v>
                </c:pt>
                <c:pt idx="1">
                  <c:v>2001</c:v>
                </c:pt>
                <c:pt idx="2">
                  <c:v>2002</c:v>
                </c:pt>
                <c:pt idx="3">
                  <c:v>2003</c:v>
                </c:pt>
                <c:pt idx="4">
                  <c:v>2004</c:v>
                </c:pt>
                <c:pt idx="5">
                  <c:v>2005</c:v>
                </c:pt>
                <c:pt idx="6">
                  <c:v>2006</c:v>
                </c:pt>
                <c:pt idx="7">
                  <c:v>2007</c:v>
                </c:pt>
                <c:pt idx="8">
                  <c:v>2008</c:v>
                </c:pt>
                <c:pt idx="9">
                  <c:v>2009</c:v>
                </c:pt>
                <c:pt idx="10">
                  <c:v>2010</c:v>
                </c:pt>
                <c:pt idx="11">
                  <c:v>2011</c:v>
                </c:pt>
              </c:strCache>
            </c:strRef>
          </c:cat>
          <c:val>
            <c:numRef>
              <c:f>Graphs!$E$319:$P$319</c:f>
              <c:numCache>
                <c:formatCode>_(* #,##0_);_(* \(#,##0\);_(* "-"??_);_(@_)</c:formatCode>
                <c:ptCount val="12"/>
                <c:pt idx="0">
                  <c:v>30073</c:v>
                </c:pt>
                <c:pt idx="1">
                  <c:v>18078</c:v>
                </c:pt>
                <c:pt idx="2">
                  <c:v>23215</c:v>
                </c:pt>
                <c:pt idx="3">
                  <c:v>11400</c:v>
                </c:pt>
                <c:pt idx="4">
                  <c:v>12524</c:v>
                </c:pt>
                <c:pt idx="5">
                  <c:v>21431</c:v>
                </c:pt>
                <c:pt idx="6">
                  <c:v>22841</c:v>
                </c:pt>
                <c:pt idx="7">
                  <c:v>24080</c:v>
                </c:pt>
                <c:pt idx="8">
                  <c:v>20518</c:v>
                </c:pt>
                <c:pt idx="9">
                  <c:v>18887</c:v>
                </c:pt>
                <c:pt idx="10">
                  <c:v>31758</c:v>
                </c:pt>
                <c:pt idx="11" formatCode="_(* #,##0_);_(* \(#,##0\);_(* \-??_);_(@_)">
                  <c:v>21577</c:v>
                </c:pt>
              </c:numCache>
            </c:numRef>
          </c:val>
          <c:extLst>
            <c:ext xmlns:c16="http://schemas.microsoft.com/office/drawing/2014/chart" uri="{C3380CC4-5D6E-409C-BE32-E72D297353CC}">
              <c16:uniqueId val="{00000002-8C3E-4C21-87F6-0C1C7F418356}"/>
            </c:ext>
          </c:extLst>
        </c:ser>
        <c:ser>
          <c:idx val="3"/>
          <c:order val="3"/>
          <c:tx>
            <c:v>Nuclear Power.</c:v>
          </c:tx>
          <c:spPr>
            <a:solidFill>
              <a:srgbClr val="CCFFFF">
                <a:alpha val="30000"/>
              </a:srgbClr>
            </a:solidFill>
            <a:ln cmpd="sng">
              <a:solidFill>
                <a:srgbClr val="CCFFFF"/>
              </a:solidFill>
            </a:ln>
          </c:spPr>
          <c:cat>
            <c:strRef>
              <c:f>Graphs!$E$316:$P$316</c:f>
              <c:strCache>
                <c:ptCount val="12"/>
                <c:pt idx="0">
                  <c:v>2000</c:v>
                </c:pt>
                <c:pt idx="1">
                  <c:v>2001</c:v>
                </c:pt>
                <c:pt idx="2">
                  <c:v>2002</c:v>
                </c:pt>
                <c:pt idx="3">
                  <c:v>2003</c:v>
                </c:pt>
                <c:pt idx="4">
                  <c:v>2004</c:v>
                </c:pt>
                <c:pt idx="5">
                  <c:v>2005</c:v>
                </c:pt>
                <c:pt idx="6">
                  <c:v>2006</c:v>
                </c:pt>
                <c:pt idx="7">
                  <c:v>2007</c:v>
                </c:pt>
                <c:pt idx="8">
                  <c:v>2008</c:v>
                </c:pt>
                <c:pt idx="9">
                  <c:v>2009</c:v>
                </c:pt>
                <c:pt idx="10">
                  <c:v>2010</c:v>
                </c:pt>
                <c:pt idx="11">
                  <c:v>2011</c:v>
                </c:pt>
              </c:strCache>
            </c:strRef>
          </c:cat>
          <c:val>
            <c:numRef>
              <c:f>Graphs!$E$320:$P$320</c:f>
              <c:numCache>
                <c:formatCode>_(* #,##0_);_(* \(#,##0\);_(* "-"??_);_(@_)</c:formatCode>
                <c:ptCount val="12"/>
                <c:pt idx="0">
                  <c:v>144204</c:v>
                </c:pt>
                <c:pt idx="1">
                  <c:v>142612</c:v>
                </c:pt>
                <c:pt idx="2">
                  <c:v>126641</c:v>
                </c:pt>
                <c:pt idx="3">
                  <c:v>142671</c:v>
                </c:pt>
                <c:pt idx="4">
                  <c:v>152028</c:v>
                </c:pt>
                <c:pt idx="5">
                  <c:v>153443</c:v>
                </c:pt>
                <c:pt idx="6">
                  <c:v>144334</c:v>
                </c:pt>
                <c:pt idx="7">
                  <c:v>150493</c:v>
                </c:pt>
                <c:pt idx="8">
                  <c:v>153436</c:v>
                </c:pt>
                <c:pt idx="9">
                  <c:v>152194</c:v>
                </c:pt>
                <c:pt idx="10">
                  <c:v>146265</c:v>
                </c:pt>
                <c:pt idx="11" formatCode="_(* #,##0_);_(* \(#,##0\);_(* \-??_);_(@_)">
                  <c:v>150655</c:v>
                </c:pt>
              </c:numCache>
            </c:numRef>
          </c:val>
          <c:extLst>
            <c:ext xmlns:c16="http://schemas.microsoft.com/office/drawing/2014/chart" uri="{C3380CC4-5D6E-409C-BE32-E72D297353CC}">
              <c16:uniqueId val="{00000003-8C3E-4C21-87F6-0C1C7F418356}"/>
            </c:ext>
          </c:extLst>
        </c:ser>
        <c:ser>
          <c:idx val="4"/>
          <c:order val="4"/>
          <c:tx>
            <c:v>Residual Fuel </c:v>
          </c:tx>
          <c:spPr>
            <a:solidFill>
              <a:srgbClr val="660066">
                <a:alpha val="30000"/>
              </a:srgbClr>
            </a:solidFill>
            <a:ln cmpd="sng">
              <a:solidFill>
                <a:srgbClr val="660066"/>
              </a:solidFill>
            </a:ln>
          </c:spPr>
          <c:cat>
            <c:strRef>
              <c:f>Graphs!$E$316:$P$316</c:f>
              <c:strCache>
                <c:ptCount val="12"/>
                <c:pt idx="0">
                  <c:v>2000</c:v>
                </c:pt>
                <c:pt idx="1">
                  <c:v>2001</c:v>
                </c:pt>
                <c:pt idx="2">
                  <c:v>2002</c:v>
                </c:pt>
                <c:pt idx="3">
                  <c:v>2003</c:v>
                </c:pt>
                <c:pt idx="4">
                  <c:v>2004</c:v>
                </c:pt>
                <c:pt idx="5">
                  <c:v>2005</c:v>
                </c:pt>
                <c:pt idx="6">
                  <c:v>2006</c:v>
                </c:pt>
                <c:pt idx="7">
                  <c:v>2007</c:v>
                </c:pt>
                <c:pt idx="8">
                  <c:v>2008</c:v>
                </c:pt>
                <c:pt idx="9">
                  <c:v>2009</c:v>
                </c:pt>
                <c:pt idx="10">
                  <c:v>2010</c:v>
                </c:pt>
                <c:pt idx="11">
                  <c:v>2011</c:v>
                </c:pt>
              </c:strCache>
            </c:strRef>
          </c:cat>
          <c:val>
            <c:numRef>
              <c:f>Graphs!$E$321:$P$321</c:f>
              <c:numCache>
                <c:formatCode>_(* #,##0_);_(* \(#,##0\);_(* "-"??_);_(@_)</c:formatCode>
                <c:ptCount val="12"/>
                <c:pt idx="0">
                  <c:v>23472</c:v>
                </c:pt>
                <c:pt idx="1">
                  <c:v>28855</c:v>
                </c:pt>
                <c:pt idx="2">
                  <c:v>21385</c:v>
                </c:pt>
                <c:pt idx="3">
                  <c:v>31573</c:v>
                </c:pt>
                <c:pt idx="4">
                  <c:v>28394</c:v>
                </c:pt>
                <c:pt idx="5">
                  <c:v>33496</c:v>
                </c:pt>
                <c:pt idx="6">
                  <c:v>3736</c:v>
                </c:pt>
                <c:pt idx="7">
                  <c:v>6567</c:v>
                </c:pt>
                <c:pt idx="8">
                  <c:v>1909</c:v>
                </c:pt>
                <c:pt idx="9">
                  <c:v>1758</c:v>
                </c:pt>
                <c:pt idx="10">
                  <c:v>872</c:v>
                </c:pt>
                <c:pt idx="11" formatCode="_(* #,##0_);_(* \(#,##0\);_(* \-??_);_(@_)">
                  <c:v>732</c:v>
                </c:pt>
              </c:numCache>
            </c:numRef>
          </c:val>
          <c:extLst>
            <c:ext xmlns:c16="http://schemas.microsoft.com/office/drawing/2014/chart" uri="{C3380CC4-5D6E-409C-BE32-E72D297353CC}">
              <c16:uniqueId val="{00000004-8C3E-4C21-87F6-0C1C7F418356}"/>
            </c:ext>
          </c:extLst>
        </c:ser>
        <c:ser>
          <c:idx val="5"/>
          <c:order val="5"/>
          <c:tx>
            <c:v>Supplemental Gaseous Fuels </c:v>
          </c:tx>
          <c:spPr>
            <a:solidFill>
              <a:srgbClr val="FF8080">
                <a:alpha val="30000"/>
              </a:srgbClr>
            </a:solidFill>
            <a:ln cmpd="sng">
              <a:solidFill>
                <a:srgbClr val="FF8080"/>
              </a:solidFill>
            </a:ln>
          </c:spPr>
          <c:cat>
            <c:strRef>
              <c:f>Graphs!$E$316:$P$316</c:f>
              <c:strCache>
                <c:ptCount val="12"/>
                <c:pt idx="0">
                  <c:v>2000</c:v>
                </c:pt>
                <c:pt idx="1">
                  <c:v>2001</c:v>
                </c:pt>
                <c:pt idx="2">
                  <c:v>2002</c:v>
                </c:pt>
                <c:pt idx="3">
                  <c:v>2003</c:v>
                </c:pt>
                <c:pt idx="4">
                  <c:v>2004</c:v>
                </c:pt>
                <c:pt idx="5">
                  <c:v>2005</c:v>
                </c:pt>
                <c:pt idx="6">
                  <c:v>2006</c:v>
                </c:pt>
                <c:pt idx="7">
                  <c:v>2007</c:v>
                </c:pt>
                <c:pt idx="8">
                  <c:v>2008</c:v>
                </c:pt>
                <c:pt idx="9">
                  <c:v>2009</c:v>
                </c:pt>
                <c:pt idx="10">
                  <c:v>2010</c:v>
                </c:pt>
                <c:pt idx="11">
                  <c:v>2011</c:v>
                </c:pt>
              </c:strCache>
            </c:strRef>
          </c:cat>
          <c:val>
            <c:numRef>
              <c:f>Graphs!$E$322:$P$322</c:f>
              <c:numCache>
                <c:formatCode>_(* #,##0_);_(* \(#,##0\);_(* "-"??_);_(@_)</c:formatCode>
                <c:ptCount val="12"/>
                <c:pt idx="0">
                  <c:v>46</c:v>
                </c:pt>
                <c:pt idx="1">
                  <c:v>19</c:v>
                </c:pt>
                <c:pt idx="2">
                  <c:v>6</c:v>
                </c:pt>
                <c:pt idx="3">
                  <c:v>9</c:v>
                </c:pt>
                <c:pt idx="4">
                  <c:v>8</c:v>
                </c:pt>
                <c:pt idx="5">
                  <c:v>41</c:v>
                </c:pt>
                <c:pt idx="6">
                  <c:v>5</c:v>
                </c:pt>
                <c:pt idx="7">
                  <c:v>30</c:v>
                </c:pt>
                <c:pt idx="8">
                  <c:v>19</c:v>
                </c:pt>
                <c:pt idx="9">
                  <c:v>17</c:v>
                </c:pt>
                <c:pt idx="10">
                  <c:v>18</c:v>
                </c:pt>
                <c:pt idx="11" formatCode="_(* #,##0_);_(* \(#,##0\);_(* \-??_);_(@_)">
                  <c:v>10</c:v>
                </c:pt>
              </c:numCache>
            </c:numRef>
          </c:val>
          <c:extLst>
            <c:ext xmlns:c16="http://schemas.microsoft.com/office/drawing/2014/chart" uri="{C3380CC4-5D6E-409C-BE32-E72D297353CC}">
              <c16:uniqueId val="{00000005-8C3E-4C21-87F6-0C1C7F418356}"/>
            </c:ext>
          </c:extLst>
        </c:ser>
        <c:ser>
          <c:idx val="6"/>
          <c:order val="6"/>
          <c:tx>
            <c:v>Photovoltaic and Solar thermal Energy </c:v>
          </c:tx>
          <c:spPr>
            <a:solidFill>
              <a:srgbClr val="0066CC">
                <a:alpha val="30000"/>
              </a:srgbClr>
            </a:solidFill>
            <a:ln cmpd="sng">
              <a:solidFill>
                <a:srgbClr val="0066CC"/>
              </a:solidFill>
            </a:ln>
          </c:spPr>
          <c:cat>
            <c:strRef>
              <c:f>Graphs!$E$316:$P$316</c:f>
              <c:strCache>
                <c:ptCount val="12"/>
                <c:pt idx="0">
                  <c:v>2000</c:v>
                </c:pt>
                <c:pt idx="1">
                  <c:v>2001</c:v>
                </c:pt>
                <c:pt idx="2">
                  <c:v>2002</c:v>
                </c:pt>
                <c:pt idx="3">
                  <c:v>2003</c:v>
                </c:pt>
                <c:pt idx="4">
                  <c:v>2004</c:v>
                </c:pt>
                <c:pt idx="5">
                  <c:v>2005</c:v>
                </c:pt>
                <c:pt idx="6">
                  <c:v>2006</c:v>
                </c:pt>
                <c:pt idx="7">
                  <c:v>2007</c:v>
                </c:pt>
                <c:pt idx="8">
                  <c:v>2008</c:v>
                </c:pt>
                <c:pt idx="9">
                  <c:v>2009</c:v>
                </c:pt>
                <c:pt idx="10">
                  <c:v>2010</c:v>
                </c:pt>
                <c:pt idx="11">
                  <c:v>2011</c:v>
                </c:pt>
              </c:strCache>
            </c:strRef>
          </c:cat>
          <c:val>
            <c:numRef>
              <c:f>Graphs!$E$323:$P$323</c:f>
              <c:numCache>
                <c:formatCode>_(* #,##0_);_(* \(#,##0\);_(* "-"??_);_(@_)</c:formatCode>
                <c:ptCount val="12"/>
                <c:pt idx="0">
                  <c:v>46</c:v>
                </c:pt>
                <c:pt idx="1">
                  <c:v>43</c:v>
                </c:pt>
                <c:pt idx="2">
                  <c:v>42</c:v>
                </c:pt>
                <c:pt idx="3">
                  <c:v>40</c:v>
                </c:pt>
                <c:pt idx="4">
                  <c:v>69</c:v>
                </c:pt>
                <c:pt idx="5">
                  <c:v>76</c:v>
                </c:pt>
                <c:pt idx="6">
                  <c:v>86</c:v>
                </c:pt>
                <c:pt idx="7">
                  <c:v>99</c:v>
                </c:pt>
                <c:pt idx="8">
                  <c:v>119</c:v>
                </c:pt>
                <c:pt idx="9">
                  <c:v>160</c:v>
                </c:pt>
                <c:pt idx="10">
                  <c:v>205</c:v>
                </c:pt>
                <c:pt idx="11" formatCode="_(* #,##0_);_(* \(#,##0\);_(* \-??_);_(@_)">
                  <c:v>301</c:v>
                </c:pt>
              </c:numCache>
            </c:numRef>
          </c:val>
          <c:extLst>
            <c:ext xmlns:c16="http://schemas.microsoft.com/office/drawing/2014/chart" uri="{C3380CC4-5D6E-409C-BE32-E72D297353CC}">
              <c16:uniqueId val="{00000006-8C3E-4C21-87F6-0C1C7F418356}"/>
            </c:ext>
          </c:extLst>
        </c:ser>
        <c:ser>
          <c:idx val="7"/>
          <c:order val="7"/>
          <c:tx>
            <c:v>Wood and Waste </c:v>
          </c:tx>
          <c:spPr>
            <a:solidFill>
              <a:srgbClr val="CCCCFF">
                <a:alpha val="30000"/>
              </a:srgbClr>
            </a:solidFill>
            <a:ln cmpd="sng">
              <a:solidFill>
                <a:srgbClr val="CCCCFF"/>
              </a:solidFill>
            </a:ln>
          </c:spPr>
          <c:cat>
            <c:strRef>
              <c:f>Graphs!$E$316:$P$316</c:f>
              <c:strCache>
                <c:ptCount val="12"/>
                <c:pt idx="0">
                  <c:v>2000</c:v>
                </c:pt>
                <c:pt idx="1">
                  <c:v>2001</c:v>
                </c:pt>
                <c:pt idx="2">
                  <c:v>2002</c:v>
                </c:pt>
                <c:pt idx="3">
                  <c:v>2003</c:v>
                </c:pt>
                <c:pt idx="4">
                  <c:v>2004</c:v>
                </c:pt>
                <c:pt idx="5">
                  <c:v>2005</c:v>
                </c:pt>
                <c:pt idx="6">
                  <c:v>2006</c:v>
                </c:pt>
                <c:pt idx="7">
                  <c:v>2007</c:v>
                </c:pt>
                <c:pt idx="8">
                  <c:v>2008</c:v>
                </c:pt>
                <c:pt idx="9">
                  <c:v>2009</c:v>
                </c:pt>
                <c:pt idx="10">
                  <c:v>2010</c:v>
                </c:pt>
                <c:pt idx="11">
                  <c:v>2011</c:v>
                </c:pt>
              </c:strCache>
            </c:strRef>
          </c:cat>
          <c:val>
            <c:numRef>
              <c:f>Graphs!$E$324:$P$324</c:f>
              <c:numCache>
                <c:formatCode>_(* #,##0_);_(* \(#,##0\);_(* "-"??_);_(@_)</c:formatCode>
                <c:ptCount val="12"/>
                <c:pt idx="0">
                  <c:v>12334</c:v>
                </c:pt>
                <c:pt idx="1">
                  <c:v>7034</c:v>
                </c:pt>
                <c:pt idx="2">
                  <c:v>7317</c:v>
                </c:pt>
                <c:pt idx="3">
                  <c:v>7128</c:v>
                </c:pt>
                <c:pt idx="4">
                  <c:v>7306</c:v>
                </c:pt>
                <c:pt idx="5">
                  <c:v>7311</c:v>
                </c:pt>
                <c:pt idx="6">
                  <c:v>7608</c:v>
                </c:pt>
                <c:pt idx="7">
                  <c:v>7497</c:v>
                </c:pt>
                <c:pt idx="8">
                  <c:v>7679</c:v>
                </c:pt>
                <c:pt idx="9">
                  <c:v>7409</c:v>
                </c:pt>
                <c:pt idx="10">
                  <c:v>7602</c:v>
                </c:pt>
                <c:pt idx="11" formatCode="_(* #,##0_);_(* \(#,##0\);_(* \-??_);_(@_)">
                  <c:v>6961</c:v>
                </c:pt>
              </c:numCache>
            </c:numRef>
          </c:val>
          <c:extLst>
            <c:ext xmlns:c16="http://schemas.microsoft.com/office/drawing/2014/chart" uri="{C3380CC4-5D6E-409C-BE32-E72D297353CC}">
              <c16:uniqueId val="{00000007-8C3E-4C21-87F6-0C1C7F418356}"/>
            </c:ext>
          </c:extLst>
        </c:ser>
        <c:dLbls>
          <c:showLegendKey val="0"/>
          <c:showVal val="0"/>
          <c:showCatName val="0"/>
          <c:showSerName val="0"/>
          <c:showPercent val="0"/>
          <c:showBubbleSize val="0"/>
        </c:dLbls>
        <c:axId val="1951050855"/>
        <c:axId val="1742757115"/>
      </c:areaChart>
      <c:catAx>
        <c:axId val="1951050855"/>
        <c:scaling>
          <c:orientation val="minMax"/>
        </c:scaling>
        <c:delete val="0"/>
        <c:axPos val="b"/>
        <c:title>
          <c:tx>
            <c:rich>
              <a:bodyPr/>
              <a:lstStyle/>
              <a:p>
                <a:pPr lvl="0">
                  <a:defRPr sz="1000" b="1" i="0">
                    <a:solidFill>
                      <a:srgbClr val="000000"/>
                    </a:solidFill>
                    <a:latin typeface="+mn-lt"/>
                  </a:defRPr>
                </a:pPr>
                <a:r>
                  <a:rPr sz="1000" b="1" i="0">
                    <a:solidFill>
                      <a:srgbClr val="000000"/>
                    </a:solidFill>
                    <a:latin typeface="+mn-lt"/>
                  </a:rPr>
                  <a:t>Year</a:t>
                </a:r>
              </a:p>
            </c:rich>
          </c:tx>
          <c:overlay val="0"/>
        </c:title>
        <c:numFmt formatCode="General" sourceLinked="1"/>
        <c:majorTickMark val="none"/>
        <c:minorTickMark val="none"/>
        <c:tickLblPos val="nextTo"/>
        <c:spPr>
          <a:ln>
            <a:noFill/>
          </a:ln>
        </c:spPr>
        <c:txPr>
          <a:bodyPr/>
          <a:lstStyle/>
          <a:p>
            <a:pPr lvl="0">
              <a:defRPr b="0" i="0">
                <a:solidFill>
                  <a:srgbClr val="000000"/>
                </a:solidFill>
                <a:latin typeface="+mn-lt"/>
              </a:defRPr>
            </a:pPr>
            <a:endParaRPr lang="en-US"/>
          </a:p>
        </c:txPr>
        <c:crossAx val="1742757115"/>
        <c:crosses val="autoZero"/>
        <c:auto val="1"/>
        <c:lblAlgn val="ctr"/>
        <c:lblOffset val="100"/>
        <c:noMultiLvlLbl val="1"/>
      </c:catAx>
      <c:valAx>
        <c:axId val="1742757115"/>
        <c:scaling>
          <c:orientation val="minMax"/>
        </c:scaling>
        <c:delete val="0"/>
        <c:axPos val="l"/>
        <c:majorGridlines>
          <c:spPr>
            <a:ln>
              <a:solidFill>
                <a:srgbClr val="B7B7B7"/>
              </a:solidFill>
            </a:ln>
          </c:spPr>
        </c:majorGridlines>
        <c:title>
          <c:tx>
            <c:rich>
              <a:bodyPr/>
              <a:lstStyle/>
              <a:p>
                <a:pPr lvl="0">
                  <a:defRPr sz="1000" b="1" i="0">
                    <a:solidFill>
                      <a:srgbClr val="000000"/>
                    </a:solidFill>
                    <a:latin typeface="+mn-lt"/>
                  </a:defRPr>
                </a:pPr>
                <a:r>
                  <a:rPr sz="1000" b="1" i="0">
                    <a:solidFill>
                      <a:srgbClr val="000000"/>
                    </a:solidFill>
                    <a:latin typeface="+mn-lt"/>
                  </a:rPr>
                  <a:t>Energy Consumption (Trillion Btu)</a:t>
                </a:r>
              </a:p>
            </c:rich>
          </c:tx>
          <c:overlay val="0"/>
        </c:title>
        <c:numFmt formatCode="_(* #,##0_);_(* \(#,##0\);_(* &quot;-&quot;??_);_(@_)" sourceLinked="1"/>
        <c:majorTickMark val="none"/>
        <c:minorTickMark val="none"/>
        <c:tickLblPos val="nextTo"/>
        <c:spPr>
          <a:ln>
            <a:noFill/>
          </a:ln>
        </c:spPr>
        <c:txPr>
          <a:bodyPr/>
          <a:lstStyle/>
          <a:p>
            <a:pPr lvl="0">
              <a:defRPr b="0" i="0">
                <a:solidFill>
                  <a:srgbClr val="000000"/>
                </a:solidFill>
                <a:latin typeface="+mn-lt"/>
              </a:defRPr>
            </a:pPr>
            <a:endParaRPr lang="en-US"/>
          </a:p>
        </c:txPr>
        <c:crossAx val="1951050855"/>
        <c:crosses val="autoZero"/>
        <c:crossBetween val="midCat"/>
      </c:valAx>
    </c:plotArea>
    <c:legend>
      <c:legendPos val="t"/>
      <c:overlay val="0"/>
      <c:txPr>
        <a:bodyPr/>
        <a:lstStyle/>
        <a:p>
          <a:pPr lvl="0">
            <a:defRPr b="0" i="0">
              <a:solidFill>
                <a:srgbClr val="1A1A1A"/>
              </a:solidFill>
              <a:latin typeface="+mn-lt"/>
            </a:defRPr>
          </a:pPr>
          <a:endParaRPr lang="en-US"/>
        </a:p>
      </c:txPr>
    </c:legend>
    <c:plotVisOnly val="1"/>
    <c:dispBlanksAs val="zero"/>
    <c:showDLblsOverMax val="1"/>
  </c:chart>
  <c:spPr>
    <a:solidFill>
      <a:srgbClr val="FFFFFF"/>
    </a:solidFill>
  </c:spPr>
  <c:printSettings>
    <c:headerFooter/>
    <c:pageMargins b="0.75" l="0.7" r="0.7" t="0.75" header="0.3" footer="0.3"/>
    <c:pageSetup/>
  </c:printSettings>
</c:chartSpace>
</file>

<file path=xl/drawings/_rels/drawing18.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oneCellAnchor>
    <xdr:from>
      <xdr:col>1</xdr:col>
      <xdr:colOff>0</xdr:colOff>
      <xdr:row>1</xdr:row>
      <xdr:rowOff>57150</xdr:rowOff>
    </xdr:from>
    <xdr:ext cx="9744075" cy="1562100"/>
    <xdr:sp macro="" textlink="">
      <xdr:nvSpPr>
        <xdr:cNvPr id="3" name="Shape 3">
          <a:extLst>
            <a:ext uri="{FF2B5EF4-FFF2-40B4-BE49-F238E27FC236}">
              <a16:creationId xmlns:a16="http://schemas.microsoft.com/office/drawing/2014/main" id="{00000000-0008-0000-0100-000003000000}"/>
            </a:ext>
          </a:extLst>
        </xdr:cNvPr>
        <xdr:cNvSpPr/>
      </xdr:nvSpPr>
      <xdr:spPr>
        <a:xfrm>
          <a:off x="478725" y="3003713"/>
          <a:ext cx="9734550" cy="1552575"/>
        </a:xfrm>
        <a:prstGeom prst="rect">
          <a:avLst/>
        </a:prstGeom>
        <a:solidFill>
          <a:srgbClr val="C0C0C0"/>
        </a:solidFill>
        <a:ln w="9525" cap="sq"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CO2 emissions from fossil fuel combustion in the base unit electric power generation sector were collected from the Regional Greenhouse Gas Initiative (RGGI) Program.  RGGI piggybacks on the EPA Clean Air Markets Division (CAMD) program. Facilities report emissions directly to CAMD.  Facility CO2 emissions are reported directly from continuous emissions monitors (CEM) or are calculated by the facility and sent RGGI/CAMD.  </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CH4 and N2O emissions from stationary combustion in the electric power sector are calculated using the IPCC Tier 1 approach.  Consumption of each fuel is multiplied by a fuel-specific CH4 or N2O emission factor.  The resulting fuel emission values, in metric tons CH4 and N2O, are then multiplied by the global warming potential, converted to million metric tons of carbon equivalent (MMTCE), then to million metric tons of carbon dioxide equivalent (MMTCO2E), and summed.  For further detail on this method, please refer to the Stationary Chapter in the User's Guide.</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Note that this worksheet estimates the direct emissions associated with the electric power sector. Direct emissions result from the combustion of fossil fuels at the electricity generating station, whereas indirect emissions occur at the point of use (e.g., residential electricity consumption).  Because electricity consumption within a state does not correspond to electricity generated in that same state, emissions from electricity consumption (indirect emissions) are not likely to be the same as emissions from generation (direct emissions). Please refer to the electricity generation module to estimate indirect emissions from electricity consumption.</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xdr:txBody>
    </xdr:sp>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95250</xdr:colOff>
      <xdr:row>1</xdr:row>
      <xdr:rowOff>28575</xdr:rowOff>
    </xdr:from>
    <xdr:ext cx="10096500" cy="876300"/>
    <xdr:sp macro="" textlink="">
      <xdr:nvSpPr>
        <xdr:cNvPr id="4" name="Shape 4">
          <a:extLst>
            <a:ext uri="{FF2B5EF4-FFF2-40B4-BE49-F238E27FC236}">
              <a16:creationId xmlns:a16="http://schemas.microsoft.com/office/drawing/2014/main" id="{00000000-0008-0000-0500-000004000000}"/>
            </a:ext>
          </a:extLst>
        </xdr:cNvPr>
        <xdr:cNvSpPr/>
      </xdr:nvSpPr>
      <xdr:spPr>
        <a:xfrm>
          <a:off x="302513" y="3346613"/>
          <a:ext cx="10086975" cy="866775"/>
        </a:xfrm>
        <a:prstGeom prst="rect">
          <a:avLst/>
        </a:prstGeom>
        <a:solidFill>
          <a:srgbClr val="C0C0C0"/>
        </a:solidFill>
        <a:ln w="9525" cap="sq"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Maryland is a net importer of electricity, meaning that the State consumes more electricity than is produced in the State. For this analysis, it was assumed that all power generated in Maryland was consumed in Maryland, and that remaining electricity demand was met by imported power.  The electricity imported to meet Maryland demand was assume to come from the PJM Interconnection.</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The fuel mix within the PJM region required to generate the electricity was obtained and CO2 emission rates per fuel type were calculated.  These emission rates were applied to the amount of electricity Maryland imported to meet demand. </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xdr:txBody>
    </xdr:sp>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419100</xdr:colOff>
      <xdr:row>2</xdr:row>
      <xdr:rowOff>19050</xdr:rowOff>
    </xdr:from>
    <xdr:ext cx="8524875" cy="1457325"/>
    <xdr:sp macro="" textlink="">
      <xdr:nvSpPr>
        <xdr:cNvPr id="6" name="Shape 6">
          <a:extLst>
            <a:ext uri="{FF2B5EF4-FFF2-40B4-BE49-F238E27FC236}">
              <a16:creationId xmlns:a16="http://schemas.microsoft.com/office/drawing/2014/main" id="{00000000-0008-0000-0600-000006000000}"/>
            </a:ext>
          </a:extLst>
        </xdr:cNvPr>
        <xdr:cNvSpPr/>
      </xdr:nvSpPr>
      <xdr:spPr>
        <a:xfrm>
          <a:off x="1088325" y="3056100"/>
          <a:ext cx="8515350" cy="1447800"/>
        </a:xfrm>
        <a:prstGeom prst="rect">
          <a:avLst/>
        </a:prstGeom>
        <a:solidFill>
          <a:srgbClr val="C0C0C0"/>
        </a:solidFill>
        <a:ln w="9525" cap="sq"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CO</a:t>
          </a:r>
          <a:r>
            <a:rPr lang="en-US" sz="800" i="0" u="none" strike="noStrike" baseline="-25000">
              <a:solidFill>
                <a:srgbClr val="000000"/>
              </a:solidFill>
              <a:latin typeface="Arial"/>
              <a:ea typeface="Arial"/>
              <a:cs typeface="Arial"/>
              <a:sym typeface="Arial"/>
            </a:rPr>
            <a:t>2</a:t>
          </a:r>
          <a:r>
            <a:rPr lang="en-US" sz="800" i="0" u="none" strike="noStrike">
              <a:solidFill>
                <a:srgbClr val="000000"/>
              </a:solidFill>
              <a:latin typeface="Arial"/>
              <a:ea typeface="Arial"/>
              <a:cs typeface="Arial"/>
              <a:sym typeface="Arial"/>
            </a:rPr>
            <a:t> emissions from fossil fuel combustion in the residential sector are calculated by multiplying energy consumption (in the residential sector) by carbon content coefficients for each fuel.  These quantities are then multiplied by fuel-specific percentages of carbon oxidized during combustion ("combustion efficiency").  The resulting fuel emission values, in pounds of carbon, are then converted to short tons of carbon and million metric tons of carbon equivalent (MMTCE), then to million metric tons of carbon dioxide equivalent (MMTCO</a:t>
          </a:r>
          <a:r>
            <a:rPr lang="en-US" sz="800" i="0" u="none" strike="noStrike" baseline="-25000">
              <a:solidFill>
                <a:srgbClr val="000000"/>
              </a:solidFill>
              <a:latin typeface="Arial"/>
              <a:ea typeface="Arial"/>
              <a:cs typeface="Arial"/>
              <a:sym typeface="Arial"/>
            </a:rPr>
            <a:t>2</a:t>
          </a:r>
          <a:r>
            <a:rPr lang="en-US" sz="800" i="0" u="none" strike="noStrike">
              <a:solidFill>
                <a:srgbClr val="000000"/>
              </a:solidFill>
              <a:latin typeface="Arial"/>
              <a:ea typeface="Arial"/>
              <a:cs typeface="Arial"/>
              <a:sym typeface="Arial"/>
            </a:rPr>
            <a:t>E), and summed.     For further detail on this method, refer to the CO</a:t>
          </a:r>
          <a:r>
            <a:rPr lang="en-US" sz="800" i="0" u="none" strike="noStrike" baseline="-25000">
              <a:solidFill>
                <a:srgbClr val="000000"/>
              </a:solidFill>
              <a:latin typeface="Arial"/>
              <a:ea typeface="Arial"/>
              <a:cs typeface="Arial"/>
              <a:sym typeface="Arial"/>
            </a:rPr>
            <a:t>2</a:t>
          </a:r>
          <a:r>
            <a:rPr lang="en-US" sz="800" i="0" u="none" strike="noStrike">
              <a:solidFill>
                <a:srgbClr val="000000"/>
              </a:solidFill>
              <a:latin typeface="Arial"/>
              <a:ea typeface="Arial"/>
              <a:cs typeface="Arial"/>
              <a:sym typeface="Arial"/>
            </a:rPr>
            <a:t>FFC Chapter in the User's Guide.</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According to the methods developed by the International Panel on Climate Change, CO</a:t>
          </a:r>
          <a:r>
            <a:rPr lang="en-US" sz="800" i="0" u="none" strike="noStrike" baseline="-25000">
              <a:solidFill>
                <a:srgbClr val="000000"/>
              </a:solidFill>
              <a:latin typeface="Arial"/>
              <a:ea typeface="Arial"/>
              <a:cs typeface="Arial"/>
              <a:sym typeface="Arial"/>
            </a:rPr>
            <a:t>2</a:t>
          </a:r>
          <a:r>
            <a:rPr lang="en-US" sz="800" i="0" u="none" strike="noStrike">
              <a:solidFill>
                <a:srgbClr val="000000"/>
              </a:solidFill>
              <a:latin typeface="Arial"/>
              <a:ea typeface="Arial"/>
              <a:cs typeface="Arial"/>
              <a:sym typeface="Arial"/>
            </a:rPr>
            <a:t> emissions from the combustion of biogenic sources (e.g., fuel wood) are not counted in greenhouse gas inventories, provided that those sources are harvested on a sustainable basis. The carbon in wood fuel was originally removed from the atmosphere by photosynthesis, and under natural conditions, it would cycle back to the atmosphere eventually as CO</a:t>
          </a:r>
          <a:r>
            <a:rPr lang="en-US" sz="800" i="0" u="none" strike="noStrike" baseline="-25000">
              <a:solidFill>
                <a:srgbClr val="000000"/>
              </a:solidFill>
              <a:latin typeface="Arial"/>
              <a:ea typeface="Arial"/>
              <a:cs typeface="Arial"/>
              <a:sym typeface="Arial"/>
            </a:rPr>
            <a:t>2</a:t>
          </a:r>
          <a:r>
            <a:rPr lang="en-US" sz="800" i="0" u="none" strike="noStrike">
              <a:solidFill>
                <a:srgbClr val="000000"/>
              </a:solidFill>
              <a:latin typeface="Arial"/>
              <a:ea typeface="Arial"/>
              <a:cs typeface="Arial"/>
              <a:sym typeface="Arial"/>
            </a:rPr>
            <a:t> due to degradation processes. For processes with CO</a:t>
          </a:r>
          <a:r>
            <a:rPr lang="en-US" sz="800" i="0" u="none" strike="noStrike" baseline="-25000">
              <a:solidFill>
                <a:srgbClr val="000000"/>
              </a:solidFill>
              <a:latin typeface="Arial"/>
              <a:ea typeface="Arial"/>
              <a:cs typeface="Arial"/>
              <a:sym typeface="Arial"/>
            </a:rPr>
            <a:t>2</a:t>
          </a:r>
          <a:r>
            <a:rPr lang="en-US" sz="800" i="0" u="none" strike="noStrike">
              <a:solidFill>
                <a:srgbClr val="000000"/>
              </a:solidFill>
              <a:latin typeface="Arial"/>
              <a:ea typeface="Arial"/>
              <a:cs typeface="Arial"/>
              <a:sym typeface="Arial"/>
            </a:rPr>
            <a:t> emissions, if the emissions are from biogenic materials and the materials are grown on a sustainable basis, then those emissions are considered to close the loop in the natural carbon cycle. </a:t>
          </a:r>
          <a:endParaRPr sz="1400"/>
        </a:p>
      </xdr:txBody>
    </xdr:sp>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447675</xdr:colOff>
      <xdr:row>1</xdr:row>
      <xdr:rowOff>0</xdr:rowOff>
    </xdr:from>
    <xdr:ext cx="6724650" cy="838200"/>
    <xdr:sp macro="" textlink="">
      <xdr:nvSpPr>
        <xdr:cNvPr id="5" name="Shape 5">
          <a:extLst>
            <a:ext uri="{FF2B5EF4-FFF2-40B4-BE49-F238E27FC236}">
              <a16:creationId xmlns:a16="http://schemas.microsoft.com/office/drawing/2014/main" id="{00000000-0008-0000-0700-000005000000}"/>
            </a:ext>
          </a:extLst>
        </xdr:cNvPr>
        <xdr:cNvSpPr/>
      </xdr:nvSpPr>
      <xdr:spPr>
        <a:xfrm>
          <a:off x="1988438" y="3365663"/>
          <a:ext cx="6715125" cy="828675"/>
        </a:xfrm>
        <a:prstGeom prst="rect">
          <a:avLst/>
        </a:prstGeom>
        <a:solidFill>
          <a:srgbClr val="C0C0C0"/>
        </a:solidFill>
        <a:ln w="9525" cap="sq"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CO</a:t>
          </a:r>
          <a:r>
            <a:rPr lang="en-US" sz="800" i="0" u="none" strike="noStrike" baseline="-25000">
              <a:solidFill>
                <a:srgbClr val="000000"/>
              </a:solidFill>
              <a:latin typeface="Arial"/>
              <a:ea typeface="Arial"/>
              <a:cs typeface="Arial"/>
              <a:sym typeface="Arial"/>
            </a:rPr>
            <a:t>2</a:t>
          </a:r>
          <a:r>
            <a:rPr lang="en-US" sz="800" i="0" u="none" strike="noStrike">
              <a:solidFill>
                <a:srgbClr val="000000"/>
              </a:solidFill>
              <a:latin typeface="Arial"/>
              <a:ea typeface="Arial"/>
              <a:cs typeface="Arial"/>
              <a:sym typeface="Arial"/>
            </a:rPr>
            <a:t> emissions from fossil fuel combustion in the commercial sector are calculated by multiplying energy consumption (in the commercial sector) by carbon content coefficients for each fuel.  These quantities are then multiplied by fuel-specific percentages of carbon oxidized during combustion ("combustion efficiency").  The resulting fuel emissions, in pounds of carbon, are then converted to short tons of carbon and million metric tons of carbon equivalent (MMTCE), then to million metric tons of carbon dioxide equivalent (MMTCO</a:t>
          </a:r>
          <a:r>
            <a:rPr lang="en-US" sz="800" i="0" u="none" strike="noStrike" baseline="-25000">
              <a:solidFill>
                <a:srgbClr val="000000"/>
              </a:solidFill>
              <a:latin typeface="Arial"/>
              <a:ea typeface="Arial"/>
              <a:cs typeface="Arial"/>
              <a:sym typeface="Arial"/>
            </a:rPr>
            <a:t>2</a:t>
          </a:r>
          <a:r>
            <a:rPr lang="en-US" sz="800" i="0" u="none" strike="noStrike">
              <a:solidFill>
                <a:srgbClr val="000000"/>
              </a:solidFill>
              <a:latin typeface="Arial"/>
              <a:ea typeface="Arial"/>
              <a:cs typeface="Arial"/>
              <a:sym typeface="Arial"/>
            </a:rPr>
            <a:t>E), and summed.   For further detail on this method, refer to CO</a:t>
          </a:r>
          <a:r>
            <a:rPr lang="en-US" sz="800" i="0" u="none" strike="noStrike" baseline="-25000">
              <a:solidFill>
                <a:srgbClr val="000000"/>
              </a:solidFill>
              <a:latin typeface="Arial"/>
              <a:ea typeface="Arial"/>
              <a:cs typeface="Arial"/>
              <a:sym typeface="Arial"/>
            </a:rPr>
            <a:t>2</a:t>
          </a:r>
          <a:r>
            <a:rPr lang="en-US" sz="800" i="0" u="none" strike="noStrike">
              <a:solidFill>
                <a:srgbClr val="000000"/>
              </a:solidFill>
              <a:latin typeface="Arial"/>
              <a:ea typeface="Arial"/>
              <a:cs typeface="Arial"/>
              <a:sym typeface="Arial"/>
            </a:rPr>
            <a:t>FFC Chapter in the User's Guide.</a:t>
          </a:r>
          <a:endParaRPr sz="1400"/>
        </a:p>
      </xdr:txBody>
    </xdr:sp>
    <xdr:clientData fLocksWithSheet="0"/>
  </xdr:oneCellAnchor>
</xdr:wsDr>
</file>

<file path=xl/drawings/drawing5.xml><?xml version="1.0" encoding="utf-8"?>
<xdr:wsDr xmlns:xdr="http://schemas.openxmlformats.org/drawingml/2006/spreadsheetDrawing" xmlns:a="http://schemas.openxmlformats.org/drawingml/2006/main">
  <xdr:oneCellAnchor>
    <xdr:from>
      <xdr:col>1</xdr:col>
      <xdr:colOff>9525</xdr:colOff>
      <xdr:row>2</xdr:row>
      <xdr:rowOff>0</xdr:rowOff>
    </xdr:from>
    <xdr:ext cx="8591550" cy="809625"/>
    <xdr:sp macro="" textlink="">
      <xdr:nvSpPr>
        <xdr:cNvPr id="7" name="Shape 7">
          <a:extLst>
            <a:ext uri="{FF2B5EF4-FFF2-40B4-BE49-F238E27FC236}">
              <a16:creationId xmlns:a16="http://schemas.microsoft.com/office/drawing/2014/main" id="{00000000-0008-0000-0800-000007000000}"/>
            </a:ext>
          </a:extLst>
        </xdr:cNvPr>
        <xdr:cNvSpPr/>
      </xdr:nvSpPr>
      <xdr:spPr>
        <a:xfrm>
          <a:off x="1054988" y="3379950"/>
          <a:ext cx="8582025" cy="800100"/>
        </a:xfrm>
        <a:prstGeom prst="rect">
          <a:avLst/>
        </a:prstGeom>
        <a:solidFill>
          <a:srgbClr val="C0C0C0"/>
        </a:solidFill>
        <a:ln w="9525" cap="sq"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CO</a:t>
          </a:r>
          <a:r>
            <a:rPr lang="en-US" sz="800" i="0" u="none" strike="noStrike" baseline="-25000">
              <a:solidFill>
                <a:srgbClr val="000000"/>
              </a:solidFill>
              <a:latin typeface="Arial"/>
              <a:ea typeface="Arial"/>
              <a:cs typeface="Arial"/>
              <a:sym typeface="Arial"/>
            </a:rPr>
            <a:t>2</a:t>
          </a:r>
          <a:r>
            <a:rPr lang="en-US" sz="800" i="0" u="none" strike="noStrike">
              <a:solidFill>
                <a:srgbClr val="000000"/>
              </a:solidFill>
              <a:latin typeface="Arial"/>
              <a:ea typeface="Arial"/>
              <a:cs typeface="Arial"/>
              <a:sym typeface="Arial"/>
            </a:rPr>
            <a:t> emissions from fossil fuel combustion in the industrial sector are calculated by first subtracting non-energy consumption multiplied by carbon storage factors from the energy consumption for each fuel type.  The resulting combustible consumption for each fuel is then multiplied by a carbon content coefficient and by the percentage of carbon oxidized during combustion ("combustion efficiency").  The resulting fuel emissions, in pounds of carbon, are then converted to short tons of carbon and million metric tons of carbon equivalent (MMTCE), then to million metric tons of carbon dioxide equivalent (MMTCO</a:t>
          </a:r>
          <a:r>
            <a:rPr lang="en-US" sz="800" i="0" u="none" strike="noStrike" baseline="-25000">
              <a:solidFill>
                <a:srgbClr val="000000"/>
              </a:solidFill>
              <a:latin typeface="Arial"/>
              <a:ea typeface="Arial"/>
              <a:cs typeface="Arial"/>
              <a:sym typeface="Arial"/>
            </a:rPr>
            <a:t>2</a:t>
          </a:r>
          <a:r>
            <a:rPr lang="en-US" sz="800" i="0" u="none" strike="noStrike">
              <a:solidFill>
                <a:srgbClr val="000000"/>
              </a:solidFill>
              <a:latin typeface="Arial"/>
              <a:ea typeface="Arial"/>
              <a:cs typeface="Arial"/>
              <a:sym typeface="Arial"/>
            </a:rPr>
            <a:t>E), and summed.  For further detail on this method, refer to CO</a:t>
          </a:r>
          <a:r>
            <a:rPr lang="en-US" sz="800" i="0" u="none" strike="noStrike" baseline="-25000">
              <a:solidFill>
                <a:srgbClr val="000000"/>
              </a:solidFill>
              <a:latin typeface="Arial"/>
              <a:ea typeface="Arial"/>
              <a:cs typeface="Arial"/>
              <a:sym typeface="Arial"/>
            </a:rPr>
            <a:t>2</a:t>
          </a:r>
          <a:r>
            <a:rPr lang="en-US" sz="800" i="0" u="none" strike="noStrike">
              <a:solidFill>
                <a:srgbClr val="000000"/>
              </a:solidFill>
              <a:latin typeface="Arial"/>
              <a:ea typeface="Arial"/>
              <a:cs typeface="Arial"/>
              <a:sym typeface="Arial"/>
            </a:rPr>
            <a:t>FFC Chapter in the User's Guide.</a:t>
          </a:r>
          <a:endParaRPr sz="1400"/>
        </a:p>
      </xdr:txBody>
    </xdr:sp>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190500</xdr:colOff>
      <xdr:row>1</xdr:row>
      <xdr:rowOff>104775</xdr:rowOff>
    </xdr:from>
    <xdr:ext cx="10839450" cy="733425"/>
    <xdr:sp macro="" textlink="">
      <xdr:nvSpPr>
        <xdr:cNvPr id="8" name="Shape 8">
          <a:extLst>
            <a:ext uri="{FF2B5EF4-FFF2-40B4-BE49-F238E27FC236}">
              <a16:creationId xmlns:a16="http://schemas.microsoft.com/office/drawing/2014/main" id="{00000000-0008-0000-0900-000008000000}"/>
            </a:ext>
          </a:extLst>
        </xdr:cNvPr>
        <xdr:cNvSpPr/>
      </xdr:nvSpPr>
      <xdr:spPr>
        <a:xfrm>
          <a:off x="0" y="3418050"/>
          <a:ext cx="10692000" cy="723900"/>
        </a:xfrm>
        <a:prstGeom prst="rect">
          <a:avLst/>
        </a:prstGeom>
        <a:solidFill>
          <a:srgbClr val="C0C0C0"/>
        </a:solidFill>
        <a:ln w="9525" cap="sq"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GHG emissions from fossil fuel combustion in the transportation sector are calculated by multiplying energy consumption (in the transportation sector) by carbon content coefficients for each fuel.  These quantities are then multiplied by fuel-specific percentages of carbon oxidized during combustion ("combustion efficiency").  The non-energy consumption of lubricants multiplied by its carbon storage factor must be subtracted from its energy consumption before carrying out the above calculations.  The resulting fuel emissions, in pounds of carbon, are then converted to short tons of carbon and million metric tons of carbon equivalent (MMTCE), then to million metric tons of carbon dioxide equivalent (MMTCO2E), and summed.   For further detail on this method, refer to EPA SIT User's Guide.</a:t>
          </a:r>
          <a:endParaRPr sz="1400"/>
        </a:p>
      </xdr:txBody>
    </xdr:sp>
    <xdr:clientData fLocksWithSheet="0"/>
  </xdr:oneCellAnchor>
  <xdr:oneCellAnchor>
    <xdr:from>
      <xdr:col>0</xdr:col>
      <xdr:colOff>190500</xdr:colOff>
      <xdr:row>1</xdr:row>
      <xdr:rowOff>104775</xdr:rowOff>
    </xdr:from>
    <xdr:ext cx="10839450" cy="733425"/>
    <xdr:sp macro="" textlink="">
      <xdr:nvSpPr>
        <xdr:cNvPr id="9" name="Shape 9">
          <a:extLst>
            <a:ext uri="{FF2B5EF4-FFF2-40B4-BE49-F238E27FC236}">
              <a16:creationId xmlns:a16="http://schemas.microsoft.com/office/drawing/2014/main" id="{00000000-0008-0000-0900-000009000000}"/>
            </a:ext>
          </a:extLst>
        </xdr:cNvPr>
        <xdr:cNvSpPr/>
      </xdr:nvSpPr>
      <xdr:spPr>
        <a:xfrm>
          <a:off x="0" y="3418050"/>
          <a:ext cx="10692000" cy="723900"/>
        </a:xfrm>
        <a:prstGeom prst="rect">
          <a:avLst/>
        </a:prstGeom>
        <a:solidFill>
          <a:srgbClr val="C0C0C0"/>
        </a:solidFill>
        <a:ln w="9525" cap="sq"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GHG emissions from fossil fuel combustion in the transportation sector are calculated by multiplying energy consumption (in the transportation sector) by carbon content coefficients for each fuel.  These quantities are then multiplied by fuel-specific percentages of carbon oxidized during combustion ("combustion efficiency").  The non-energy consumption of lubricants multiplied by its carbon storage factor must be subtracted from its energy consumption before carrying out the above calculations.  The resulting fuel emissions, in pounds of carbon, are then converted to short tons of carbon and million metric tons of carbon equivalent (MMTCE), then to million metric tons of carbon dioxide equivalent (MMTCO</a:t>
          </a:r>
          <a:r>
            <a:rPr lang="en-US" sz="800" i="0" u="none" strike="noStrike" baseline="-25000">
              <a:solidFill>
                <a:srgbClr val="000000"/>
              </a:solidFill>
              <a:latin typeface="Arial"/>
              <a:ea typeface="Arial"/>
              <a:cs typeface="Arial"/>
              <a:sym typeface="Arial"/>
            </a:rPr>
            <a:t>2</a:t>
          </a:r>
          <a:r>
            <a:rPr lang="en-US" sz="800" i="0" u="none" strike="noStrike">
              <a:solidFill>
                <a:srgbClr val="000000"/>
              </a:solidFill>
              <a:latin typeface="Arial"/>
              <a:ea typeface="Arial"/>
              <a:cs typeface="Arial"/>
              <a:sym typeface="Arial"/>
            </a:rPr>
            <a:t>E), and summed.   For further detail on this method, refer to EPA SIT User's Guide.</a:t>
          </a:r>
          <a:endParaRPr sz="1400"/>
        </a:p>
      </xdr:txBody>
    </xdr:sp>
    <xdr:clientData fLocksWithSheet="0"/>
  </xdr:oneCellAnchor>
</xdr:wsDr>
</file>

<file path=xl/drawings/drawing7.xml><?xml version="1.0" encoding="utf-8"?>
<xdr:wsDr xmlns:xdr="http://schemas.openxmlformats.org/drawingml/2006/spreadsheetDrawing" xmlns:a="http://schemas.openxmlformats.org/drawingml/2006/main">
  <xdr:oneCellAnchor>
    <xdr:from>
      <xdr:col>1</xdr:col>
      <xdr:colOff>0</xdr:colOff>
      <xdr:row>1</xdr:row>
      <xdr:rowOff>19050</xdr:rowOff>
    </xdr:from>
    <xdr:ext cx="8753475" cy="2085975"/>
    <xdr:sp macro="" textlink="">
      <xdr:nvSpPr>
        <xdr:cNvPr id="10" name="Shape 10">
          <a:extLst>
            <a:ext uri="{FF2B5EF4-FFF2-40B4-BE49-F238E27FC236}">
              <a16:creationId xmlns:a16="http://schemas.microsoft.com/office/drawing/2014/main" id="{00000000-0008-0000-0A00-00000A000000}"/>
            </a:ext>
          </a:extLst>
        </xdr:cNvPr>
        <xdr:cNvSpPr/>
      </xdr:nvSpPr>
      <xdr:spPr>
        <a:xfrm>
          <a:off x="974025" y="2741775"/>
          <a:ext cx="8743950" cy="2076450"/>
        </a:xfrm>
        <a:prstGeom prst="rect">
          <a:avLst/>
        </a:prstGeom>
        <a:solidFill>
          <a:srgbClr val="C0C0C0"/>
        </a:solidFill>
        <a:ln w="9525" cap="sq"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Emissions from Natural Gas Production are calculated as the sum of emissions from the three categories of production sites: onshore wells, offshore shallow water platforms, and offshore deepwater platforms.  The number of gas production sites (wells or platforms) is multiplied by a site-specific emission factor. </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Emissions from Natural Gas Transmission are calculated as the sum of methane emissions from the pipelines that transport gas, the gas processing stations, the transmission compressor stations, and gas storage compressor facilities.  Emissions from each source are calculated as the product of the activity factor (e.g., miles of pipeline or number of stations) and the source-specific emission factor.</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Emissions from Natural Gas Distribution are calculated as the sum of emissions from distribution pipelines and end services.  The activity factor for each type of pipeline (e.g., miles of plastic distribution pipeline) is multiplied by the corresponding emission factor.  The number of services is multiplied by a general emission factor and type-specific emission factors.  </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Emissions from Natural Gas Venting and Flaring are calculated as the percent of emissions flared (20% is vented with the remaining 80% flared).  The amount of gas that is vented or flared is multiplied by a national emission factor. This total of potential emissions is then multiplied by the percentage of gas flared and converted to million metric tons of carbon equivalent.  </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Source emissions are converted to metric tons of CO2 equivalent and metric tons of carbon equivalent, and then summed across all sources.  For further details, refer to the Methane Emissions from Natural Gas and Oil Systems Chapter of the EPA SIT User's Guide.</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Source emissions are converted to metric tons of CO2 equivalent and metric tons of carbon equivalent, and then summed across all sources.  For further details, refer to the Methane Emissions from Natural Gas and Oil Systems Chapter of the User's Guide.</a:t>
          </a:r>
          <a:endParaRPr sz="1400"/>
        </a:p>
      </xdr:txBody>
    </xdr:sp>
    <xdr:clientData fLocksWithSheet="0"/>
  </xdr:oneCellAnchor>
</xdr:wsDr>
</file>

<file path=xl/drawings/drawing8.xml><?xml version="1.0" encoding="utf-8"?>
<xdr:wsDr xmlns:xdr="http://schemas.openxmlformats.org/drawingml/2006/spreadsheetDrawing" xmlns:a="http://schemas.openxmlformats.org/drawingml/2006/main">
  <xdr:oneCellAnchor>
    <xdr:from>
      <xdr:col>1</xdr:col>
      <xdr:colOff>0</xdr:colOff>
      <xdr:row>1</xdr:row>
      <xdr:rowOff>0</xdr:rowOff>
    </xdr:from>
    <xdr:ext cx="9086850" cy="2505075"/>
    <xdr:sp macro="" textlink="">
      <xdr:nvSpPr>
        <xdr:cNvPr id="11" name="Shape 11">
          <a:extLst>
            <a:ext uri="{FF2B5EF4-FFF2-40B4-BE49-F238E27FC236}">
              <a16:creationId xmlns:a16="http://schemas.microsoft.com/office/drawing/2014/main" id="{00000000-0008-0000-0B00-00000B000000}"/>
            </a:ext>
          </a:extLst>
        </xdr:cNvPr>
        <xdr:cNvSpPr/>
      </xdr:nvSpPr>
      <xdr:spPr>
        <a:xfrm>
          <a:off x="807338" y="2532225"/>
          <a:ext cx="9077325" cy="2495550"/>
        </a:xfrm>
        <a:prstGeom prst="rect">
          <a:avLst/>
        </a:prstGeom>
        <a:solidFill>
          <a:srgbClr val="C0C0C0"/>
        </a:solidFill>
        <a:ln w="9525" cap="sq"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Emissions from Coal Mining are calculated by summing the emissions from underground mines, surface mines, and post-mining activities.</a:t>
          </a:r>
          <a:endParaRPr sz="1400"/>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 Underground mine emissions are comprised of two parts: methane emitted from ventilation systems and methane emitted from degasification systems. Emissions from degasification systems are equal to the difference between methane removed through degasification and methane used for energy purposes. </a:t>
          </a:r>
          <a:endParaRPr sz="1400"/>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 Surface mine emissions are the product of surface coal mine production and a basin-specific EF.  </a:t>
          </a:r>
          <a:endParaRPr sz="1400"/>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 Emissions from post-mining activities, such as transportation and coal handling, are equal to the sum of post-mining emissions from underground and surface mines; the emissions are each calculated as the product of coal production times a basin and mine-type specific EF.  </a:t>
          </a:r>
          <a:endParaRPr sz="1400"/>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 Total emissions from coal mining are the sum of emissions from underground mines, surface mines, and post-mining activities at both types of mines.</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Emissions from Abandoned Coal Mines are calculated by summing the emissions from mines that are vented, sealed, or flooded.</a:t>
          </a:r>
          <a:endParaRPr sz="1400"/>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 Different coal seams vary in the amount of gas present initially and the way the methane is adsorbed to the coal (i.e. some coals release methane more readily than others).</a:t>
          </a:r>
          <a:endParaRPr sz="1400"/>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 A vented mine is one that can release methane to the atmosphere freely.  The emissions of vented mines will depend on time since abandonment and coal characteristics.</a:t>
          </a:r>
          <a:endParaRPr sz="1400"/>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 A sealed mine has been sealed to prevent the escape of methane.  However given the nature of the rock used to seal mines, such sealing is never 100 percent effective.  The effect of a seal is to slow the methane emissions to spread them out over a longer period of time.</a:t>
          </a:r>
          <a:endParaRPr sz="1400"/>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 After a mine is abandoned and in a flood prone area, the mine will fill up with water.  A completely flooded mine releases little to no methane to the atmosphere.  Therefore, most emissions will occur in the first few years following abandonment.</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For more information, please refer to the Coal Mining chapter of the EPA SIT User's Guide.</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xdr:txBody>
    </xdr:sp>
    <xdr:clientData fLocksWithSheet="0"/>
  </xdr:oneCellAnchor>
</xdr:wsDr>
</file>

<file path=xl/drawings/drawing9.xml><?xml version="1.0" encoding="utf-8"?>
<xdr:wsDr xmlns:xdr="http://schemas.openxmlformats.org/drawingml/2006/spreadsheetDrawing" xmlns:a="http://schemas.openxmlformats.org/drawingml/2006/main">
  <xdr:oneCellAnchor>
    <xdr:from>
      <xdr:col>0</xdr:col>
      <xdr:colOff>333375</xdr:colOff>
      <xdr:row>1</xdr:row>
      <xdr:rowOff>0</xdr:rowOff>
    </xdr:from>
    <xdr:ext cx="9839325" cy="962025"/>
    <xdr:sp macro="" textlink="">
      <xdr:nvSpPr>
        <xdr:cNvPr id="12" name="Shape 12">
          <a:extLst>
            <a:ext uri="{FF2B5EF4-FFF2-40B4-BE49-F238E27FC236}">
              <a16:creationId xmlns:a16="http://schemas.microsoft.com/office/drawing/2014/main" id="{00000000-0008-0000-0C00-00000C000000}"/>
            </a:ext>
          </a:extLst>
        </xdr:cNvPr>
        <xdr:cNvSpPr/>
      </xdr:nvSpPr>
      <xdr:spPr>
        <a:xfrm>
          <a:off x="431100" y="3303750"/>
          <a:ext cx="9829800" cy="952500"/>
        </a:xfrm>
        <a:prstGeom prst="rect">
          <a:avLst/>
        </a:prstGeom>
        <a:solidFill>
          <a:srgbClr val="C0C0C0"/>
        </a:solidFill>
        <a:ln w="9525" cap="sq"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Emissions from cement production consist of CO2 emissions produced from the following processes that follow the EPA Mandatory Greenhouse Gases Reporting  Methodolgy.</a:t>
          </a:r>
          <a:endParaRPr sz="1400"/>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        - Raw materials converted to Clinker;</a:t>
          </a:r>
          <a:endParaRPr sz="1400"/>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        - Calcinations of Clinker Kiln Dust (CKD) leaving the Kiln system;</a:t>
          </a:r>
          <a:endParaRPr sz="1400"/>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        - Organic carbon content of Raw Meal.</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(Emissions from masonry cement are accounted for in the Lime Production estimates). </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xdr:txBody>
    </xdr:sp>
    <xdr:clientData fLocksWithSheet="0"/>
  </xdr:oneCellAnchor>
</xdr:wsDr>
</file>

<file path=xl/drawings/drawing10.xml><?xml version="1.0" encoding="utf-8"?>
<xdr:wsDr xmlns:xdr="http://schemas.openxmlformats.org/drawingml/2006/spreadsheetDrawing" xmlns:a="http://schemas.openxmlformats.org/drawingml/2006/main">
  <xdr:oneCellAnchor>
    <xdr:from>
      <xdr:col>0</xdr:col>
      <xdr:colOff>171450</xdr:colOff>
      <xdr:row>1</xdr:row>
      <xdr:rowOff>0</xdr:rowOff>
    </xdr:from>
    <xdr:ext cx="8610600" cy="2828925"/>
    <xdr:sp macro="" textlink="">
      <xdr:nvSpPr>
        <xdr:cNvPr id="13" name="Shape 13">
          <a:extLst>
            <a:ext uri="{FF2B5EF4-FFF2-40B4-BE49-F238E27FC236}">
              <a16:creationId xmlns:a16="http://schemas.microsoft.com/office/drawing/2014/main" id="{00000000-0008-0000-0D00-00000D000000}"/>
            </a:ext>
          </a:extLst>
        </xdr:cNvPr>
        <xdr:cNvSpPr/>
      </xdr:nvSpPr>
      <xdr:spPr>
        <a:xfrm>
          <a:off x="1045463" y="2370300"/>
          <a:ext cx="8601075" cy="2819400"/>
        </a:xfrm>
        <a:prstGeom prst="rect">
          <a:avLst/>
        </a:prstGeom>
        <a:solidFill>
          <a:srgbClr val="C0C0C0"/>
        </a:solidFill>
        <a:ln w="9525" cap="sq"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Arial"/>
              <a:ea typeface="Arial"/>
              <a:cs typeface="Arial"/>
              <a:sym typeface="Arial"/>
            </a:rPr>
            <a:t>Limestone</a:t>
          </a:r>
          <a:endParaRPr sz="1400"/>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Emissions from limestone and dolomite use result from industrial consumption.  The quantities of limestone consumed for industrial purposes, dolomite consumed for industrial purposes, and magnesium produced from dolomite are multiplied by their respective emission factors.  Industrial uses include the consumption of limestone and dolomite for flux stone production, glass manufacturing, flue gas desulfurization (FGD), Mg production through the thermic reduction of dolomite, chemical stone manufacturing, mine dusting or acid water treatment, acid neutralization, and sugar refining. </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Arial"/>
              <a:ea typeface="Arial"/>
              <a:cs typeface="Arial"/>
              <a:sym typeface="Arial"/>
            </a:rPr>
            <a:t>Soda Ash</a:t>
          </a:r>
          <a:endParaRPr sz="1400"/>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Emissions from soda ash manufacture and consumption are calculated by multiplying the quantity of soda ash manufactured and the quantity of soda ash consumed by their respective emission factors.  Maryland does not manufacture soda ash. </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Arial"/>
              <a:ea typeface="Arial"/>
              <a:cs typeface="Arial"/>
              <a:sym typeface="Arial"/>
            </a:rPr>
            <a:t>Electric Power Transmission and Distribution</a:t>
          </a:r>
          <a:endParaRPr sz="1400"/>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Emissions from electric power transmission and distribution are calculated by multiplying the quantity of SF6 consumed by an emission factor.  </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Arial"/>
              <a:ea typeface="Arial"/>
              <a:cs typeface="Arial"/>
              <a:sym typeface="Arial"/>
            </a:rPr>
            <a:t>ODS</a:t>
          </a:r>
          <a:endParaRPr sz="1400"/>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Emissions of HFCs, PFCs, and SF6 from ODS substitute production are estimated by apportioning national emissions to each state based on population.  State population data was provided by the U.S. Census Bureau (http://www.census.gov).  </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All emissions are then converted from metric tons of carbon equivalents (MTCE) to metric tons of carbon dioxide equivalents (MTCO2E).  Additional information on these calculations is available in the EPA SIT tool Industrial Processes Chapter of the User's Guide.  </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xdr:txBody>
    </xdr:sp>
    <xdr:clientData fLocksWithSheet="0"/>
  </xdr:oneCellAnchor>
</xdr:wsDr>
</file>

<file path=xl/drawings/drawing11.xml><?xml version="1.0" encoding="utf-8"?>
<xdr:wsDr xmlns:xdr="http://schemas.openxmlformats.org/drawingml/2006/spreadsheetDrawing" xmlns:a="http://schemas.openxmlformats.org/drawingml/2006/main">
  <xdr:oneCellAnchor>
    <xdr:from>
      <xdr:col>0</xdr:col>
      <xdr:colOff>457200</xdr:colOff>
      <xdr:row>1</xdr:row>
      <xdr:rowOff>0</xdr:rowOff>
    </xdr:from>
    <xdr:ext cx="6581775" cy="828675"/>
    <xdr:sp macro="" textlink="">
      <xdr:nvSpPr>
        <xdr:cNvPr id="14" name="Shape 14">
          <a:extLst>
            <a:ext uri="{FF2B5EF4-FFF2-40B4-BE49-F238E27FC236}">
              <a16:creationId xmlns:a16="http://schemas.microsoft.com/office/drawing/2014/main" id="{00000000-0008-0000-0E00-00000E000000}"/>
            </a:ext>
          </a:extLst>
        </xdr:cNvPr>
        <xdr:cNvSpPr/>
      </xdr:nvSpPr>
      <xdr:spPr>
        <a:xfrm>
          <a:off x="2059875" y="3370425"/>
          <a:ext cx="6572250" cy="819150"/>
        </a:xfrm>
        <a:prstGeom prst="rect">
          <a:avLst/>
        </a:prstGeom>
        <a:solidFill>
          <a:srgbClr val="C0C0C0"/>
        </a:solidFill>
        <a:ln w="9525" cap="sq"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Emissions from iron &amp; steel production processes produce greenhouse gas emissions. Predominant sources of process-related CO2 emissions in the iron and steel manufacturing industry include:</a:t>
          </a:r>
          <a:endParaRPr sz="1400"/>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        • Sinter Strand;</a:t>
          </a:r>
          <a:endParaRPr sz="1400"/>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        • L-Blast Furnace (Iron production);</a:t>
          </a:r>
          <a:endParaRPr sz="1400"/>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        • Basic Oxygen Furnace –Steel Production (BOF).</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xdr:txBody>
    </xdr:sp>
    <xdr:clientData fLocksWithSheet="0"/>
  </xdr:oneCellAnchor>
</xdr:wsDr>
</file>

<file path=xl/drawings/drawing12.xml><?xml version="1.0" encoding="utf-8"?>
<xdr:wsDr xmlns:xdr="http://schemas.openxmlformats.org/drawingml/2006/spreadsheetDrawing" xmlns:a="http://schemas.openxmlformats.org/drawingml/2006/main">
  <xdr:oneCellAnchor>
    <xdr:from>
      <xdr:col>0</xdr:col>
      <xdr:colOff>447675</xdr:colOff>
      <xdr:row>1</xdr:row>
      <xdr:rowOff>9525</xdr:rowOff>
    </xdr:from>
    <xdr:ext cx="7943850" cy="657225"/>
    <xdr:sp macro="" textlink="">
      <xdr:nvSpPr>
        <xdr:cNvPr id="15" name="Shape 15">
          <a:extLst>
            <a:ext uri="{FF2B5EF4-FFF2-40B4-BE49-F238E27FC236}">
              <a16:creationId xmlns:a16="http://schemas.microsoft.com/office/drawing/2014/main" id="{00000000-0008-0000-0F00-00000F000000}"/>
            </a:ext>
          </a:extLst>
        </xdr:cNvPr>
        <xdr:cNvSpPr/>
      </xdr:nvSpPr>
      <xdr:spPr>
        <a:xfrm>
          <a:off x="1378838" y="3456150"/>
          <a:ext cx="7934325" cy="647700"/>
        </a:xfrm>
        <a:prstGeom prst="rect">
          <a:avLst/>
        </a:prstGeom>
        <a:solidFill>
          <a:srgbClr val="C0C0C0"/>
        </a:solidFill>
        <a:ln w="9525" cap="sq"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Emissions from ammonia production and urea application are calculated by multiplying the quantity of ammonia produced and urea applied by their respective emission factors. Emissions from urea application are subtracted from emissions due to ammonia production. The emissions are then converted from metric tons of carbon equivalents (MTCE) to metric tons of carbon dioxide equivalents (MTCO2E).  Additional information on these calculations is available in the Industrial Processes Chapter of the EPA State Inventory Tool User's Guide.  </a:t>
          </a:r>
          <a:endParaRPr sz="1400"/>
        </a:p>
      </xdr:txBody>
    </xdr:sp>
    <xdr:clientData fLocksWithSheet="0"/>
  </xdr:oneCellAnchor>
</xdr:wsDr>
</file>

<file path=xl/drawings/drawing13.xml><?xml version="1.0" encoding="utf-8"?>
<xdr:wsDr xmlns:xdr="http://schemas.openxmlformats.org/drawingml/2006/spreadsheetDrawing" xmlns:a="http://schemas.openxmlformats.org/drawingml/2006/main">
  <xdr:oneCellAnchor>
    <xdr:from>
      <xdr:col>20</xdr:col>
      <xdr:colOff>228600</xdr:colOff>
      <xdr:row>1</xdr:row>
      <xdr:rowOff>9525</xdr:rowOff>
    </xdr:from>
    <xdr:ext cx="11458575" cy="5000625"/>
    <xdr:sp macro="" textlink="">
      <xdr:nvSpPr>
        <xdr:cNvPr id="16" name="Shape 16">
          <a:extLst>
            <a:ext uri="{FF2B5EF4-FFF2-40B4-BE49-F238E27FC236}">
              <a16:creationId xmlns:a16="http://schemas.microsoft.com/office/drawing/2014/main" id="{00000000-0008-0000-1000-000010000000}"/>
            </a:ext>
          </a:extLst>
        </xdr:cNvPr>
        <xdr:cNvSpPr/>
      </xdr:nvSpPr>
      <xdr:spPr>
        <a:xfrm>
          <a:off x="0" y="1284450"/>
          <a:ext cx="10692000" cy="4991100"/>
        </a:xfrm>
        <a:prstGeom prst="rect">
          <a:avLst/>
        </a:prstGeom>
        <a:solidFill>
          <a:srgbClr val="C0C0C0"/>
        </a:solidFill>
        <a:ln w="9525" cap="sq"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Emissions from the Agricultural Sector are calculated by summing the emissions from the following sources:</a:t>
          </a:r>
          <a:endParaRPr sz="1400"/>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        • Enteric Fermentation</a:t>
          </a:r>
          <a:endParaRPr sz="1400"/>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        • Manure Management</a:t>
          </a:r>
          <a:endParaRPr sz="1400"/>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        • Plant Residues</a:t>
          </a:r>
          <a:endParaRPr sz="1400"/>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        • Fertilizers</a:t>
          </a:r>
          <a:endParaRPr sz="1400"/>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        • Animals</a:t>
          </a:r>
          <a:endParaRPr sz="1400"/>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        • Rice Cultivation</a:t>
          </a:r>
          <a:endParaRPr sz="1400"/>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        • Agricultural Residue Burning</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Emissions from Enteric Fermentation are calculated by multiplying each animal population by an animal- and region-specific emission factor.  Those resulting values, in kg CH4, are then converted to million metric tons (MMTCH4), MMT carbon equivalent (MMTCE), MMT carbon dioxide  equivalent (MMTCO2E), and then summed across animal types within a given year.  </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Methane emissions from Manure Management are calculated by multiplying each animal population by the typical animal mass (TAM) and the average volatile solids (VS) produced per kilogram (kg) of animal mass per year to estimate the amount of VS produced.  For each animal, this VS total is muliplied by the maximum potential emissions factor and by the methane conversion factor (MCF) of the manure system by the percentage manure managed in that system.  This yields methane emissions in cubic meters which are then converted to MMTCE, MMT carbon dioxide  equivalent (MMTCO2E), and then summed.  </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N2O emissions from Manure Management are calculated by multiplying each animal population by the typical animal mass (TAM) by the amount of nitrogen produced per kilogram of animal mass per year.  This value is then multiplied by a non-volatization factor and the proportion of waste processed in liquid and solid management systems to give two totals of unvolatized N.  Each of these are multiplied by an emission factor specific to the management system to give two totals of nitrogen emissions.  These totals are then summed and converted to N2O.  This amount is then converted to MMTCE, MMT carbon dioxide equivalent (MMTCO2E), and then summed.  </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Emissions from Plant Residues are calculated by first converting the crop production to metric tons.  This value is multiplied by the ratio of plant residue to crop mass, the fraction of dry matter in the residue, the fraction of residue applied, and the N content of the residue.  These values are summed to yield total N returned to soils, multiplied by an emission factor (EF), and converted to N2O.  For Legumes, the crop production is multiplied by the residue to crop mass ratio, the dry matter fraction, and the N content of above-ground biomass.  These values are then summed to yield total N-fixed by crops, multiplied by an EF, and converted to N2O.  Emissions from histosols are calculated by converting acres cultivated into hectares, multiplying by an EF, and then converting to N2O.  This amount is also converted to MMTCE, MMT carbon dioxide equivalent (MMTCO2E).  </a:t>
          </a:r>
          <a:endParaRPr sz="1400"/>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Emissions of N2O from Fertilizers are calculated by first adjusting synthetic and organic fertilizer use data (in kg N) to calendar year.  The amount of N in synthetic fertilizer is multiplied by a synthetic volatilization rate to estimate volatilized N.  According to the IPCC Good Practice Guidance, the manure portion of organic fertilizers is subtracted from the total of organic fertilizers. Then, the amount of N in non-manure organic fertilizer is multiplied by the fraction N in other organics and by an organic volatilization rate to estimate organic volatilized N.  Unvolatilized N for synthetic and organic fertilizer is calculated using the remaining fraction of the volatilization rates.  These categories are summed, multiplied by an EF, and converted to metric tons of N2O emitted.  This amount is also converted to MMTCE, MMT carbon dioxide equivalent (MMTCO2E).  </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Emissions from Animals are calculated by multiplying each animal population by the typical animal mass (TAM) by the amount of K-Nitrogen (K-N) produced per kilogram of animal mass per year for total K-N excreted.  Indirect emissions are estimated by multiplying K-N by a volatization rate and EF to give emissions of N.  Direct emissions from pasture, range, and paddock are calculated by multiplying K-N by the percent of manure in pastures and an EF for that system.  Direct emissions from manure applied to soils are calculated by multiplying K-N for daily spread and managed systems by the percent of manure in these systems and an EF for each system, excluding a small percent of managed manure used as feed.  These totals are then summed and converted to N2O.  Unvolatized N from fertilizers, calculated on the previous worksheet, and K-N from manure are multiplied by a leaching EF to give emissions from leaching and runoff.  The emissions summary for each year converts the total direct and indirect estimates for livestock and runoff/leaching to MTN2O, MMTCE, and then MMT carbon dioxide equivalent (MMTCO2E).  </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Emissions from Rice Cultivation are calculated using the area harvested.  There is no rice cultivation in Maryland.  </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Emissions from Agricultural Residue Burning are calculated by multiplying the amount of crop produced by a series of factors to calculate the amount of crop residue produced and burned, the resultant dry matter, and the carbon/nitrogen content of this dry matter.  From these, the amount of carbon and nitrogen released can be determined, and thus methane and nitrous oxide emissions quantified.  Those resulting values, in metric tons of gas, are converted to million metric tons carbon equivalent (MMTCE), then to million metric tons carbon dioxide equivalent MMTCO2E, and then summed.  Note that default emission factors are available through 2007.</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xdr:txBody>
    </xdr:sp>
    <xdr:clientData fLocksWithSheet="0"/>
  </xdr:oneCellAnchor>
  <xdr:oneCellAnchor>
    <xdr:from>
      <xdr:col>1</xdr:col>
      <xdr:colOff>0</xdr:colOff>
      <xdr:row>1</xdr:row>
      <xdr:rowOff>38100</xdr:rowOff>
    </xdr:from>
    <xdr:ext cx="12944475" cy="4600575"/>
    <xdr:sp macro="" textlink="">
      <xdr:nvSpPr>
        <xdr:cNvPr id="17" name="Shape 17">
          <a:extLst>
            <a:ext uri="{FF2B5EF4-FFF2-40B4-BE49-F238E27FC236}">
              <a16:creationId xmlns:a16="http://schemas.microsoft.com/office/drawing/2014/main" id="{00000000-0008-0000-1000-000011000000}"/>
            </a:ext>
          </a:extLst>
        </xdr:cNvPr>
        <xdr:cNvSpPr/>
      </xdr:nvSpPr>
      <xdr:spPr>
        <a:xfrm>
          <a:off x="0" y="1484475"/>
          <a:ext cx="10692000" cy="4591050"/>
        </a:xfrm>
        <a:prstGeom prst="rect">
          <a:avLst/>
        </a:prstGeom>
        <a:solidFill>
          <a:srgbClr val="C0C0C0"/>
        </a:solidFill>
        <a:ln w="9525" cap="sq"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Arial"/>
              <a:ea typeface="Arial"/>
              <a:cs typeface="Arial"/>
              <a:sym typeface="Arial"/>
            </a:rPr>
            <a:t>Enteric Fermentation</a:t>
          </a:r>
          <a:endParaRPr sz="1400"/>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Emissions from Enteric Fermentation are calculated by multiplying each animal population by an animal- and region-specific emission factor.  Those resulting values, in kg CH4, are then converted to million metric tons (MMTCH4), MMT carbon equivalent (MMTCE), MMT carbon dioxide  equivalent (MMTCO2E), and then summed across animal types within a given year.  </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Arial"/>
              <a:ea typeface="Arial"/>
              <a:cs typeface="Arial"/>
              <a:sym typeface="Arial"/>
            </a:rPr>
            <a:t>Manure Management</a:t>
          </a:r>
          <a:endParaRPr sz="1400"/>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Methane emissions from Manure Management are calculated by multiplying each animal population by the typical animal mass (TAM) and the average volatile solids (VS) produced per kilogram (kg) of animal mass per year to estimate the amount of VS produced.  For each animal, this VS total is muliplied by the maximum potential emissions factor and by the methane conversion factor (MCF) of the manure system by the percentage manure managed in that system.  This yields methane emissions in cubic meters which are then converted to MMTCE, MMT carbon dioxide equivalent (MMTCO2E), and then summed.  </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N2O emissions from Manure Management are calculated by multiplying each animal population by the typical animal mass (TAM) by the amount of Kjejdahl nitrogen produced per kilogram of animal mass per year.  This value is then multiplied by a non-volatization factor and the proportion of waste processed in liquid and solid management systems to give two totals of unvolatized N.  Each of these are multiplied by an emission factor specific to the management system to give two totals of nitrogen emissions.  These totals are then summed and converted to N2O.  This amount is then converted to MMTCE, MMT carbon dioxide equivalent (MMTCO2E), and then summed.  </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Arial"/>
              <a:ea typeface="Arial"/>
              <a:cs typeface="Arial"/>
              <a:sym typeface="Arial"/>
            </a:rPr>
            <a:t>Ag Soils – Plant: Residues &amp; Legumes</a:t>
          </a:r>
          <a:endParaRPr sz="1400"/>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Emissions from Plant Residues are calculated by first converting the crop production to metric tons.  This value is multiplied by the ratio of plant residue to crop mass, the fraction of dry matter in the residue, the fraction of residue applied, and the N content of the residue.  These values are summed to yield total N returned to soils, multiplied by an emission factor (EF), and converted to N2O.  For Legumes, the crop production is multiplied by the residue to crop mass ratio, the dry matter fraction, and the N content of above-ground biomass.  These values are then summed to yield total N-fixed by crops, multiplied by an EF, and converted to N2O.  Emissions from histosols are calculated by converting acres cultivated into hectares, multiplying by an EF, and then converting to N2O.  This amount is also converted to MMTCE, MMT carbon dioxide equivalent (MMTCO2E).  </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Arial"/>
              <a:ea typeface="Arial"/>
              <a:cs typeface="Arial"/>
              <a:sym typeface="Arial"/>
            </a:rPr>
            <a:t>Ag Soils – Plant: Fertilizers</a:t>
          </a:r>
          <a:endParaRPr sz="1400"/>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Emissions of N2O from Fertilizers are calculated by first adjusting synthetic and organic fertilizer use data (in kg N) to calendar year.  The amount of N in synthetic fertilizer is multiplied by a synthetic volatilization rate to estimate volatilized N.  According to the IPCC Good Practice Guidance, the manure portion of organic fertilizers is subtracted from the total of organic fertilizers. Then, the amount of N in non-manure organic fertilizer is multiplied by the fraction N in other organics and by an organic volatilization rate to estimate organic volatilized N.  Unvolatilized N for synthetic and organic fertilizer is calculated using the remaining fraction of the volatilization rates.  These categories are summed, multiplied by an EF, and converted to metric tons of N2O emitted.  </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Arial"/>
              <a:ea typeface="Arial"/>
              <a:cs typeface="Arial"/>
              <a:sym typeface="Arial"/>
            </a:rPr>
            <a:t>Ag Soils – Animals</a:t>
          </a:r>
          <a:endParaRPr sz="1400"/>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Emissions from Animals are calculated by multiplying each animal population by the typical animal mass (TAM) by the amount of K-Nitrogen (K-N) produced per kilogram of animal mass per year for total K-N excreted.  Indirect emissions are estimated by multiplying K-N by a volatization rate and EF to give emissions of N.  Direct emissions from pasture, range, and paddock are calculated by multiplying K-N by the percent of manure in pastures and an EF for that system.  Direct emissions from manure applied to soils are calculated by multiplying K-N for daily spread and managed systems by the percent of manure in these systems and an EF for each system, excluding a small percent of managed manure used as feed.  These totals are then summed and converted to N2O.  Unvolatized N from fertilizers, calculated on the previous worksheet, and K-N from manure are multiplied by a leaching EF to give emissions from leaching and runoff.  The emissions summary for each year converts the total direct and indirect estimates for livestock and runoff/leaching to MTN2O, MMTCE, and then MMT carbon dioxide equivalent (MMTCO2E</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b="1" i="0" u="none" strike="noStrike">
              <a:solidFill>
                <a:srgbClr val="000000"/>
              </a:solidFill>
              <a:latin typeface="Arial"/>
              <a:ea typeface="Arial"/>
              <a:cs typeface="Arial"/>
              <a:sym typeface="Arial"/>
            </a:rPr>
            <a:t>Ag Residue Burning</a:t>
          </a:r>
          <a:endParaRPr sz="1400"/>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Emissions from Agricultural Residue Burning are calculated by multiplying the amount of crop produced by a series of factors to calculate the amount of crop residue produced and burned, the resultant dry matter, and the carbon/nitrogen content of this dry matter.  From these, the amount of carbon and nitrogen released can be determined, and thus methane and nitrous oxide emissions quantified.  Those resulting values, in metric tons of gas, are converted to million metric tons carbon equivalent (MMTCE), then to million metric tons carbon dioxide equivalent MMTCO2E, and then summed.</a:t>
          </a:r>
          <a:endParaRPr sz="1400"/>
        </a:p>
      </xdr:txBody>
    </xdr:sp>
    <xdr:clientData fLocksWithSheet="0"/>
  </xdr:oneCellAnchor>
</xdr:wsDr>
</file>

<file path=xl/drawings/drawing14.xml><?xml version="1.0" encoding="utf-8"?>
<xdr:wsDr xmlns:xdr="http://schemas.openxmlformats.org/drawingml/2006/spreadsheetDrawing" xmlns:a="http://schemas.openxmlformats.org/drawingml/2006/main">
  <xdr:oneCellAnchor>
    <xdr:from>
      <xdr:col>0</xdr:col>
      <xdr:colOff>457200</xdr:colOff>
      <xdr:row>1</xdr:row>
      <xdr:rowOff>0</xdr:rowOff>
    </xdr:from>
    <xdr:ext cx="6858000" cy="723900"/>
    <xdr:sp macro="" textlink="">
      <xdr:nvSpPr>
        <xdr:cNvPr id="18" name="Shape 18">
          <a:extLst>
            <a:ext uri="{FF2B5EF4-FFF2-40B4-BE49-F238E27FC236}">
              <a16:creationId xmlns:a16="http://schemas.microsoft.com/office/drawing/2014/main" id="{00000000-0008-0000-1200-000012000000}"/>
            </a:ext>
          </a:extLst>
        </xdr:cNvPr>
        <xdr:cNvSpPr/>
      </xdr:nvSpPr>
      <xdr:spPr>
        <a:xfrm>
          <a:off x="1921763" y="3422813"/>
          <a:ext cx="6848475" cy="714375"/>
        </a:xfrm>
        <a:prstGeom prst="rect">
          <a:avLst/>
        </a:prstGeom>
        <a:solidFill>
          <a:srgbClr val="C0C0C0"/>
        </a:solidFill>
        <a:ln w="9525" cap="sq"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Carbon dioxide (CO2) emission from Municipal Solid Waste (MSW) combustion in incinerators was estimated from the CO2 Emissions CEM reading at the Incinerators plant (except for harford County),while CH4 and N2O emissions were estimated by  by multiplying the tonnages of MSW combusted in Maryland in 2011 by the default EPA Municipal Solid Waste heat value and an updated CO2 emission factor from the Mandatory Greenhouse Gas Reporting Rule.  All material burned was included in the analysis.</a:t>
          </a:r>
          <a:endParaRPr sz="1400"/>
        </a:p>
      </xdr:txBody>
    </xdr:sp>
    <xdr:clientData fLocksWithSheet="0"/>
  </xdr:oneCellAnchor>
</xdr:wsDr>
</file>

<file path=xl/drawings/drawing15.xml><?xml version="1.0" encoding="utf-8"?>
<xdr:wsDr xmlns:xdr="http://schemas.openxmlformats.org/drawingml/2006/spreadsheetDrawing" xmlns:a="http://schemas.openxmlformats.org/drawingml/2006/main">
  <xdr:oneCellAnchor>
    <xdr:from>
      <xdr:col>0</xdr:col>
      <xdr:colOff>104775</xdr:colOff>
      <xdr:row>1</xdr:row>
      <xdr:rowOff>0</xdr:rowOff>
    </xdr:from>
    <xdr:ext cx="10401300" cy="1304925"/>
    <xdr:sp macro="" textlink="">
      <xdr:nvSpPr>
        <xdr:cNvPr id="19" name="Shape 19">
          <a:extLst>
            <a:ext uri="{FF2B5EF4-FFF2-40B4-BE49-F238E27FC236}">
              <a16:creationId xmlns:a16="http://schemas.microsoft.com/office/drawing/2014/main" id="{00000000-0008-0000-1300-000013000000}"/>
            </a:ext>
          </a:extLst>
        </xdr:cNvPr>
        <xdr:cNvSpPr/>
      </xdr:nvSpPr>
      <xdr:spPr>
        <a:xfrm>
          <a:off x="150113" y="3132300"/>
          <a:ext cx="10391775" cy="1295400"/>
        </a:xfrm>
        <a:prstGeom prst="rect">
          <a:avLst/>
        </a:prstGeom>
        <a:solidFill>
          <a:srgbClr val="C0C0C0"/>
        </a:solidFill>
        <a:ln w="9525" cap="sq"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Estimation of carbon dioxide (CO2) emission from Landfill gas flaring / conversion to energy generation was based on the amount of CH4 collected by the collection system from the total amount of CH4 generated from the Landfill and the control devices efficiency. CO2 emission estimate was based on the stoichiometric combustion reactionequation (1) below. </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        CH</a:t>
          </a:r>
          <a:r>
            <a:rPr lang="en-US" sz="800" i="0" u="none" strike="noStrike" baseline="-25000">
              <a:solidFill>
                <a:srgbClr val="000000"/>
              </a:solidFill>
              <a:latin typeface="Arial"/>
              <a:ea typeface="Arial"/>
              <a:cs typeface="Arial"/>
              <a:sym typeface="Arial"/>
            </a:rPr>
            <a:t>4</a:t>
          </a:r>
          <a:r>
            <a:rPr lang="en-US" sz="800" i="0" u="none" strike="noStrike">
              <a:solidFill>
                <a:srgbClr val="000000"/>
              </a:solidFill>
              <a:latin typeface="Arial"/>
              <a:ea typeface="Arial"/>
              <a:cs typeface="Arial"/>
              <a:sym typeface="Arial"/>
            </a:rPr>
            <a:t> + 2O</a:t>
          </a:r>
          <a:r>
            <a:rPr lang="en-US" sz="800" i="0" u="none" strike="noStrike" baseline="-25000">
              <a:solidFill>
                <a:srgbClr val="000000"/>
              </a:solidFill>
              <a:latin typeface="Arial"/>
              <a:ea typeface="Arial"/>
              <a:cs typeface="Arial"/>
              <a:sym typeface="Arial"/>
            </a:rPr>
            <a:t>2</a:t>
          </a:r>
          <a:r>
            <a:rPr lang="en-US" sz="800" i="0" u="none" strike="noStrike">
              <a:solidFill>
                <a:srgbClr val="000000"/>
              </a:solidFill>
              <a:latin typeface="Arial"/>
              <a:ea typeface="Arial"/>
              <a:cs typeface="Arial"/>
              <a:sym typeface="Arial"/>
            </a:rPr>
            <a:t> → CO</a:t>
          </a:r>
          <a:r>
            <a:rPr lang="en-US" sz="800" i="0" u="none" strike="noStrike" baseline="-25000">
              <a:solidFill>
                <a:srgbClr val="000000"/>
              </a:solidFill>
              <a:latin typeface="Arial"/>
              <a:ea typeface="Arial"/>
              <a:cs typeface="Arial"/>
              <a:sym typeface="Arial"/>
            </a:rPr>
            <a:t>2</a:t>
          </a:r>
          <a:r>
            <a:rPr lang="en-US" sz="800" i="0" u="none" strike="noStrike">
              <a:solidFill>
                <a:srgbClr val="000000"/>
              </a:solidFill>
              <a:latin typeface="Arial"/>
              <a:ea typeface="Arial"/>
              <a:cs typeface="Arial"/>
              <a:sym typeface="Arial"/>
            </a:rPr>
            <a:t> + 2H</a:t>
          </a:r>
          <a:r>
            <a:rPr lang="en-US" sz="800" i="0" u="none" strike="noStrike" baseline="-25000">
              <a:solidFill>
                <a:srgbClr val="000000"/>
              </a:solidFill>
              <a:latin typeface="Arial"/>
              <a:ea typeface="Arial"/>
              <a:cs typeface="Arial"/>
              <a:sym typeface="Arial"/>
            </a:rPr>
            <a:t>2</a:t>
          </a:r>
          <a:r>
            <a:rPr lang="en-US" sz="800" i="0" u="none" strike="noStrike">
              <a:solidFill>
                <a:srgbClr val="000000"/>
              </a:solidFill>
              <a:latin typeface="Arial"/>
              <a:ea typeface="Arial"/>
              <a:cs typeface="Arial"/>
              <a:sym typeface="Arial"/>
            </a:rPr>
            <a:t>O (Equation 1)</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    1 Kmol CH</a:t>
          </a:r>
          <a:r>
            <a:rPr lang="en-US" sz="800" i="0" u="none" strike="noStrike" baseline="-25000">
              <a:solidFill>
                <a:srgbClr val="000000"/>
              </a:solidFill>
              <a:latin typeface="Arial"/>
              <a:ea typeface="Arial"/>
              <a:cs typeface="Arial"/>
              <a:sym typeface="Arial"/>
            </a:rPr>
            <a:t>4</a:t>
          </a:r>
          <a:r>
            <a:rPr lang="en-US" sz="800" i="0" u="none" strike="noStrike">
              <a:solidFill>
                <a:srgbClr val="000000"/>
              </a:solidFill>
              <a:latin typeface="Arial"/>
              <a:ea typeface="Arial"/>
              <a:cs typeface="Arial"/>
              <a:sym typeface="Arial"/>
            </a:rPr>
            <a:t> =&gt; 1 Kmol CO</a:t>
          </a:r>
          <a:r>
            <a:rPr lang="en-US" sz="800" i="0" u="none" strike="noStrike" baseline="-25000">
              <a:solidFill>
                <a:srgbClr val="000000"/>
              </a:solidFill>
              <a:latin typeface="Arial"/>
              <a:ea typeface="Arial"/>
              <a:cs typeface="Arial"/>
              <a:sym typeface="Arial"/>
            </a:rPr>
            <a:t>2</a:t>
          </a:r>
          <a:endParaRPr sz="1400"/>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     16 g CH</a:t>
          </a:r>
          <a:r>
            <a:rPr lang="en-US" sz="800" i="0" u="none" strike="noStrike" baseline="-25000">
              <a:solidFill>
                <a:srgbClr val="000000"/>
              </a:solidFill>
              <a:latin typeface="Arial"/>
              <a:ea typeface="Arial"/>
              <a:cs typeface="Arial"/>
              <a:sym typeface="Arial"/>
            </a:rPr>
            <a:t>4</a:t>
          </a:r>
          <a:r>
            <a:rPr lang="en-US" sz="800" i="0" u="none" strike="noStrike">
              <a:solidFill>
                <a:srgbClr val="000000"/>
              </a:solidFill>
              <a:latin typeface="Arial"/>
              <a:ea typeface="Arial"/>
              <a:cs typeface="Arial"/>
              <a:sym typeface="Arial"/>
            </a:rPr>
            <a:t>     =&gt;  44 g CO</a:t>
          </a:r>
          <a:r>
            <a:rPr lang="en-US" sz="800" i="0" u="none" strike="noStrike" baseline="-25000">
              <a:solidFill>
                <a:srgbClr val="000000"/>
              </a:solidFill>
              <a:latin typeface="Arial"/>
              <a:ea typeface="Arial"/>
              <a:cs typeface="Arial"/>
              <a:sym typeface="Arial"/>
            </a:rPr>
            <a:t>2</a:t>
          </a:r>
          <a:endParaRPr sz="1400"/>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      1 g CH</a:t>
          </a:r>
          <a:r>
            <a:rPr lang="en-US" sz="800" i="0" u="none" strike="noStrike" baseline="-25000">
              <a:solidFill>
                <a:srgbClr val="000000"/>
              </a:solidFill>
              <a:latin typeface="Arial"/>
              <a:ea typeface="Arial"/>
              <a:cs typeface="Arial"/>
              <a:sym typeface="Arial"/>
            </a:rPr>
            <a:t>4</a:t>
          </a:r>
          <a:r>
            <a:rPr lang="en-US" sz="800" i="0" u="none" strike="noStrike">
              <a:solidFill>
                <a:srgbClr val="000000"/>
              </a:solidFill>
              <a:latin typeface="Arial"/>
              <a:ea typeface="Arial"/>
              <a:cs typeface="Arial"/>
              <a:sym typeface="Arial"/>
            </a:rPr>
            <a:t>      =&gt;   2.75 g CO</a:t>
          </a:r>
          <a:r>
            <a:rPr lang="en-US" sz="800" i="0" u="none" strike="noStrike" baseline="-25000">
              <a:solidFill>
                <a:srgbClr val="000000"/>
              </a:solidFill>
              <a:latin typeface="Arial"/>
              <a:ea typeface="Arial"/>
              <a:cs typeface="Arial"/>
              <a:sym typeface="Arial"/>
            </a:rPr>
            <a:t>2</a:t>
          </a:r>
          <a:r>
            <a:rPr lang="en-US" sz="800" i="0" u="none" strike="noStrike">
              <a:solidFill>
                <a:srgbClr val="000000"/>
              </a:solidFill>
              <a:latin typeface="Arial"/>
              <a:ea typeface="Arial"/>
              <a:cs typeface="Arial"/>
              <a:sym typeface="Arial"/>
            </a:rPr>
            <a:t>   </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xdr:txBody>
    </xdr:sp>
    <xdr:clientData fLocksWithSheet="0"/>
  </xdr:oneCellAnchor>
</xdr:wsDr>
</file>

<file path=xl/drawings/drawing16.xml><?xml version="1.0" encoding="utf-8"?>
<xdr:wsDr xmlns:xdr="http://schemas.openxmlformats.org/drawingml/2006/spreadsheetDrawing" xmlns:a="http://schemas.openxmlformats.org/drawingml/2006/main">
  <xdr:oneCellAnchor>
    <xdr:from>
      <xdr:col>1</xdr:col>
      <xdr:colOff>0</xdr:colOff>
      <xdr:row>1</xdr:row>
      <xdr:rowOff>9525</xdr:rowOff>
    </xdr:from>
    <xdr:ext cx="10344150" cy="3648075"/>
    <xdr:sp macro="" textlink="">
      <xdr:nvSpPr>
        <xdr:cNvPr id="20" name="Shape 20">
          <a:extLst>
            <a:ext uri="{FF2B5EF4-FFF2-40B4-BE49-F238E27FC236}">
              <a16:creationId xmlns:a16="http://schemas.microsoft.com/office/drawing/2014/main" id="{00000000-0008-0000-1400-000014000000}"/>
            </a:ext>
          </a:extLst>
        </xdr:cNvPr>
        <xdr:cNvSpPr/>
      </xdr:nvSpPr>
      <xdr:spPr>
        <a:xfrm>
          <a:off x="178688" y="1960725"/>
          <a:ext cx="10334625" cy="3638550"/>
        </a:xfrm>
        <a:prstGeom prst="rect">
          <a:avLst/>
        </a:prstGeom>
        <a:solidFill>
          <a:srgbClr val="C0C0C0"/>
        </a:solidFill>
        <a:ln w="9525" cap="sq"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To calculate methane emissions from municipal wastewater treatment, the total annual BOD5 production in metric tons is multiplied by the fraction that is treated anaerobically and by the CH4 produced per metric ton of BOD5, converted to million metric tons carbon equivalent (MMTCE), and converted to million metric tons carbon dioxide equivalent (MMTCO2E).  .</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Municipal wastewater treatment direct N2O emissions are calculated by multiplying total population served by an N2O emission factor per person per year, converted to million metric tons carbon equivalent (MMTCE), and converted to million metric tons carbon dioxide equivalent (MMTCO2E).  </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Municipal wastewater N2O emissions from biosolids are calculated by multiplying the total annual protein consumption by the nitrogen content of protein and fraction of nitrogen not consumed, an N2O emission factor per metric ton of nitrogen treated, subtracting direct emissions, converted to million metric tons carbon equivalent (MMTCE), and converted to million metric tons carbon dioxide equivalent (MMTCO2E).   Direct and biosolids N2O emissions are then added to produce an estimate of total municipal wastewater treatment N2O emissions.  </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Emissions from treatment of industrial wastewater from fruit and vegetables is based annual metric tons produced and factored by the volume of wastewater produced per unit production, the average organic matter content of wastewater from those processes, a CH4 emission factor, the percent treated anaerobically, converted to million metric tons carbon equivalent (MMTCE), and converted to million metric tons carbon dioxide equivalent (MMTCO2E).  </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Emissions from treatment of industrial wastewater from red meat is based annual metric tons produced and factored by the volume of wastewater produced per unit production, the average organic matter content of wastewater from those processes, a CH4 emission factor, the percent treated anaerobically, converted to million metric tons carbon equivalent (MMTCE), and converted to million metric tons carbon dioxide equivalent (MMTCO2E).  </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Emissions from treatment of industrial wastewater from poultry is based annual metric tons produced and factored by the volume of wastewater produced per unit production, the average organic matter content of wastewater from those processes, a CH4 emission factor, the percent treated anaerobically, converted to million metric tons carbon equivalent (MMTCE), and converted to million metric tons carbon dioxide equivalent (MMTCO2E).  </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Emissions from treatment of industrial wastewater from pulp and paper production is based annual metric tons produced and factored by the volume of wastewater produced per unit production, the average organic matter content of wastewater from those processes, a CH4 emission factor, the percent treated anaerobically, converted to million metric tons carbon equivalent (MMTCE), and converted to million metric tons carbon dioxide equivalent (MMTCO2E).  </a:t>
          </a:r>
          <a:endParaRPr sz="1400"/>
        </a:p>
      </xdr:txBody>
    </xdr:sp>
    <xdr:clientData fLocksWithSheet="0"/>
  </xdr:oneCellAnchor>
</xdr:wsDr>
</file>

<file path=xl/drawings/drawing17.xml><?xml version="1.0" encoding="utf-8"?>
<xdr:wsDr xmlns:xdr="http://schemas.openxmlformats.org/drawingml/2006/spreadsheetDrawing" xmlns:a="http://schemas.openxmlformats.org/drawingml/2006/main">
  <xdr:oneCellAnchor>
    <xdr:from>
      <xdr:col>0</xdr:col>
      <xdr:colOff>476250</xdr:colOff>
      <xdr:row>1</xdr:row>
      <xdr:rowOff>0</xdr:rowOff>
    </xdr:from>
    <xdr:ext cx="5000625" cy="1400175"/>
    <xdr:sp macro="" textlink="">
      <xdr:nvSpPr>
        <xdr:cNvPr id="21" name="Shape 21">
          <a:extLst>
            <a:ext uri="{FF2B5EF4-FFF2-40B4-BE49-F238E27FC236}">
              <a16:creationId xmlns:a16="http://schemas.microsoft.com/office/drawing/2014/main" id="{00000000-0008-0000-1500-000015000000}"/>
            </a:ext>
          </a:extLst>
        </xdr:cNvPr>
        <xdr:cNvSpPr/>
      </xdr:nvSpPr>
      <xdr:spPr>
        <a:xfrm>
          <a:off x="2850450" y="3084675"/>
          <a:ext cx="4991100" cy="1390650"/>
        </a:xfrm>
        <a:prstGeom prst="rect">
          <a:avLst/>
        </a:prstGeom>
        <a:solidFill>
          <a:srgbClr val="C0C0C0"/>
        </a:solidFill>
        <a:ln w="9525" cap="sq" cmpd="sng">
          <a:solidFill>
            <a:srgbClr val="000000"/>
          </a:solidFill>
          <a:prstDash val="solid"/>
          <a:miter lim="800000"/>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The method used to calculate emissions is presented in a study/survey conducted by the Mid-Atlantic/Northeast Visibility Union (MANE-VU), titled “Open Burning in Residential Areas Emissions Inventory Development Report.” User's Guide.  The purpose of the survey was to obtain data for developing activity estimates and control information (e.g., bans on burning) that would form the basis of an improved open burning emission inventory for Mid-Atlantic/Northeast Visibility Union (MANE-VU) states.</a:t>
          </a:r>
          <a:endParaRPr sz="1400"/>
        </a:p>
        <a:p>
          <a:pPr marL="0" lvl="0" indent="0" algn="l" rtl="0">
            <a:spcBef>
              <a:spcPts val="0"/>
            </a:spcBef>
            <a:spcAft>
              <a:spcPts val="0"/>
            </a:spcAft>
            <a:buSzPts val="800"/>
            <a:buFont typeface="Arial"/>
            <a:buNone/>
          </a:pPr>
          <a:endParaRPr sz="800" i="0" u="none" strike="noStrike">
            <a:solidFill>
              <a:srgbClr val="000000"/>
            </a:solidFill>
            <a:latin typeface="Arial"/>
            <a:ea typeface="Arial"/>
            <a:cs typeface="Arial"/>
            <a:sym typeface="Arial"/>
          </a:endParaRPr>
        </a:p>
        <a:p>
          <a:pPr marL="0" lvl="0" indent="0" algn="l" rtl="0">
            <a:spcBef>
              <a:spcPts val="0"/>
            </a:spcBef>
            <a:spcAft>
              <a:spcPts val="0"/>
            </a:spcAft>
            <a:buClr>
              <a:srgbClr val="000000"/>
            </a:buClr>
            <a:buSzPts val="800"/>
            <a:buFont typeface="Arial"/>
            <a:buNone/>
          </a:pPr>
          <a:r>
            <a:rPr lang="en-US" sz="800" i="0" u="none" strike="noStrike">
              <a:solidFill>
                <a:srgbClr val="000000"/>
              </a:solidFill>
              <a:latin typeface="Arial"/>
              <a:ea typeface="Arial"/>
              <a:cs typeface="Arial"/>
              <a:sym typeface="Arial"/>
            </a:rPr>
            <a:t>Emission factors in lbs/ton total mass were taken from AP-42 Table 2.5-1, Emission Factors for Open Burning of Municipal Refuse and from a 1997 EPA research paper on open burning.</a:t>
          </a:r>
          <a:endParaRPr sz="1400"/>
        </a:p>
      </xdr:txBody>
    </xdr:sp>
    <xdr:clientData fLocksWithSheet="0"/>
  </xdr:oneCellAnchor>
</xdr:wsDr>
</file>

<file path=xl/drawings/drawing18.xml><?xml version="1.0" encoding="utf-8"?>
<xdr:wsDr xmlns:xdr="http://schemas.openxmlformats.org/drawingml/2006/spreadsheetDrawing" xmlns:a="http://schemas.openxmlformats.org/drawingml/2006/main">
  <xdr:oneCellAnchor>
    <xdr:from>
      <xdr:col>7</xdr:col>
      <xdr:colOff>2047875</xdr:colOff>
      <xdr:row>23</xdr:row>
      <xdr:rowOff>0</xdr:rowOff>
    </xdr:from>
    <xdr:ext cx="5924550" cy="4267200"/>
    <xdr:graphicFrame macro="">
      <xdr:nvGraphicFramePr>
        <xdr:cNvPr id="1167720374" name="Chart 1" descr="Chart 0">
          <a:extLst>
            <a:ext uri="{FF2B5EF4-FFF2-40B4-BE49-F238E27FC236}">
              <a16:creationId xmlns:a16="http://schemas.microsoft.com/office/drawing/2014/main" id="{00000000-0008-0000-1700-0000B6FF994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1</xdr:col>
      <xdr:colOff>238125</xdr:colOff>
      <xdr:row>213</xdr:row>
      <xdr:rowOff>0</xdr:rowOff>
    </xdr:from>
    <xdr:ext cx="5857875" cy="3867150"/>
    <xdr:graphicFrame macro="">
      <xdr:nvGraphicFramePr>
        <xdr:cNvPr id="117215239" name="Chart 2" descr="Chart 1">
          <a:extLst>
            <a:ext uri="{FF2B5EF4-FFF2-40B4-BE49-F238E27FC236}">
              <a16:creationId xmlns:a16="http://schemas.microsoft.com/office/drawing/2014/main" id="{00000000-0008-0000-1700-00000790FC0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19</xdr:col>
      <xdr:colOff>0</xdr:colOff>
      <xdr:row>46</xdr:row>
      <xdr:rowOff>0</xdr:rowOff>
    </xdr:from>
    <xdr:ext cx="5743575" cy="4857750"/>
    <xdr:graphicFrame macro="">
      <xdr:nvGraphicFramePr>
        <xdr:cNvPr id="1378136179" name="Chart 3" descr="Chart 2">
          <a:extLst>
            <a:ext uri="{FF2B5EF4-FFF2-40B4-BE49-F238E27FC236}">
              <a16:creationId xmlns:a16="http://schemas.microsoft.com/office/drawing/2014/main" id="{00000000-0008-0000-1700-000073B0245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oneCellAnchor>
    <xdr:from>
      <xdr:col>8</xdr:col>
      <xdr:colOff>0</xdr:colOff>
      <xdr:row>46</xdr:row>
      <xdr:rowOff>0</xdr:rowOff>
    </xdr:from>
    <xdr:ext cx="5915025" cy="3876675"/>
    <xdr:graphicFrame macro="">
      <xdr:nvGraphicFramePr>
        <xdr:cNvPr id="1310303360" name="Chart 4" descr="Chart 3">
          <a:extLst>
            <a:ext uri="{FF2B5EF4-FFF2-40B4-BE49-F238E27FC236}">
              <a16:creationId xmlns:a16="http://schemas.microsoft.com/office/drawing/2014/main" id="{00000000-0008-0000-1700-000080A4194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oneCellAnchor>
  <xdr:oneCellAnchor>
    <xdr:from>
      <xdr:col>2</xdr:col>
      <xdr:colOff>47625</xdr:colOff>
      <xdr:row>261</xdr:row>
      <xdr:rowOff>47625</xdr:rowOff>
    </xdr:from>
    <xdr:ext cx="5886450" cy="3876675"/>
    <xdr:graphicFrame macro="">
      <xdr:nvGraphicFramePr>
        <xdr:cNvPr id="818878063" name="Chart 5" descr="Chart 4">
          <a:extLst>
            <a:ext uri="{FF2B5EF4-FFF2-40B4-BE49-F238E27FC236}">
              <a16:creationId xmlns:a16="http://schemas.microsoft.com/office/drawing/2014/main" id="{00000000-0008-0000-1700-00006F16CF3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fLocksWithSheet="0"/>
  </xdr:oneCellAnchor>
  <xdr:oneCellAnchor>
    <xdr:from>
      <xdr:col>24</xdr:col>
      <xdr:colOff>342900</xdr:colOff>
      <xdr:row>294</xdr:row>
      <xdr:rowOff>190500</xdr:rowOff>
    </xdr:from>
    <xdr:ext cx="5048250" cy="3990975"/>
    <xdr:graphicFrame macro="">
      <xdr:nvGraphicFramePr>
        <xdr:cNvPr id="2024792087" name="Chart 6" descr="Chart 5">
          <a:extLst>
            <a:ext uri="{FF2B5EF4-FFF2-40B4-BE49-F238E27FC236}">
              <a16:creationId xmlns:a16="http://schemas.microsoft.com/office/drawing/2014/main" id="{00000000-0008-0000-1700-000017E0AF7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fLocksWithSheet="0"/>
  </xdr:oneCellAnchor>
  <xdr:oneCellAnchor>
    <xdr:from>
      <xdr:col>8</xdr:col>
      <xdr:colOff>0</xdr:colOff>
      <xdr:row>2</xdr:row>
      <xdr:rowOff>0</xdr:rowOff>
    </xdr:from>
    <xdr:ext cx="5924550" cy="3933825"/>
    <xdr:graphicFrame macro="">
      <xdr:nvGraphicFramePr>
        <xdr:cNvPr id="10813692" name="Chart 7" descr="Chart 6">
          <a:extLst>
            <a:ext uri="{FF2B5EF4-FFF2-40B4-BE49-F238E27FC236}">
              <a16:creationId xmlns:a16="http://schemas.microsoft.com/office/drawing/2014/main" id="{00000000-0008-0000-1700-0000FC00A5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fLocksWithSheet="0"/>
  </xdr:oneCellAnchor>
  <xdr:oneCellAnchor>
    <xdr:from>
      <xdr:col>7</xdr:col>
      <xdr:colOff>1228725</xdr:colOff>
      <xdr:row>326</xdr:row>
      <xdr:rowOff>57150</xdr:rowOff>
    </xdr:from>
    <xdr:ext cx="6591300" cy="3876675"/>
    <xdr:graphicFrame macro="">
      <xdr:nvGraphicFramePr>
        <xdr:cNvPr id="1822735127" name="Chart 8" descr="Chart 7">
          <a:extLst>
            <a:ext uri="{FF2B5EF4-FFF2-40B4-BE49-F238E27FC236}">
              <a16:creationId xmlns:a16="http://schemas.microsoft.com/office/drawing/2014/main" id="{00000000-0008-0000-1700-000017BBA46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4.xml"/></Relationships>
</file>

<file path=xl/worksheets/_rels/sheet9.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5.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6.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hyperlink" Target="http://www.eia.gov/naturalgas/annual/pdf/table_005.pdf" TargetMode="External"/><Relationship Id="rId4" Type="http://schemas.openxmlformats.org/officeDocument/2006/relationships/comments" Target="../comments10.xm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odocs.osmre.gov/qdocs.aspx" TargetMode="External"/><Relationship Id="rId1" Type="http://schemas.openxmlformats.org/officeDocument/2006/relationships/hyperlink" Target="http://www.eia.gov/coal/annual/pdf/table1.pdf" TargetMode="External"/><Relationship Id="rId5" Type="http://schemas.openxmlformats.org/officeDocument/2006/relationships/comments" Target="../comments11.xml"/><Relationship Id="rId4" Type="http://schemas.openxmlformats.org/officeDocument/2006/relationships/vmlDrawing" Target="../drawings/vmlDrawing11.v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9.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bin"/><Relationship Id="rId4" Type="http://schemas.openxmlformats.org/officeDocument/2006/relationships/comments" Target="../comments13.xml"/></Relationships>
</file>

<file path=xl/worksheets/_rels/sheet15.xml.rels><?xml version="1.0" encoding="UTF-8" standalone="yes"?>
<Relationships xmlns="http://schemas.openxmlformats.org/package/2006/relationships"><Relationship Id="rId2" Type="http://schemas.openxmlformats.org/officeDocument/2006/relationships/comments" Target="../comments14.xml"/><Relationship Id="rId1" Type="http://schemas.openxmlformats.org/officeDocument/2006/relationships/vmlDrawing" Target="../drawings/vmlDrawing14.vml"/></Relationships>
</file>

<file path=xl/worksheets/_rels/sheet16.xml.rels><?xml version="1.0" encoding="UTF-8" standalone="yes"?>
<Relationships xmlns="http://schemas.openxmlformats.org/package/2006/relationships"><Relationship Id="rId2" Type="http://schemas.openxmlformats.org/officeDocument/2006/relationships/comments" Target="../comments15.xml"/><Relationship Id="rId1" Type="http://schemas.openxmlformats.org/officeDocument/2006/relationships/vmlDrawing" Target="../drawings/vmlDrawing15.v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2.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3.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4.xml"/></Relationships>
</file>

<file path=xl/worksheets/_rels/sheet22.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5.xml"/></Relationships>
</file>

<file path=xl/worksheets/_rels/sheet23.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6.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25.xml.rels><?xml version="1.0" encoding="UTF-8" standalone="yes"?>
<Relationships xmlns="http://schemas.openxmlformats.org/package/2006/relationships"><Relationship Id="rId3" Type="http://schemas.openxmlformats.org/officeDocument/2006/relationships/hyperlink" Target="https://dnr.maryland.gov/forests/pages/fire/index.aspx" TargetMode="External"/><Relationship Id="rId2" Type="http://schemas.openxmlformats.org/officeDocument/2006/relationships/hyperlink" Target="https://www.fs.usda.gov/rds/archive/catalog/RDS-2026-0031" TargetMode="External"/><Relationship Id="rId1" Type="http://schemas.openxmlformats.org/officeDocument/2006/relationships/hyperlink" Target="https://research.fs.usda.gov/treesearch/80890" TargetMode="External"/><Relationship Id="rId5" Type="http://schemas.openxmlformats.org/officeDocument/2006/relationships/comments" Target="../comments21.xml"/><Relationship Id="rId4" Type="http://schemas.openxmlformats.org/officeDocument/2006/relationships/vmlDrawing" Target="../drawings/vmlDrawing21.v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Z394"/>
  <sheetViews>
    <sheetView showGridLines="0" tabSelected="1" workbookViewId="0"/>
  </sheetViews>
  <sheetFormatPr defaultColWidth="16.83203125" defaultRowHeight="11.25" x14ac:dyDescent="0.2"/>
  <cols>
    <col min="1" max="1" width="4.5" customWidth="1"/>
    <col min="2" max="2" width="8" customWidth="1"/>
    <col min="3" max="3" width="75.83203125" customWidth="1"/>
    <col min="4" max="5" width="16.83203125" customWidth="1"/>
    <col min="6" max="6" width="10.6640625" customWidth="1"/>
    <col min="7" max="7" width="16.33203125" customWidth="1"/>
    <col min="8" max="9" width="8.83203125" customWidth="1"/>
    <col min="10" max="25" width="8" customWidth="1"/>
  </cols>
  <sheetData>
    <row r="1" spans="2:26" ht="18.75" x14ac:dyDescent="0.3">
      <c r="B1" s="1" t="s">
        <v>0</v>
      </c>
      <c r="D1" s="2"/>
      <c r="F1" s="2"/>
      <c r="G1" s="2"/>
      <c r="H1" s="2"/>
      <c r="I1" s="2"/>
      <c r="J1" s="2"/>
      <c r="K1" s="2"/>
      <c r="L1" s="2"/>
    </row>
    <row r="2" spans="2:26" ht="15" x14ac:dyDescent="0.25">
      <c r="B2" s="3"/>
      <c r="C2" s="4"/>
      <c r="D2" s="2303" t="s">
        <v>1</v>
      </c>
      <c r="E2" s="2304"/>
      <c r="F2" s="5"/>
      <c r="G2" s="5"/>
      <c r="H2" s="5"/>
      <c r="I2" s="5"/>
      <c r="J2" s="3"/>
      <c r="K2" s="3"/>
      <c r="L2" s="3"/>
      <c r="M2" s="3"/>
      <c r="N2" s="3"/>
      <c r="O2" s="3"/>
      <c r="P2" s="3"/>
      <c r="Q2" s="3"/>
      <c r="R2" s="3"/>
      <c r="S2" s="3"/>
      <c r="T2" s="3"/>
      <c r="U2" s="3"/>
      <c r="V2" s="3"/>
      <c r="W2" s="3"/>
      <c r="X2" s="3"/>
      <c r="Y2" s="3"/>
      <c r="Z2" s="3"/>
    </row>
    <row r="3" spans="2:26" ht="15" x14ac:dyDescent="0.25">
      <c r="B3" s="3"/>
      <c r="C3" s="4"/>
      <c r="D3" s="2287" t="s">
        <v>2139</v>
      </c>
      <c r="E3" s="7" t="s">
        <v>2097</v>
      </c>
      <c r="F3" s="8"/>
      <c r="G3" s="8"/>
      <c r="H3" s="4"/>
      <c r="I3" s="8"/>
      <c r="J3" s="3"/>
      <c r="K3" s="3"/>
      <c r="L3" s="3"/>
      <c r="M3" s="3"/>
      <c r="N3" s="3"/>
      <c r="O3" s="3"/>
      <c r="P3" s="3"/>
      <c r="Q3" s="3"/>
      <c r="R3" s="3"/>
      <c r="S3" s="3"/>
      <c r="T3" s="3"/>
      <c r="U3" s="3"/>
      <c r="V3" s="3"/>
      <c r="W3" s="3"/>
      <c r="X3" s="3"/>
      <c r="Y3" s="3"/>
      <c r="Z3" s="3"/>
    </row>
    <row r="4" spans="2:26" ht="15" x14ac:dyDescent="0.25">
      <c r="B4" s="3"/>
      <c r="C4" s="9" t="s">
        <v>3</v>
      </c>
      <c r="D4" s="11">
        <v>1</v>
      </c>
      <c r="E4" s="11">
        <v>1</v>
      </c>
      <c r="F4" s="8"/>
      <c r="G4" s="2"/>
      <c r="H4" s="18"/>
      <c r="I4" s="18"/>
      <c r="J4" s="3"/>
      <c r="K4" s="3"/>
      <c r="L4" s="3"/>
      <c r="M4" s="3"/>
      <c r="N4" s="3"/>
      <c r="O4" s="3"/>
      <c r="P4" s="3"/>
      <c r="Q4" s="3"/>
      <c r="R4" s="3"/>
      <c r="S4" s="3"/>
      <c r="T4" s="3"/>
      <c r="U4" s="3"/>
      <c r="V4" s="3"/>
      <c r="W4" s="3"/>
      <c r="X4" s="3"/>
      <c r="Y4" s="3"/>
      <c r="Z4" s="3"/>
    </row>
    <row r="5" spans="2:26" ht="15" x14ac:dyDescent="0.25">
      <c r="B5" s="3"/>
      <c r="C5" s="9" t="s">
        <v>14</v>
      </c>
      <c r="D5" s="23">
        <v>81.2</v>
      </c>
      <c r="E5" s="11">
        <v>27.9</v>
      </c>
      <c r="F5" s="8"/>
      <c r="H5" s="18"/>
      <c r="I5" s="18"/>
      <c r="J5" s="3"/>
      <c r="K5" s="3"/>
      <c r="L5" s="3"/>
      <c r="M5" s="3"/>
      <c r="N5" s="3"/>
      <c r="O5" s="3"/>
      <c r="P5" s="3"/>
      <c r="Q5" s="3"/>
      <c r="R5" s="3"/>
      <c r="S5" s="3"/>
      <c r="T5" s="3"/>
      <c r="U5" s="3"/>
      <c r="V5" s="3"/>
      <c r="W5" s="3"/>
      <c r="X5" s="3"/>
      <c r="Y5" s="3"/>
      <c r="Z5" s="3"/>
    </row>
    <row r="6" spans="2:26" ht="15" x14ac:dyDescent="0.25">
      <c r="B6" s="3"/>
      <c r="C6" s="9" t="s">
        <v>18</v>
      </c>
      <c r="D6" s="11">
        <v>273</v>
      </c>
      <c r="E6" s="11">
        <v>273</v>
      </c>
      <c r="F6" s="8"/>
      <c r="H6" s="18"/>
      <c r="I6" s="18"/>
      <c r="J6" s="3"/>
      <c r="K6" s="3"/>
      <c r="L6" s="3"/>
      <c r="M6" s="3"/>
      <c r="N6" s="3"/>
      <c r="O6" s="3"/>
      <c r="P6" s="3"/>
      <c r="Q6" s="3"/>
      <c r="R6" s="3"/>
      <c r="S6" s="3"/>
      <c r="T6" s="3"/>
      <c r="U6" s="3"/>
      <c r="V6" s="3"/>
      <c r="W6" s="3"/>
      <c r="X6" s="3"/>
      <c r="Y6" s="3"/>
      <c r="Z6" s="3"/>
    </row>
    <row r="7" spans="2:26" ht="15" x14ac:dyDescent="0.25">
      <c r="B7" s="3"/>
      <c r="C7" s="9" t="s">
        <v>20</v>
      </c>
      <c r="D7" s="27">
        <v>18200</v>
      </c>
      <c r="E7" s="27">
        <v>24300</v>
      </c>
      <c r="F7" s="8"/>
      <c r="G7" s="29"/>
      <c r="H7" s="18"/>
      <c r="I7" s="32"/>
      <c r="J7" s="3"/>
      <c r="K7" s="3"/>
      <c r="L7" s="3"/>
      <c r="M7" s="3"/>
      <c r="N7" s="3"/>
      <c r="O7" s="3"/>
      <c r="P7" s="3"/>
      <c r="Q7" s="3"/>
      <c r="R7" s="3"/>
      <c r="S7" s="3"/>
      <c r="T7" s="3"/>
      <c r="U7" s="3"/>
      <c r="V7" s="3"/>
      <c r="W7" s="3"/>
      <c r="X7" s="3"/>
      <c r="Y7" s="3"/>
      <c r="Z7" s="3"/>
    </row>
    <row r="8" spans="2:26" ht="15" x14ac:dyDescent="0.25">
      <c r="B8" s="3"/>
      <c r="C8" s="34" t="s">
        <v>26</v>
      </c>
      <c r="D8" s="2305" t="s">
        <v>28</v>
      </c>
      <c r="E8" s="2304"/>
      <c r="F8" s="8"/>
      <c r="G8" s="32"/>
      <c r="H8" s="32"/>
      <c r="I8" s="32"/>
      <c r="J8" s="3"/>
      <c r="K8" s="3"/>
      <c r="L8" s="3"/>
      <c r="M8" s="3"/>
      <c r="N8" s="3"/>
      <c r="O8" s="3"/>
      <c r="P8" s="3"/>
      <c r="Q8" s="3"/>
      <c r="R8" s="3"/>
      <c r="S8" s="3"/>
      <c r="T8" s="3"/>
      <c r="U8" s="3"/>
      <c r="V8" s="3"/>
      <c r="W8" s="3"/>
      <c r="X8" s="3"/>
      <c r="Y8" s="3"/>
      <c r="Z8" s="3"/>
    </row>
    <row r="9" spans="2:26" ht="18" x14ac:dyDescent="0.35">
      <c r="B9" s="2306" t="s">
        <v>39</v>
      </c>
      <c r="C9" s="2307"/>
      <c r="D9" s="45" t="s">
        <v>43</v>
      </c>
      <c r="E9" s="45" t="s">
        <v>45</v>
      </c>
      <c r="F9" s="3"/>
      <c r="G9" s="3"/>
      <c r="H9" s="3"/>
      <c r="I9" s="3"/>
      <c r="J9" s="3"/>
      <c r="K9" s="3"/>
      <c r="L9" s="3"/>
      <c r="M9" s="3"/>
      <c r="N9" s="3"/>
      <c r="O9" s="3"/>
      <c r="P9" s="3"/>
      <c r="Q9" s="3"/>
      <c r="R9" s="3"/>
      <c r="S9" s="3"/>
      <c r="T9" s="3"/>
      <c r="U9" s="3"/>
      <c r="V9" s="3"/>
      <c r="W9" s="3"/>
      <c r="X9" s="3"/>
      <c r="Y9" s="3"/>
      <c r="Z9" s="3"/>
    </row>
    <row r="10" spans="2:26" ht="18" x14ac:dyDescent="0.35">
      <c r="B10" s="2308" t="s">
        <v>46</v>
      </c>
      <c r="C10" s="2309"/>
      <c r="D10" s="53">
        <f t="shared" ref="D10:E10" si="0">D11+D30+D47+D80</f>
        <v>93.399153018028329</v>
      </c>
      <c r="E10" s="53">
        <f t="shared" si="0"/>
        <v>90.937513177036493</v>
      </c>
      <c r="F10" s="3"/>
      <c r="G10" s="3"/>
      <c r="H10" s="3"/>
      <c r="I10" s="3"/>
      <c r="J10" s="3"/>
      <c r="K10" s="3"/>
      <c r="L10" s="3"/>
      <c r="M10" s="3"/>
      <c r="N10" s="3"/>
      <c r="O10" s="3"/>
      <c r="P10" s="3"/>
      <c r="Q10" s="3"/>
      <c r="R10" s="3"/>
      <c r="S10" s="3"/>
      <c r="T10" s="3"/>
      <c r="U10" s="3"/>
      <c r="V10" s="3"/>
      <c r="W10" s="3"/>
      <c r="X10" s="3"/>
      <c r="Y10" s="3"/>
      <c r="Z10" s="3"/>
    </row>
    <row r="11" spans="2:26" ht="15" x14ac:dyDescent="0.25">
      <c r="B11" s="57" t="s">
        <v>58</v>
      </c>
      <c r="C11" s="64"/>
      <c r="D11" s="69">
        <f t="shared" ref="D11:E11" si="1">D12+D29</f>
        <v>37.878480799272836</v>
      </c>
      <c r="E11" s="69">
        <f t="shared" si="1"/>
        <v>37.853674777544299</v>
      </c>
      <c r="F11" s="3"/>
      <c r="G11" s="3"/>
      <c r="H11" s="3"/>
      <c r="I11" s="3"/>
      <c r="J11" s="3"/>
      <c r="K11" s="3"/>
      <c r="L11" s="3"/>
      <c r="M11" s="3"/>
      <c r="N11" s="3"/>
      <c r="O11" s="3"/>
      <c r="P11" s="3"/>
      <c r="Q11" s="3"/>
      <c r="R11" s="3"/>
      <c r="S11" s="3"/>
      <c r="T11" s="3"/>
      <c r="U11" s="3"/>
      <c r="V11" s="3"/>
      <c r="W11" s="3"/>
      <c r="X11" s="3"/>
      <c r="Y11" s="3"/>
      <c r="Z11" s="3"/>
    </row>
    <row r="12" spans="2:26" ht="15" x14ac:dyDescent="0.25">
      <c r="B12" s="74"/>
      <c r="C12" s="76" t="s">
        <v>63</v>
      </c>
      <c r="D12" s="53">
        <f t="shared" ref="D12:E12" si="2">D13+D17+D21+D25</f>
        <v>24.569447890439562</v>
      </c>
      <c r="E12" s="53">
        <f t="shared" si="2"/>
        <v>24.544641868711018</v>
      </c>
      <c r="F12" s="3"/>
      <c r="G12" s="3"/>
      <c r="H12" s="3"/>
      <c r="I12" s="3"/>
      <c r="J12" s="3"/>
      <c r="K12" s="3"/>
      <c r="L12" s="3"/>
      <c r="M12" s="3"/>
      <c r="N12" s="3"/>
      <c r="O12" s="3"/>
      <c r="P12" s="3"/>
      <c r="Q12" s="3"/>
      <c r="R12" s="3"/>
      <c r="S12" s="3"/>
      <c r="T12" s="3"/>
      <c r="U12" s="3"/>
      <c r="V12" s="3"/>
      <c r="W12" s="3"/>
      <c r="X12" s="3"/>
      <c r="Y12" s="3"/>
      <c r="Z12" s="3"/>
    </row>
    <row r="13" spans="2:26" ht="15" x14ac:dyDescent="0.25">
      <c r="B13" s="87"/>
      <c r="C13" s="89" t="s">
        <v>53</v>
      </c>
      <c r="D13" s="53">
        <f t="shared" ref="D13:E13" si="3">SUM(D14:D16)</f>
        <v>21.94772667543802</v>
      </c>
      <c r="E13" s="53">
        <f t="shared" si="3"/>
        <v>21.925436352531445</v>
      </c>
      <c r="F13" s="3"/>
      <c r="G13" s="3"/>
      <c r="H13" s="3"/>
      <c r="I13" s="3"/>
      <c r="J13" s="3"/>
      <c r="K13" s="3"/>
      <c r="L13" s="3"/>
      <c r="M13" s="3"/>
      <c r="N13" s="3"/>
      <c r="O13" s="3"/>
      <c r="P13" s="3"/>
      <c r="Q13" s="3"/>
      <c r="R13" s="3"/>
      <c r="S13" s="3"/>
      <c r="T13" s="3"/>
      <c r="U13" s="3"/>
      <c r="V13" s="3"/>
      <c r="W13" s="3"/>
      <c r="X13" s="3"/>
      <c r="Y13" s="3"/>
      <c r="Z13" s="3"/>
    </row>
    <row r="14" spans="2:26" ht="18" x14ac:dyDescent="0.35">
      <c r="B14" s="87"/>
      <c r="C14" s="2298" t="s">
        <v>70</v>
      </c>
      <c r="D14" s="106">
        <f t="shared" ref="D14:D16" si="4">E14/_xlfn.XLOOKUP(C14,C$4:C$7,E$4:E$7,"ERROR")*_xlfn.XLOOKUP(C14,C$4:C$7,D$4:D$7,"ERROR")</f>
        <v>21.847712881476784</v>
      </c>
      <c r="E14" s="106">
        <f>'EGU Production ALL Units'!K57</f>
        <v>21.847712881476784</v>
      </c>
      <c r="F14" s="3"/>
      <c r="G14" s="3"/>
      <c r="H14" s="3"/>
      <c r="I14" s="3"/>
      <c r="J14" s="3"/>
      <c r="K14" s="3"/>
      <c r="L14" s="3"/>
      <c r="M14" s="3"/>
      <c r="N14" s="3"/>
      <c r="O14" s="3"/>
      <c r="P14" s="3"/>
      <c r="Q14" s="3"/>
      <c r="R14" s="3"/>
      <c r="S14" s="3"/>
      <c r="T14" s="3"/>
      <c r="U14" s="3"/>
      <c r="V14" s="3"/>
      <c r="W14" s="3"/>
      <c r="X14" s="3"/>
      <c r="Y14" s="3"/>
      <c r="Z14" s="3"/>
    </row>
    <row r="15" spans="2:26" ht="18" x14ac:dyDescent="0.35">
      <c r="B15" s="87"/>
      <c r="C15" s="2298" t="s">
        <v>78</v>
      </c>
      <c r="D15" s="106">
        <f t="shared" si="4"/>
        <v>3.3958240525587269E-2</v>
      </c>
      <c r="E15" s="106">
        <f>'EGU Production ALL Units'!L57</f>
        <v>1.1667917619013358E-2</v>
      </c>
      <c r="F15" s="3"/>
      <c r="G15" s="3"/>
      <c r="H15" s="3"/>
      <c r="I15" s="3"/>
      <c r="J15" s="3"/>
      <c r="K15" s="3"/>
      <c r="L15" s="3"/>
      <c r="M15" s="3"/>
      <c r="N15" s="3"/>
      <c r="O15" s="3"/>
      <c r="P15" s="3"/>
      <c r="Q15" s="3"/>
      <c r="R15" s="3"/>
      <c r="S15" s="3"/>
      <c r="T15" s="3"/>
      <c r="U15" s="3"/>
      <c r="V15" s="3"/>
      <c r="W15" s="3"/>
      <c r="X15" s="3"/>
      <c r="Y15" s="3"/>
      <c r="Z15" s="3"/>
    </row>
    <row r="16" spans="2:26" ht="18" x14ac:dyDescent="0.35">
      <c r="B16" s="87"/>
      <c r="C16" s="2298" t="s">
        <v>81</v>
      </c>
      <c r="D16" s="106">
        <f t="shared" si="4"/>
        <v>6.6055553435646286E-2</v>
      </c>
      <c r="E16" s="106">
        <f>'EGU Production ALL Units'!M57</f>
        <v>6.6055553435646286E-2</v>
      </c>
      <c r="F16" s="3"/>
      <c r="G16" s="3"/>
      <c r="H16" s="3"/>
      <c r="I16" s="3"/>
      <c r="J16" s="3"/>
      <c r="K16" s="3"/>
      <c r="L16" s="3"/>
      <c r="M16" s="3"/>
      <c r="N16" s="3"/>
      <c r="O16" s="3"/>
      <c r="P16" s="3"/>
      <c r="Q16" s="3"/>
      <c r="R16" s="3"/>
      <c r="S16" s="3"/>
      <c r="T16" s="3"/>
      <c r="U16" s="3"/>
      <c r="V16" s="3"/>
      <c r="W16" s="3"/>
      <c r="X16" s="3"/>
      <c r="Y16" s="3"/>
      <c r="Z16" s="3"/>
    </row>
    <row r="17" spans="2:26" ht="15" x14ac:dyDescent="0.25">
      <c r="B17" s="87"/>
      <c r="C17" s="89" t="s">
        <v>77</v>
      </c>
      <c r="D17" s="53">
        <f t="shared" ref="D17:E17" si="5">SUM(D18:D20)</f>
        <v>2.4207936057075932</v>
      </c>
      <c r="E17" s="53">
        <f t="shared" si="5"/>
        <v>2.4185636568775424</v>
      </c>
      <c r="F17" s="3"/>
      <c r="G17" s="3"/>
      <c r="H17" s="3"/>
      <c r="I17" s="3"/>
      <c r="J17" s="3"/>
      <c r="K17" s="3"/>
      <c r="L17" s="3"/>
      <c r="M17" s="3"/>
      <c r="N17" s="3"/>
      <c r="O17" s="3"/>
      <c r="P17" s="3"/>
      <c r="Q17" s="3"/>
      <c r="R17" s="3"/>
      <c r="S17" s="3"/>
      <c r="T17" s="3"/>
      <c r="U17" s="3"/>
      <c r="V17" s="3"/>
      <c r="W17" s="3"/>
      <c r="X17" s="3"/>
      <c r="Y17" s="3"/>
      <c r="Z17" s="3"/>
    </row>
    <row r="18" spans="2:26" ht="18" x14ac:dyDescent="0.35">
      <c r="B18" s="87"/>
      <c r="C18" s="2298" t="s">
        <v>85</v>
      </c>
      <c r="D18" s="106">
        <f t="shared" ref="D18:D20" si="6">E18/_xlfn.XLOOKUP(C18,C$4:C$7,E$4:E$7,"ERROR")*_xlfn.XLOOKUP(C18,C$4:C$7,D$4:D$7,"ERROR")</f>
        <v>2.4133302497043454</v>
      </c>
      <c r="E18" s="106">
        <f>'EGU Production ALL Units'!K395</f>
        <v>2.4133302497043454</v>
      </c>
      <c r="F18" s="3"/>
      <c r="G18" s="3"/>
      <c r="H18" s="3"/>
      <c r="I18" s="3"/>
      <c r="J18" s="3"/>
      <c r="K18" s="3"/>
      <c r="L18" s="3"/>
      <c r="M18" s="3"/>
      <c r="N18" s="3"/>
      <c r="O18" s="3"/>
      <c r="P18" s="3"/>
      <c r="Q18" s="3"/>
      <c r="R18" s="3"/>
      <c r="S18" s="3"/>
      <c r="T18" s="3"/>
      <c r="U18" s="3"/>
      <c r="V18" s="3"/>
      <c r="W18" s="3"/>
      <c r="X18" s="3"/>
      <c r="Y18" s="3"/>
      <c r="Z18" s="3"/>
    </row>
    <row r="19" spans="2:26" ht="18" x14ac:dyDescent="0.35">
      <c r="B19" s="87"/>
      <c r="C19" s="2298" t="s">
        <v>91</v>
      </c>
      <c r="D19" s="106">
        <f t="shared" si="6"/>
        <v>3.3972203564750754E-3</v>
      </c>
      <c r="E19" s="106">
        <f>'EGU Production ALL Units'!L395</f>
        <v>1.1672715264243177E-3</v>
      </c>
      <c r="F19" s="3"/>
      <c r="G19" s="3"/>
      <c r="H19" s="3"/>
      <c r="I19" s="3"/>
      <c r="J19" s="3"/>
      <c r="K19" s="3"/>
      <c r="L19" s="3"/>
      <c r="M19" s="3"/>
      <c r="N19" s="3"/>
      <c r="O19" s="3"/>
      <c r="P19" s="3"/>
      <c r="Q19" s="3"/>
      <c r="R19" s="3"/>
      <c r="S19" s="3"/>
      <c r="T19" s="3"/>
      <c r="U19" s="3"/>
      <c r="V19" s="3"/>
      <c r="W19" s="3"/>
      <c r="X19" s="3"/>
      <c r="Y19" s="3"/>
      <c r="Z19" s="3"/>
    </row>
    <row r="20" spans="2:26" ht="18" x14ac:dyDescent="0.35">
      <c r="B20" s="87"/>
      <c r="C20" s="2298" t="s">
        <v>99</v>
      </c>
      <c r="D20" s="106">
        <f t="shared" si="6"/>
        <v>4.066135646772647E-3</v>
      </c>
      <c r="E20" s="106">
        <f>'EGU Production ALL Units'!M395</f>
        <v>4.066135646772647E-3</v>
      </c>
      <c r="F20" s="3"/>
      <c r="G20" s="3"/>
      <c r="H20" s="3"/>
      <c r="I20" s="3"/>
      <c r="J20" s="3"/>
      <c r="K20" s="3"/>
      <c r="L20" s="3"/>
      <c r="M20" s="3"/>
      <c r="N20" s="3"/>
      <c r="O20" s="3"/>
      <c r="P20" s="3"/>
      <c r="Q20" s="3"/>
      <c r="R20" s="3"/>
      <c r="S20" s="3"/>
      <c r="T20" s="3"/>
      <c r="U20" s="3"/>
      <c r="V20" s="3"/>
      <c r="W20" s="3"/>
      <c r="X20" s="3"/>
      <c r="Y20" s="3"/>
      <c r="Z20" s="3"/>
    </row>
    <row r="21" spans="2:26" ht="15" x14ac:dyDescent="0.25">
      <c r="B21" s="87"/>
      <c r="C21" s="89" t="s">
        <v>104</v>
      </c>
      <c r="D21" s="53">
        <f t="shared" ref="D21:E21" si="7">SUM(D22:D24)</f>
        <v>0.19619202430315372</v>
      </c>
      <c r="E21" s="53">
        <f t="shared" si="7"/>
        <v>0.19593585002997449</v>
      </c>
      <c r="F21" s="3"/>
      <c r="G21" s="3"/>
      <c r="H21" s="3"/>
      <c r="I21" s="3"/>
      <c r="J21" s="3"/>
      <c r="K21" s="3"/>
      <c r="L21" s="3"/>
      <c r="M21" s="3"/>
      <c r="N21" s="3"/>
      <c r="O21" s="3"/>
      <c r="P21" s="3"/>
      <c r="Q21" s="3"/>
      <c r="R21" s="3"/>
      <c r="S21" s="3"/>
      <c r="T21" s="3"/>
      <c r="U21" s="3"/>
      <c r="V21" s="3"/>
      <c r="W21" s="3"/>
      <c r="X21" s="3"/>
      <c r="Y21" s="3"/>
      <c r="Z21" s="3"/>
    </row>
    <row r="22" spans="2:26" ht="18" x14ac:dyDescent="0.35">
      <c r="B22" s="87"/>
      <c r="C22" s="2298" t="s">
        <v>109</v>
      </c>
      <c r="D22" s="106">
        <f t="shared" ref="D22:D24" si="8">E22/_xlfn.XLOOKUP(C22,C$4:C$7,E$4:E$7,"ERROR")*_xlfn.XLOOKUP(C22,C$4:C$7,D$4:D$7,"ERROR")</f>
        <v>0.1946277957923413</v>
      </c>
      <c r="E22" s="106">
        <f>'EGU Production ALL Units'!K293</f>
        <v>0.1946277957923413</v>
      </c>
      <c r="F22" s="3"/>
      <c r="G22" s="3"/>
      <c r="H22" s="3"/>
      <c r="I22" s="3"/>
      <c r="J22" s="3"/>
      <c r="K22" s="3"/>
      <c r="L22" s="3"/>
      <c r="M22" s="3"/>
      <c r="N22" s="3"/>
      <c r="O22" s="3"/>
      <c r="P22" s="3"/>
      <c r="Q22" s="3"/>
      <c r="R22" s="3"/>
      <c r="S22" s="3"/>
      <c r="T22" s="3"/>
      <c r="U22" s="3"/>
      <c r="V22" s="3"/>
      <c r="W22" s="3"/>
      <c r="X22" s="3"/>
      <c r="Y22" s="3"/>
      <c r="Z22" s="3"/>
    </row>
    <row r="23" spans="2:26" ht="18" x14ac:dyDescent="0.35">
      <c r="B23" s="87"/>
      <c r="C23" s="2298" t="s">
        <v>120</v>
      </c>
      <c r="D23" s="106">
        <f t="shared" si="8"/>
        <v>3.9026924919610337E-4</v>
      </c>
      <c r="E23" s="106">
        <f>'EGU Production ALL Units'!L293</f>
        <v>1.3409497601688772E-4</v>
      </c>
      <c r="F23" s="3"/>
      <c r="G23" s="3"/>
      <c r="H23" s="3"/>
      <c r="I23" s="3"/>
      <c r="J23" s="3"/>
      <c r="K23" s="3"/>
      <c r="L23" s="3"/>
      <c r="M23" s="3"/>
      <c r="N23" s="3"/>
      <c r="O23" s="3"/>
      <c r="P23" s="3"/>
      <c r="Q23" s="3"/>
      <c r="R23" s="3"/>
      <c r="S23" s="3"/>
      <c r="T23" s="3"/>
      <c r="U23" s="3"/>
      <c r="V23" s="3"/>
      <c r="W23" s="3"/>
      <c r="X23" s="3"/>
      <c r="Y23" s="3"/>
      <c r="Z23" s="3"/>
    </row>
    <row r="24" spans="2:26" ht="18" x14ac:dyDescent="0.35">
      <c r="B24" s="87"/>
      <c r="C24" s="2298" t="s">
        <v>123</v>
      </c>
      <c r="D24" s="106">
        <f t="shared" si="8"/>
        <v>1.1739592616163241E-3</v>
      </c>
      <c r="E24" s="106">
        <f>'EGU Production ALL Units'!M293</f>
        <v>1.1739592616163241E-3</v>
      </c>
      <c r="F24" s="3"/>
      <c r="G24" s="3"/>
      <c r="H24" s="3"/>
      <c r="I24" s="3"/>
      <c r="J24" s="3"/>
      <c r="K24" s="3"/>
      <c r="L24" s="3"/>
      <c r="M24" s="3"/>
      <c r="N24" s="3"/>
      <c r="O24" s="3"/>
      <c r="P24" s="3"/>
      <c r="Q24" s="3"/>
      <c r="R24" s="3"/>
      <c r="S24" s="3"/>
      <c r="T24" s="3"/>
      <c r="U24" s="3"/>
      <c r="V24" s="3"/>
      <c r="W24" s="3"/>
      <c r="X24" s="3"/>
      <c r="Y24" s="3"/>
      <c r="Z24" s="3"/>
    </row>
    <row r="25" spans="2:26" ht="15" x14ac:dyDescent="0.25">
      <c r="B25" s="87"/>
      <c r="C25" s="89" t="s">
        <v>129</v>
      </c>
      <c r="D25" s="53">
        <f t="shared" ref="D25:E25" si="9">SUM(D26:D28)</f>
        <v>4.7355849907942957E-3</v>
      </c>
      <c r="E25" s="53">
        <f t="shared" si="9"/>
        <v>4.7060092720543891E-3</v>
      </c>
      <c r="F25" s="3"/>
      <c r="G25" s="3"/>
      <c r="H25" s="3"/>
      <c r="I25" s="3"/>
      <c r="J25" s="3"/>
      <c r="K25" s="3"/>
      <c r="L25" s="3"/>
      <c r="M25" s="3"/>
      <c r="N25" s="3"/>
      <c r="O25" s="3"/>
      <c r="P25" s="3"/>
      <c r="Q25" s="3"/>
      <c r="R25" s="3"/>
      <c r="S25" s="3"/>
      <c r="T25" s="3"/>
      <c r="U25" s="3"/>
      <c r="V25" s="3"/>
      <c r="W25" s="3"/>
      <c r="X25" s="3"/>
      <c r="Y25" s="3"/>
      <c r="Z25" s="3"/>
    </row>
    <row r="26" spans="2:26" ht="18" x14ac:dyDescent="0.35">
      <c r="B26" s="87"/>
      <c r="C26" s="2298" t="s">
        <v>133</v>
      </c>
      <c r="D26" s="106">
        <f t="shared" ref="D26:D28" si="10">E26/_xlfn.XLOOKUP(C26,C$4:C$7,E$4:E$7,"ERROR")*_xlfn.XLOOKUP(C26,C$4:C$7,D$4:D$7,"ERROR")</f>
        <v>4.6682246945562601E-3</v>
      </c>
      <c r="E26" s="106">
        <f>'EGU Production ALL Units'!K64</f>
        <v>4.6682246945562601E-3</v>
      </c>
      <c r="F26" s="3"/>
      <c r="G26" s="3"/>
      <c r="H26" s="3"/>
      <c r="I26" s="3"/>
      <c r="J26" s="3"/>
      <c r="K26" s="3"/>
      <c r="L26" s="3"/>
      <c r="M26" s="3"/>
      <c r="N26" s="3"/>
      <c r="O26" s="3"/>
      <c r="P26" s="3"/>
      <c r="Q26" s="3"/>
      <c r="R26" s="3"/>
      <c r="S26" s="3"/>
      <c r="T26" s="3"/>
      <c r="U26" s="3"/>
      <c r="V26" s="3"/>
      <c r="W26" s="3"/>
      <c r="X26" s="3"/>
      <c r="Y26" s="3"/>
      <c r="Z26" s="3"/>
    </row>
    <row r="27" spans="2:26" ht="18" x14ac:dyDescent="0.35">
      <c r="B27" s="87"/>
      <c r="C27" s="2298" t="s">
        <v>139</v>
      </c>
      <c r="D27" s="106">
        <f t="shared" si="10"/>
        <v>4.5057192526836601E-5</v>
      </c>
      <c r="E27" s="106">
        <f>'EGU Production ALL Units'!L64</f>
        <v>1.5481473786930308E-5</v>
      </c>
      <c r="F27" s="3"/>
      <c r="G27" s="3"/>
      <c r="H27" s="3"/>
      <c r="I27" s="3"/>
      <c r="J27" s="3"/>
      <c r="K27" s="3"/>
      <c r="L27" s="3"/>
      <c r="M27" s="3"/>
      <c r="N27" s="3"/>
      <c r="O27" s="3"/>
      <c r="P27" s="3"/>
      <c r="Q27" s="3"/>
      <c r="R27" s="3"/>
      <c r="S27" s="3"/>
      <c r="T27" s="3"/>
      <c r="U27" s="3"/>
      <c r="V27" s="3"/>
      <c r="W27" s="3"/>
      <c r="X27" s="3"/>
      <c r="Y27" s="3"/>
      <c r="Z27" s="3"/>
    </row>
    <row r="28" spans="2:26" ht="18" x14ac:dyDescent="0.35">
      <c r="B28" s="87"/>
      <c r="C28" s="2298" t="s">
        <v>143</v>
      </c>
      <c r="D28" s="106">
        <f t="shared" si="10"/>
        <v>2.2303103711198537E-5</v>
      </c>
      <c r="E28" s="106">
        <f>'EGU Production ALL Units'!M64</f>
        <v>2.2303103711198537E-5</v>
      </c>
      <c r="F28" s="3"/>
      <c r="G28" s="3"/>
      <c r="H28" s="3"/>
      <c r="I28" s="3"/>
      <c r="J28" s="3"/>
      <c r="K28" s="3"/>
      <c r="L28" s="3"/>
      <c r="M28" s="3"/>
      <c r="N28" s="3"/>
      <c r="O28" s="3"/>
      <c r="P28" s="3"/>
      <c r="Q28" s="3"/>
      <c r="R28" s="3"/>
      <c r="S28" s="3"/>
      <c r="T28" s="3"/>
      <c r="U28" s="3"/>
      <c r="V28" s="3"/>
      <c r="W28" s="3"/>
      <c r="X28" s="3"/>
      <c r="Y28" s="3"/>
      <c r="Z28" s="3"/>
    </row>
    <row r="29" spans="2:26" ht="15" x14ac:dyDescent="0.25">
      <c r="B29" s="178"/>
      <c r="C29" s="76" t="s">
        <v>149</v>
      </c>
      <c r="D29" s="106">
        <f>E29</f>
        <v>13.309032908833277</v>
      </c>
      <c r="E29" s="106">
        <f>'Imported Electricity'!N78</f>
        <v>13.309032908833277</v>
      </c>
      <c r="F29" s="3"/>
      <c r="G29" s="3"/>
      <c r="H29" s="3"/>
      <c r="I29" s="3"/>
      <c r="J29" s="3"/>
      <c r="K29" s="3"/>
      <c r="L29" s="3"/>
      <c r="M29" s="3"/>
      <c r="N29" s="3"/>
      <c r="O29" s="3"/>
      <c r="P29" s="3"/>
      <c r="Q29" s="3"/>
      <c r="R29" s="3"/>
      <c r="S29" s="3"/>
      <c r="T29" s="3"/>
      <c r="U29" s="3"/>
      <c r="V29" s="3"/>
      <c r="W29" s="3"/>
      <c r="X29" s="3"/>
      <c r="Y29" s="3"/>
      <c r="Z29" s="3"/>
    </row>
    <row r="30" spans="2:26" ht="15" x14ac:dyDescent="0.25">
      <c r="B30" s="57" t="s">
        <v>153</v>
      </c>
      <c r="C30" s="64"/>
      <c r="D30" s="69">
        <f t="shared" ref="D30:E30" si="11">D31+D35+D39+D43</f>
        <v>15.360409353431407</v>
      </c>
      <c r="E30" s="69">
        <f t="shared" si="11"/>
        <v>15.084988088347371</v>
      </c>
      <c r="F30" s="3"/>
      <c r="G30" s="3"/>
      <c r="H30" s="3"/>
      <c r="I30" s="3"/>
      <c r="J30" s="3"/>
      <c r="K30" s="3"/>
      <c r="L30" s="3"/>
      <c r="M30" s="3"/>
      <c r="N30" s="3"/>
      <c r="O30" s="3"/>
      <c r="P30" s="3"/>
      <c r="Q30" s="3"/>
      <c r="R30" s="3"/>
      <c r="S30" s="3"/>
      <c r="T30" s="3"/>
      <c r="U30" s="3"/>
      <c r="V30" s="3"/>
      <c r="W30" s="3"/>
      <c r="X30" s="3"/>
      <c r="Y30" s="3"/>
      <c r="Z30" s="3"/>
    </row>
    <row r="31" spans="2:26" ht="15" x14ac:dyDescent="0.25">
      <c r="B31" s="74"/>
      <c r="C31" s="97" t="s">
        <v>53</v>
      </c>
      <c r="D31" s="53">
        <f t="shared" ref="D31:E31" si="12">SUM(D32:D34)</f>
        <v>2.1328766489030855</v>
      </c>
      <c r="E31" s="53">
        <f t="shared" si="12"/>
        <v>2.1210996029827602</v>
      </c>
      <c r="F31" s="3"/>
      <c r="G31" s="3"/>
      <c r="H31" s="3"/>
      <c r="I31" s="3"/>
      <c r="J31" s="3"/>
      <c r="K31" s="3"/>
      <c r="L31" s="3"/>
      <c r="M31" s="3"/>
      <c r="N31" s="3"/>
      <c r="O31" s="3"/>
      <c r="P31" s="3"/>
      <c r="Q31" s="3"/>
      <c r="R31" s="3"/>
      <c r="S31" s="3"/>
      <c r="T31" s="3"/>
      <c r="U31" s="3"/>
      <c r="V31" s="3"/>
      <c r="W31" s="3"/>
      <c r="X31" s="3"/>
      <c r="Y31" s="3"/>
      <c r="Z31" s="3"/>
    </row>
    <row r="32" spans="2:26" ht="18" x14ac:dyDescent="0.35">
      <c r="B32" s="87"/>
      <c r="C32" s="2298" t="s">
        <v>159</v>
      </c>
      <c r="D32" s="106">
        <f t="shared" ref="D32:D34" si="13">E32/_xlfn.XLOOKUP(C32,C$4:C$7,E$4:E$7,"ERROR")*_xlfn.XLOOKUP(C32,C$4:C$7,D$4:D$7,"ERROR")</f>
        <v>2.1058866646785508</v>
      </c>
      <c r="E32" s="106">
        <f>Residential!C48+Commercial!D54+Industrial!E103</f>
        <v>2.1058866646785508</v>
      </c>
      <c r="F32" s="3"/>
      <c r="G32" s="3"/>
      <c r="H32" s="3"/>
      <c r="I32" s="3"/>
      <c r="J32" s="3"/>
      <c r="K32" s="3"/>
      <c r="L32" s="3"/>
      <c r="M32" s="3"/>
      <c r="N32" s="3"/>
      <c r="O32" s="3"/>
      <c r="P32" s="3"/>
      <c r="Q32" s="3"/>
      <c r="R32" s="3"/>
      <c r="S32" s="3"/>
      <c r="T32" s="3"/>
      <c r="U32" s="3"/>
      <c r="V32" s="3"/>
      <c r="W32" s="3"/>
      <c r="X32" s="3"/>
      <c r="Y32" s="3"/>
      <c r="Z32" s="3"/>
    </row>
    <row r="33" spans="2:26" ht="18" x14ac:dyDescent="0.35">
      <c r="B33" s="87"/>
      <c r="C33" s="2298" t="s">
        <v>162</v>
      </c>
      <c r="D33" s="106">
        <f t="shared" si="13"/>
        <v>1.7941766017455493E-2</v>
      </c>
      <c r="E33" s="106">
        <f>Residential!E48+Commercial!E54+Industrial!F103</f>
        <v>6.1647200971306432E-3</v>
      </c>
      <c r="F33" s="3"/>
      <c r="G33" s="3"/>
      <c r="H33" s="3"/>
      <c r="I33" s="3"/>
      <c r="J33" s="3"/>
      <c r="K33" s="3"/>
      <c r="L33" s="3"/>
      <c r="M33" s="3"/>
      <c r="N33" s="3"/>
      <c r="O33" s="3"/>
      <c r="P33" s="3"/>
      <c r="Q33" s="3"/>
      <c r="R33" s="3"/>
      <c r="S33" s="3"/>
      <c r="T33" s="3"/>
      <c r="U33" s="3"/>
      <c r="V33" s="3"/>
      <c r="W33" s="3"/>
      <c r="X33" s="3"/>
      <c r="Y33" s="3"/>
      <c r="Z33" s="3"/>
    </row>
    <row r="34" spans="2:26" ht="18" x14ac:dyDescent="0.35">
      <c r="B34" s="87"/>
      <c r="C34" s="2298" t="s">
        <v>164</v>
      </c>
      <c r="D34" s="106">
        <f t="shared" si="13"/>
        <v>9.0482182070788474E-3</v>
      </c>
      <c r="E34" s="106">
        <f>Residential!D48+Commercial!F54+Industrial!G103</f>
        <v>9.0482182070788474E-3</v>
      </c>
      <c r="F34" s="3"/>
      <c r="G34" s="3"/>
      <c r="H34" s="3"/>
      <c r="I34" s="3"/>
      <c r="J34" s="3"/>
      <c r="K34" s="3"/>
      <c r="L34" s="3"/>
      <c r="M34" s="3"/>
      <c r="N34" s="3"/>
      <c r="O34" s="3"/>
      <c r="P34" s="3"/>
      <c r="Q34" s="3"/>
      <c r="R34" s="3"/>
      <c r="S34" s="3"/>
      <c r="T34" s="3"/>
      <c r="U34" s="3"/>
      <c r="V34" s="3"/>
      <c r="W34" s="3"/>
      <c r="X34" s="3"/>
      <c r="Y34" s="3"/>
      <c r="Z34" s="3"/>
    </row>
    <row r="35" spans="2:26" ht="15" x14ac:dyDescent="0.25">
      <c r="B35" s="87"/>
      <c r="C35" s="97" t="s">
        <v>166</v>
      </c>
      <c r="D35" s="53">
        <f t="shared" ref="D35:E35" si="14">SUM(D36:D38)</f>
        <v>9.8749283097346527</v>
      </c>
      <c r="E35" s="53">
        <f t="shared" si="14"/>
        <v>9.8299315366536799</v>
      </c>
      <c r="F35" s="3"/>
      <c r="G35" s="3"/>
      <c r="H35" s="3"/>
      <c r="I35" s="3"/>
      <c r="J35" s="3"/>
      <c r="K35" s="3"/>
      <c r="L35" s="3"/>
      <c r="M35" s="3"/>
      <c r="N35" s="3"/>
      <c r="O35" s="3"/>
      <c r="P35" s="3"/>
      <c r="Q35" s="3"/>
      <c r="R35" s="3"/>
      <c r="S35" s="3"/>
      <c r="T35" s="3"/>
      <c r="U35" s="3"/>
      <c r="V35" s="3"/>
      <c r="W35" s="3"/>
      <c r="X35" s="3"/>
      <c r="Y35" s="3"/>
      <c r="Z35" s="3"/>
    </row>
    <row r="36" spans="2:26" ht="18" x14ac:dyDescent="0.35">
      <c r="B36" s="87"/>
      <c r="C36" s="2298" t="s">
        <v>167</v>
      </c>
      <c r="D36" s="106">
        <f t="shared" ref="D36:D38" si="15">E36/_xlfn.XLOOKUP(C36,C$4:C$7,E$4:E$7,"ERROR")*_xlfn.XLOOKUP(C36,C$4:C$7,D$4:D$7,"ERROR")</f>
        <v>9.8000519654177864</v>
      </c>
      <c r="E36" s="106">
        <f>Residential!C51+Residential!C52+Commercial!D57+Commercial!D60+Industrial!E111+Industrial!E123</f>
        <v>9.8000519654177864</v>
      </c>
      <c r="F36" s="3"/>
      <c r="G36" s="3"/>
      <c r="H36" s="3"/>
      <c r="I36" s="3"/>
      <c r="J36" s="3"/>
      <c r="K36" s="3"/>
      <c r="L36" s="3"/>
      <c r="M36" s="3"/>
      <c r="N36" s="3"/>
      <c r="O36" s="3"/>
      <c r="P36" s="3"/>
      <c r="Q36" s="3"/>
      <c r="R36" s="3"/>
      <c r="S36" s="3"/>
      <c r="T36" s="3"/>
      <c r="U36" s="3"/>
      <c r="V36" s="3"/>
      <c r="W36" s="3"/>
      <c r="X36" s="3"/>
      <c r="Y36" s="3"/>
      <c r="Z36" s="3"/>
    </row>
    <row r="37" spans="2:26" ht="18" x14ac:dyDescent="0.35">
      <c r="B37" s="87"/>
      <c r="C37" s="2298" t="s">
        <v>174</v>
      </c>
      <c r="D37" s="106">
        <f t="shared" si="15"/>
        <v>6.855043103517898E-2</v>
      </c>
      <c r="E37" s="106">
        <f>Residential!E51+Residential!E52+Commercial!E57+Commercial!E60+Industrial!F111+Industrial!F123</f>
        <v>2.3553657954205585E-2</v>
      </c>
      <c r="F37" s="3"/>
      <c r="G37" s="3"/>
      <c r="H37" s="3"/>
      <c r="I37" s="3"/>
      <c r="J37" s="3"/>
      <c r="K37" s="3"/>
      <c r="L37" s="3"/>
      <c r="M37" s="3"/>
      <c r="N37" s="3"/>
      <c r="O37" s="3"/>
      <c r="P37" s="3"/>
      <c r="Q37" s="3"/>
      <c r="R37" s="3"/>
      <c r="S37" s="3"/>
      <c r="T37" s="3"/>
      <c r="U37" s="3"/>
      <c r="V37" s="3"/>
      <c r="W37" s="3"/>
      <c r="X37" s="3"/>
      <c r="Y37" s="3"/>
      <c r="Z37" s="3"/>
    </row>
    <row r="38" spans="2:26" ht="18" x14ac:dyDescent="0.35">
      <c r="B38" s="87"/>
      <c r="C38" s="2298" t="s">
        <v>177</v>
      </c>
      <c r="D38" s="106">
        <f t="shared" si="15"/>
        <v>6.3259132816866426E-3</v>
      </c>
      <c r="E38" s="106">
        <f>Residential!D51+Residential!D52+Commercial!F57+Commercial!F60+Industrial!G111+Industrial!G123</f>
        <v>6.3259132816866426E-3</v>
      </c>
      <c r="F38" s="3"/>
      <c r="G38" s="3"/>
      <c r="H38" s="3"/>
      <c r="I38" s="3"/>
      <c r="J38" s="3"/>
      <c r="K38" s="3"/>
      <c r="L38" s="3"/>
      <c r="M38" s="3"/>
      <c r="N38" s="3"/>
      <c r="O38" s="3"/>
      <c r="P38" s="3"/>
      <c r="Q38" s="3"/>
      <c r="R38" s="3"/>
      <c r="S38" s="3"/>
      <c r="T38" s="3"/>
      <c r="U38" s="3"/>
      <c r="V38" s="3"/>
      <c r="W38" s="3"/>
      <c r="X38" s="3"/>
      <c r="Y38" s="3"/>
      <c r="Z38" s="3"/>
    </row>
    <row r="39" spans="2:26" ht="15" x14ac:dyDescent="0.25">
      <c r="B39" s="87"/>
      <c r="C39" s="97" t="s">
        <v>179</v>
      </c>
      <c r="D39" s="53">
        <f t="shared" ref="D39:E39" si="16">SUM(D40:D42)</f>
        <v>3.0203000604977412</v>
      </c>
      <c r="E39" s="53">
        <f t="shared" si="16"/>
        <v>3.0050026688393094</v>
      </c>
      <c r="F39" s="3"/>
      <c r="G39" s="3"/>
      <c r="H39" s="3"/>
      <c r="I39" s="3"/>
      <c r="J39" s="3"/>
      <c r="K39" s="3"/>
      <c r="L39" s="3"/>
      <c r="M39" s="3"/>
      <c r="N39" s="3"/>
      <c r="O39" s="3"/>
      <c r="P39" s="3"/>
      <c r="Q39" s="3"/>
      <c r="R39" s="3"/>
      <c r="S39" s="3"/>
      <c r="T39" s="3"/>
      <c r="U39" s="3"/>
      <c r="V39" s="3"/>
      <c r="W39" s="3"/>
      <c r="X39" s="3"/>
      <c r="Y39" s="3"/>
      <c r="Z39" s="3"/>
    </row>
    <row r="40" spans="2:26" ht="18" x14ac:dyDescent="0.35">
      <c r="B40" s="87"/>
      <c r="C40" s="2298" t="s">
        <v>182</v>
      </c>
      <c r="D40" s="106">
        <f t="shared" ref="D40:D42" si="17">E40/_xlfn.XLOOKUP(C40,C$4:C$7,E$4:E$7,"ERROR")*_xlfn.XLOOKUP(C40,C$4:C$7,D$4:D$7,"ERROR")</f>
        <v>2.9907986745544735</v>
      </c>
      <c r="E40" s="106">
        <f>Residential!C49+Residential!C50+Commercial!D55+Commercial!D56+Commercial!D58+Commercial!D59+Industrial!E107+Industrial!E108+Industrial!E109+Industrial!E110+Industrial!E112+Industrial!E113+Industrial!E115+Industrial!E117+Industrial!E118+Industrial!E120+Industrial!E122</f>
        <v>2.9907986745544735</v>
      </c>
      <c r="F40" s="3"/>
      <c r="G40" s="3"/>
      <c r="H40" s="3"/>
      <c r="I40" s="3"/>
      <c r="J40" s="3"/>
      <c r="K40" s="3"/>
      <c r="L40" s="3"/>
      <c r="M40" s="3"/>
      <c r="N40" s="3"/>
      <c r="O40" s="3"/>
      <c r="P40" s="3"/>
      <c r="Q40" s="3"/>
      <c r="R40" s="3"/>
      <c r="S40" s="3"/>
      <c r="T40" s="3"/>
      <c r="U40" s="3"/>
      <c r="V40" s="3"/>
      <c r="W40" s="3"/>
      <c r="X40" s="3"/>
      <c r="Y40" s="3"/>
      <c r="Z40" s="3"/>
    </row>
    <row r="41" spans="2:26" ht="18" x14ac:dyDescent="0.35">
      <c r="B41" s="87"/>
      <c r="C41" s="2298" t="s">
        <v>190</v>
      </c>
      <c r="D41" s="106">
        <f t="shared" si="17"/>
        <v>2.3304844327667548E-2</v>
      </c>
      <c r="E41" s="106">
        <f>Residential!E49+Residential!E50+Commercial!E55+Commercial!E56+Commercial!E58+Commercial!E59+Industrial!F107+Industrial!F108+Industrial!F109+Industrial!F110+Industrial!F113+Industrial!F117+Industrial!F118+Industrial!F120</f>
        <v>8.0074526692355246E-3</v>
      </c>
      <c r="F41" s="3"/>
      <c r="G41" s="3"/>
      <c r="H41" s="3"/>
      <c r="I41" s="3"/>
      <c r="J41" s="3"/>
      <c r="K41" s="3"/>
      <c r="L41" s="3"/>
      <c r="M41" s="3"/>
      <c r="N41" s="3"/>
      <c r="O41" s="3"/>
      <c r="P41" s="3"/>
      <c r="Q41" s="3"/>
      <c r="R41" s="3"/>
      <c r="S41" s="3"/>
      <c r="T41" s="3"/>
      <c r="U41" s="3"/>
      <c r="V41" s="3"/>
      <c r="W41" s="3"/>
      <c r="X41" s="3"/>
      <c r="Y41" s="3"/>
      <c r="Z41" s="3"/>
    </row>
    <row r="42" spans="2:26" ht="18" x14ac:dyDescent="0.35">
      <c r="B42" s="87"/>
      <c r="C42" s="2298" t="s">
        <v>196</v>
      </c>
      <c r="D42" s="106">
        <f t="shared" si="17"/>
        <v>6.1965416156003978E-3</v>
      </c>
      <c r="E42" s="106">
        <f>Residential!D49+Residential!D50+Commercial!F55+Commercial!F56+Commercial!F58+Commercial!F59+Industrial!G107+Industrial!G108+Industrial!G109+Industrial!G110+Industrial!G113+Industrial!G117+Industrial!G118+Industrial!G120</f>
        <v>6.1965416156003978E-3</v>
      </c>
      <c r="F42" s="3"/>
      <c r="G42" s="3"/>
      <c r="H42" s="3"/>
      <c r="I42" s="3"/>
      <c r="J42" s="3"/>
      <c r="K42" s="3"/>
      <c r="L42" s="3"/>
      <c r="M42" s="3"/>
      <c r="N42" s="3"/>
      <c r="O42" s="3"/>
      <c r="P42" s="3"/>
      <c r="Q42" s="3"/>
      <c r="R42" s="3"/>
      <c r="S42" s="3"/>
      <c r="T42" s="3"/>
      <c r="U42" s="3"/>
      <c r="V42" s="3"/>
      <c r="W42" s="3"/>
      <c r="X42" s="3"/>
      <c r="Y42" s="3"/>
      <c r="Z42" s="3"/>
    </row>
    <row r="43" spans="2:26" ht="15" x14ac:dyDescent="0.25">
      <c r="B43" s="87"/>
      <c r="C43" s="97" t="s">
        <v>198</v>
      </c>
      <c r="D43" s="53">
        <f t="shared" ref="D43:E43" si="18">SUM(D44:D46)</f>
        <v>0.33230433429592765</v>
      </c>
      <c r="E43" s="53">
        <f t="shared" si="18"/>
        <v>0.12895427987162378</v>
      </c>
      <c r="F43" s="3"/>
      <c r="G43" s="3"/>
      <c r="H43" s="3"/>
      <c r="I43" s="3"/>
      <c r="J43" s="3"/>
      <c r="K43" s="3"/>
      <c r="L43" s="3"/>
      <c r="M43" s="3"/>
      <c r="N43" s="3"/>
      <c r="O43" s="3"/>
      <c r="P43" s="3"/>
      <c r="Q43" s="3"/>
      <c r="R43" s="3"/>
      <c r="S43" s="3"/>
      <c r="T43" s="3"/>
      <c r="U43" s="3"/>
      <c r="V43" s="3"/>
      <c r="W43" s="3"/>
      <c r="X43" s="3"/>
      <c r="Y43" s="3"/>
      <c r="Z43" s="3"/>
    </row>
    <row r="44" spans="2:26" ht="18" x14ac:dyDescent="0.35">
      <c r="B44" s="87"/>
      <c r="C44" s="2298" t="s">
        <v>201</v>
      </c>
      <c r="D44" s="106">
        <f t="shared" ref="D44:D46" si="19">E44/_xlfn.XLOOKUP(C44,C$4:C$7,E$4:E$7,"ERROR")*_xlfn.XLOOKUP(C44,C$4:C$7,D$4:D$7,"ERROR")</f>
        <v>0</v>
      </c>
      <c r="E44" s="106">
        <f>Residential!C53+Commercial!D61+Industrial!E124</f>
        <v>0</v>
      </c>
      <c r="F44" s="3"/>
      <c r="G44" s="3"/>
      <c r="H44" s="3"/>
      <c r="I44" s="3"/>
      <c r="J44" s="3"/>
      <c r="K44" s="3"/>
      <c r="L44" s="3"/>
      <c r="M44" s="3"/>
      <c r="N44" s="3"/>
      <c r="O44" s="3"/>
      <c r="P44" s="3"/>
      <c r="Q44" s="3"/>
      <c r="R44" s="3"/>
      <c r="S44" s="3"/>
      <c r="T44" s="3"/>
      <c r="U44" s="3"/>
      <c r="V44" s="3"/>
      <c r="W44" s="3"/>
      <c r="X44" s="3"/>
      <c r="Y44" s="3"/>
      <c r="Z44" s="3"/>
    </row>
    <row r="45" spans="2:26" ht="18" x14ac:dyDescent="0.35">
      <c r="B45" s="87"/>
      <c r="C45" s="2298" t="s">
        <v>203</v>
      </c>
      <c r="D45" s="106">
        <f t="shared" si="19"/>
        <v>0.30979407916047796</v>
      </c>
      <c r="E45" s="106">
        <f>Residential!E53+Commercial!E61+Industrial!F124</f>
        <v>0.10644402473617406</v>
      </c>
      <c r="F45" s="3"/>
      <c r="G45" s="3"/>
      <c r="H45" s="3"/>
      <c r="I45" s="3"/>
      <c r="J45" s="3"/>
      <c r="K45" s="3"/>
      <c r="L45" s="3"/>
      <c r="M45" s="3"/>
      <c r="N45" s="3"/>
      <c r="O45" s="3"/>
      <c r="P45" s="3"/>
      <c r="Q45" s="3"/>
      <c r="R45" s="3"/>
      <c r="S45" s="3"/>
      <c r="T45" s="3"/>
      <c r="U45" s="3"/>
      <c r="V45" s="3"/>
      <c r="W45" s="3"/>
      <c r="X45" s="3"/>
      <c r="Y45" s="3"/>
      <c r="Z45" s="3"/>
    </row>
    <row r="46" spans="2:26" ht="18" x14ac:dyDescent="0.35">
      <c r="B46" s="178"/>
      <c r="C46" s="2298" t="s">
        <v>206</v>
      </c>
      <c r="D46" s="106">
        <f t="shared" si="19"/>
        <v>2.2510255135449707E-2</v>
      </c>
      <c r="E46" s="106">
        <f>Residential!D53+Commercial!F61+Industrial!G124</f>
        <v>2.2510255135449707E-2</v>
      </c>
      <c r="F46" s="3"/>
      <c r="G46" s="3"/>
      <c r="H46" s="3"/>
      <c r="I46" s="3"/>
      <c r="J46" s="3"/>
      <c r="K46" s="3"/>
      <c r="L46" s="3"/>
      <c r="M46" s="3"/>
      <c r="N46" s="3"/>
      <c r="O46" s="3"/>
      <c r="P46" s="3"/>
      <c r="Q46" s="3"/>
      <c r="R46" s="3"/>
      <c r="S46" s="3"/>
      <c r="T46" s="3"/>
      <c r="U46" s="3"/>
      <c r="V46" s="3"/>
      <c r="W46" s="3"/>
      <c r="X46" s="3"/>
      <c r="Y46" s="3"/>
      <c r="Z46" s="3"/>
    </row>
    <row r="47" spans="2:26" ht="15" x14ac:dyDescent="0.25">
      <c r="B47" s="57" t="s">
        <v>207</v>
      </c>
      <c r="C47" s="64"/>
      <c r="D47" s="69">
        <f t="shared" ref="D47:E47" si="20">D48+D52+D56+D60+D64+D68+D72+D76</f>
        <v>36.632397761880846</v>
      </c>
      <c r="E47" s="69">
        <f t="shared" si="20"/>
        <v>36.591775392507849</v>
      </c>
      <c r="F47" s="3"/>
      <c r="G47" s="3"/>
      <c r="H47" s="3"/>
      <c r="I47" s="3"/>
      <c r="J47" s="3"/>
      <c r="K47" s="3"/>
      <c r="L47" s="3"/>
      <c r="M47" s="3"/>
      <c r="N47" s="3"/>
      <c r="O47" s="3"/>
      <c r="P47" s="3"/>
      <c r="Q47" s="3"/>
      <c r="R47" s="3"/>
      <c r="S47" s="3"/>
      <c r="T47" s="3"/>
      <c r="U47" s="3"/>
      <c r="V47" s="3"/>
      <c r="W47" s="3"/>
      <c r="X47" s="3"/>
      <c r="Y47" s="3"/>
      <c r="Z47" s="3"/>
    </row>
    <row r="48" spans="2:26" ht="15" x14ac:dyDescent="0.25">
      <c r="B48" s="74"/>
      <c r="C48" s="97" t="s">
        <v>211</v>
      </c>
      <c r="D48" s="53">
        <f t="shared" ref="D48:E48" si="21">SUM(D49:D51)</f>
        <v>22.544405323241751</v>
      </c>
      <c r="E48" s="53">
        <f t="shared" si="21"/>
        <v>22.52824822119338</v>
      </c>
      <c r="F48" s="3"/>
      <c r="G48" s="3"/>
      <c r="H48" s="3"/>
      <c r="I48" s="3"/>
      <c r="J48" s="3"/>
      <c r="K48" s="3"/>
      <c r="L48" s="3"/>
      <c r="M48" s="3"/>
      <c r="N48" s="3"/>
      <c r="O48" s="3"/>
      <c r="P48" s="3"/>
      <c r="Q48" s="3"/>
      <c r="R48" s="3"/>
      <c r="S48" s="3"/>
      <c r="T48" s="3"/>
      <c r="U48" s="3"/>
      <c r="V48" s="3"/>
      <c r="W48" s="3"/>
      <c r="X48" s="3"/>
      <c r="Y48" s="3"/>
      <c r="Z48" s="3"/>
    </row>
    <row r="49" spans="2:26" ht="18" x14ac:dyDescent="0.35">
      <c r="B49" s="87"/>
      <c r="C49" s="2298" t="s">
        <v>212</v>
      </c>
      <c r="D49" s="106">
        <f t="shared" ref="D49:D51" si="22">E49/_xlfn.XLOOKUP(C49,C$4:C$7,E$4:E$7,"ERROR")*_xlfn.XLOOKUP(C49,C$4:C$7,D$4:D$7,"ERROR")</f>
        <v>22.519055143367485</v>
      </c>
      <c r="E49" s="106">
        <f>Transportation!O107</f>
        <v>22.519055143367485</v>
      </c>
      <c r="F49" s="3"/>
      <c r="G49" s="3"/>
      <c r="H49" s="3"/>
      <c r="I49" s="3"/>
      <c r="J49" s="3"/>
      <c r="K49" s="3"/>
      <c r="L49" s="3"/>
      <c r="M49" s="3"/>
      <c r="N49" s="3"/>
      <c r="O49" s="3"/>
      <c r="P49" s="3"/>
      <c r="Q49" s="3"/>
      <c r="R49" s="3"/>
      <c r="S49" s="3"/>
      <c r="T49" s="3"/>
      <c r="U49" s="3"/>
      <c r="V49" s="3"/>
      <c r="W49" s="3"/>
      <c r="X49" s="3"/>
      <c r="Y49" s="3"/>
      <c r="Z49" s="3"/>
    </row>
    <row r="50" spans="2:26" ht="18" x14ac:dyDescent="0.35">
      <c r="B50" s="87"/>
      <c r="C50" s="2298" t="s">
        <v>220</v>
      </c>
      <c r="D50" s="106">
        <f t="shared" si="22"/>
        <v>2.461457197613021E-2</v>
      </c>
      <c r="E50" s="106">
        <f>Transportation!AE107/1000000</f>
        <v>8.4574699277590246E-3</v>
      </c>
      <c r="F50" s="3"/>
      <c r="G50" s="3"/>
      <c r="H50" s="3"/>
      <c r="I50" s="3"/>
      <c r="J50" s="3"/>
      <c r="K50" s="3"/>
      <c r="L50" s="3"/>
      <c r="M50" s="3"/>
      <c r="N50" s="3"/>
      <c r="O50" s="3"/>
      <c r="P50" s="3"/>
      <c r="Q50" s="3"/>
      <c r="R50" s="3"/>
      <c r="S50" s="3"/>
      <c r="T50" s="3"/>
      <c r="U50" s="3"/>
      <c r="V50" s="3"/>
      <c r="W50" s="3"/>
      <c r="X50" s="3"/>
      <c r="Y50" s="3"/>
      <c r="Z50" s="3"/>
    </row>
    <row r="51" spans="2:26" ht="18" x14ac:dyDescent="0.35">
      <c r="B51" s="87"/>
      <c r="C51" s="2298" t="s">
        <v>221</v>
      </c>
      <c r="D51" s="106">
        <f t="shared" si="22"/>
        <v>7.3560789813722485E-4</v>
      </c>
      <c r="E51" s="106">
        <f>Transportation!X107/1000000</f>
        <v>7.3560789813722485E-4</v>
      </c>
      <c r="F51" s="3"/>
      <c r="G51" s="3"/>
      <c r="H51" s="3"/>
      <c r="I51" s="3"/>
      <c r="J51" s="3"/>
      <c r="K51" s="3"/>
      <c r="L51" s="3"/>
      <c r="M51" s="3"/>
      <c r="N51" s="3"/>
      <c r="O51" s="3"/>
      <c r="P51" s="3"/>
      <c r="Q51" s="3"/>
      <c r="R51" s="3"/>
      <c r="S51" s="3"/>
      <c r="T51" s="3"/>
      <c r="U51" s="3"/>
      <c r="V51" s="3"/>
      <c r="W51" s="3"/>
      <c r="X51" s="3"/>
      <c r="Y51" s="3"/>
      <c r="Z51" s="3"/>
    </row>
    <row r="52" spans="2:26" ht="15" x14ac:dyDescent="0.25">
      <c r="B52" s="87"/>
      <c r="C52" s="97" t="s">
        <v>224</v>
      </c>
      <c r="D52" s="53">
        <f t="shared" ref="D52:E52" si="23">SUM(D53:D55)</f>
        <v>2.7388868739029637</v>
      </c>
      <c r="E52" s="53">
        <f t="shared" si="23"/>
        <v>2.7364882511397353</v>
      </c>
      <c r="F52" s="3"/>
      <c r="G52" s="3"/>
      <c r="H52" s="3"/>
      <c r="I52" s="3"/>
      <c r="J52" s="3"/>
      <c r="K52" s="3"/>
      <c r="L52" s="3"/>
      <c r="M52" s="3"/>
      <c r="N52" s="3"/>
      <c r="O52" s="3"/>
      <c r="P52" s="3"/>
      <c r="Q52" s="3"/>
      <c r="R52" s="3"/>
      <c r="S52" s="3"/>
      <c r="T52" s="3"/>
      <c r="U52" s="3"/>
      <c r="V52" s="3"/>
      <c r="W52" s="3"/>
      <c r="X52" s="3"/>
      <c r="Y52" s="3"/>
      <c r="Z52" s="3"/>
    </row>
    <row r="53" spans="2:26" ht="18" x14ac:dyDescent="0.35">
      <c r="B53" s="87"/>
      <c r="C53" s="2298" t="s">
        <v>227</v>
      </c>
      <c r="D53" s="106">
        <f t="shared" ref="D53:D55" si="24">E53/_xlfn.XLOOKUP(C53,C$4:C$7,E$4:E$7,"ERROR")*_xlfn.XLOOKUP(C53,C$4:C$7,D$4:D$7,"ERROR")</f>
        <v>2.7318932899032262</v>
      </c>
      <c r="E53" s="106">
        <f>Transportation!O66+Transportation!O67+Transportation!O68+Transportation!O69</f>
        <v>2.7318932899032262</v>
      </c>
      <c r="F53" s="3"/>
      <c r="G53" s="3"/>
      <c r="H53" s="3"/>
      <c r="I53" s="3"/>
      <c r="J53" s="3"/>
      <c r="K53" s="3"/>
      <c r="L53" s="3"/>
      <c r="M53" s="3"/>
      <c r="N53" s="3"/>
      <c r="O53" s="3"/>
      <c r="P53" s="3"/>
      <c r="Q53" s="3"/>
      <c r="R53" s="3"/>
      <c r="S53" s="3"/>
      <c r="T53" s="3"/>
      <c r="U53" s="3"/>
      <c r="V53" s="3"/>
      <c r="W53" s="3"/>
      <c r="X53" s="3"/>
      <c r="Y53" s="3"/>
      <c r="Z53" s="3"/>
    </row>
    <row r="54" spans="2:26" ht="18" x14ac:dyDescent="0.35">
      <c r="B54" s="87"/>
      <c r="C54" s="2298" t="s">
        <v>231</v>
      </c>
      <c r="D54" s="106">
        <f t="shared" si="24"/>
        <v>3.6541870239053583E-3</v>
      </c>
      <c r="E54" s="106">
        <f>(Transportation!AE66+Transportation!AE67+Transportation!AE68+Transportation!AE69)/1000000</f>
        <v>1.255564260676841E-3</v>
      </c>
      <c r="F54" s="3"/>
      <c r="G54" s="3"/>
      <c r="H54" s="3"/>
      <c r="I54" s="3"/>
      <c r="J54" s="3"/>
      <c r="K54" s="3"/>
      <c r="L54" s="3"/>
      <c r="M54" s="3"/>
      <c r="N54" s="3"/>
      <c r="O54" s="3"/>
      <c r="P54" s="3"/>
      <c r="Q54" s="3"/>
      <c r="R54" s="3"/>
      <c r="S54" s="3"/>
      <c r="T54" s="3"/>
      <c r="U54" s="3"/>
      <c r="V54" s="3"/>
      <c r="W54" s="3"/>
      <c r="X54" s="3"/>
      <c r="Y54" s="3"/>
      <c r="Z54" s="3"/>
    </row>
    <row r="55" spans="2:26" ht="18" x14ac:dyDescent="0.35">
      <c r="B55" s="87"/>
      <c r="C55" s="2298" t="s">
        <v>232</v>
      </c>
      <c r="D55" s="106">
        <f t="shared" si="24"/>
        <v>3.3393969758320078E-3</v>
      </c>
      <c r="E55" s="106">
        <f>SUM(Transportation!X66:X69)/1000000</f>
        <v>3.3393969758320078E-3</v>
      </c>
      <c r="F55" s="3"/>
      <c r="G55" s="3"/>
      <c r="H55" s="3"/>
      <c r="I55" s="3"/>
      <c r="J55" s="3"/>
      <c r="K55" s="3"/>
      <c r="L55" s="3"/>
      <c r="M55" s="3"/>
      <c r="N55" s="3"/>
      <c r="O55" s="3"/>
      <c r="P55" s="3"/>
      <c r="Q55" s="3"/>
      <c r="R55" s="3"/>
      <c r="S55" s="3"/>
      <c r="T55" s="3"/>
      <c r="U55" s="3"/>
      <c r="V55" s="3"/>
      <c r="W55" s="3"/>
      <c r="X55" s="3"/>
      <c r="Y55" s="3"/>
      <c r="Z55" s="3"/>
    </row>
    <row r="56" spans="2:26" ht="15" x14ac:dyDescent="0.25">
      <c r="B56" s="87"/>
      <c r="C56" s="97" t="s">
        <v>235</v>
      </c>
      <c r="D56" s="53">
        <f t="shared" ref="D56:E56" si="25">SUM(D57:D59)</f>
        <v>5.7210280309155843</v>
      </c>
      <c r="E56" s="53">
        <f t="shared" si="25"/>
        <v>5.7208212184300162</v>
      </c>
      <c r="F56" s="3"/>
      <c r="G56" s="3"/>
      <c r="H56" s="3"/>
      <c r="I56" s="3"/>
      <c r="J56" s="3"/>
      <c r="K56" s="3"/>
      <c r="L56" s="3"/>
      <c r="M56" s="3"/>
      <c r="N56" s="3"/>
      <c r="O56" s="3"/>
      <c r="P56" s="3"/>
      <c r="Q56" s="3"/>
      <c r="R56" s="3"/>
      <c r="S56" s="3"/>
      <c r="T56" s="3"/>
      <c r="U56" s="3"/>
      <c r="V56" s="3"/>
      <c r="W56" s="3"/>
      <c r="X56" s="3"/>
      <c r="Y56" s="3"/>
      <c r="Z56" s="3"/>
    </row>
    <row r="57" spans="2:26" ht="18" x14ac:dyDescent="0.35">
      <c r="B57" s="87"/>
      <c r="C57" s="2298" t="s">
        <v>236</v>
      </c>
      <c r="D57" s="106">
        <f t="shared" ref="D57:D59" si="26">E57/_xlfn.XLOOKUP(C57,C$4:C$7,E$4:E$7,"ERROR")*_xlfn.XLOOKUP(C57,C$4:C$7,D$4:D$7,"ERROR")</f>
        <v>5.720528738777328</v>
      </c>
      <c r="E57" s="106">
        <f>Transportation!O106</f>
        <v>5.720528738777328</v>
      </c>
      <c r="F57" s="3"/>
      <c r="G57" s="3"/>
      <c r="H57" s="3"/>
      <c r="I57" s="3"/>
      <c r="J57" s="3"/>
      <c r="K57" s="3"/>
      <c r="L57" s="3"/>
      <c r="M57" s="3"/>
      <c r="N57" s="3"/>
      <c r="O57" s="3"/>
      <c r="P57" s="3"/>
      <c r="Q57" s="3"/>
      <c r="R57" s="3"/>
      <c r="S57" s="3"/>
      <c r="T57" s="3"/>
      <c r="U57" s="3"/>
      <c r="V57" s="3"/>
      <c r="W57" s="3"/>
      <c r="X57" s="3"/>
      <c r="Y57" s="3"/>
      <c r="Z57" s="3"/>
    </row>
    <row r="58" spans="2:26" ht="18" x14ac:dyDescent="0.35">
      <c r="B58" s="87"/>
      <c r="C58" s="2298" t="s">
        <v>239</v>
      </c>
      <c r="D58" s="106">
        <f t="shared" si="26"/>
        <v>3.1506892735763491E-4</v>
      </c>
      <c r="E58" s="106">
        <f>Transportation!AE106/1000000</f>
        <v>1.082564417891381E-4</v>
      </c>
      <c r="F58" s="3"/>
      <c r="G58" s="3"/>
      <c r="H58" s="3"/>
      <c r="I58" s="3"/>
      <c r="J58" s="3"/>
      <c r="K58" s="3"/>
      <c r="L58" s="3"/>
      <c r="M58" s="3"/>
      <c r="N58" s="3"/>
      <c r="O58" s="3"/>
      <c r="P58" s="3"/>
      <c r="Q58" s="3"/>
      <c r="R58" s="3"/>
      <c r="S58" s="3"/>
      <c r="T58" s="3"/>
      <c r="U58" s="3"/>
      <c r="V58" s="3"/>
      <c r="W58" s="3"/>
      <c r="X58" s="3"/>
      <c r="Y58" s="3"/>
      <c r="Z58" s="3"/>
    </row>
    <row r="59" spans="2:26" ht="18" x14ac:dyDescent="0.35">
      <c r="B59" s="87"/>
      <c r="C59" s="2298" t="s">
        <v>243</v>
      </c>
      <c r="D59" s="106">
        <f t="shared" si="26"/>
        <v>1.8422321089876705E-4</v>
      </c>
      <c r="E59" s="106">
        <f>Transportation!X106/1000000</f>
        <v>1.8422321089876705E-4</v>
      </c>
      <c r="F59" s="3"/>
      <c r="G59" s="3"/>
      <c r="H59" s="3"/>
      <c r="I59" s="3"/>
      <c r="J59" s="3"/>
      <c r="K59" s="3"/>
      <c r="L59" s="3"/>
      <c r="M59" s="3"/>
      <c r="N59" s="3"/>
      <c r="O59" s="3"/>
      <c r="P59" s="3"/>
      <c r="Q59" s="3"/>
      <c r="R59" s="3"/>
      <c r="S59" s="3"/>
      <c r="T59" s="3"/>
      <c r="U59" s="3"/>
      <c r="V59" s="3"/>
      <c r="W59" s="3"/>
      <c r="X59" s="3"/>
      <c r="Y59" s="3"/>
      <c r="Z59" s="3"/>
    </row>
    <row r="60" spans="2:26" ht="15" x14ac:dyDescent="0.25">
      <c r="B60" s="87"/>
      <c r="C60" s="97" t="s">
        <v>244</v>
      </c>
      <c r="D60" s="53">
        <f t="shared" ref="D60:E60" si="27">SUM(D61:D63)</f>
        <v>2.1714560047378129</v>
      </c>
      <c r="E60" s="53">
        <f t="shared" si="27"/>
        <v>2.1558337848787414</v>
      </c>
      <c r="F60" s="3"/>
      <c r="G60" s="3"/>
      <c r="H60" s="3"/>
      <c r="I60" s="3"/>
      <c r="J60" s="3"/>
      <c r="K60" s="3"/>
      <c r="L60" s="3"/>
      <c r="M60" s="3"/>
      <c r="N60" s="3"/>
      <c r="O60" s="3"/>
      <c r="P60" s="3"/>
      <c r="Q60" s="3"/>
      <c r="R60" s="3"/>
      <c r="S60" s="3"/>
      <c r="T60" s="3"/>
      <c r="U60" s="3"/>
      <c r="V60" s="3"/>
      <c r="W60" s="3"/>
      <c r="X60" s="3"/>
      <c r="Y60" s="3"/>
      <c r="Z60" s="3"/>
    </row>
    <row r="61" spans="2:26" ht="18" x14ac:dyDescent="0.35">
      <c r="B61" s="87"/>
      <c r="C61" s="2298" t="s">
        <v>245</v>
      </c>
      <c r="D61" s="106">
        <f t="shared" ref="D61:D63" si="28">E61/_xlfn.XLOOKUP(C61,C$4:C$7,E$4:E$7,"ERROR")*_xlfn.XLOOKUP(C61,C$4:C$7,D$4:D$7,"ERROR")</f>
        <v>2.133145964549084</v>
      </c>
      <c r="E61" s="106">
        <f>SUM(Transportation!O58:O60)</f>
        <v>2.133145964549084</v>
      </c>
      <c r="F61" s="3"/>
      <c r="G61" s="3"/>
      <c r="H61" s="3"/>
      <c r="I61" s="3"/>
      <c r="J61" s="3"/>
      <c r="K61" s="3"/>
      <c r="L61" s="3"/>
      <c r="M61" s="3"/>
      <c r="N61" s="3"/>
      <c r="O61" s="3"/>
      <c r="P61" s="3"/>
      <c r="Q61" s="3"/>
      <c r="R61" s="3"/>
      <c r="S61" s="3"/>
      <c r="T61" s="3"/>
      <c r="U61" s="3"/>
      <c r="V61" s="3"/>
      <c r="W61" s="3"/>
      <c r="X61" s="3"/>
      <c r="Y61" s="3"/>
      <c r="Z61" s="3"/>
    </row>
    <row r="62" spans="2:26" ht="18" x14ac:dyDescent="0.35">
      <c r="B62" s="87"/>
      <c r="C62" s="2298" t="s">
        <v>248</v>
      </c>
      <c r="D62" s="106">
        <f t="shared" si="28"/>
        <v>2.3799704550780818E-2</v>
      </c>
      <c r="E62" s="106">
        <f>SUM(Transportation!AE58:AE60)/1000000</f>
        <v>8.1774846917091731E-3</v>
      </c>
      <c r="F62" s="3"/>
      <c r="G62" s="3"/>
      <c r="H62" s="3"/>
      <c r="I62" s="3"/>
      <c r="J62" s="3"/>
      <c r="K62" s="3"/>
      <c r="L62" s="3"/>
      <c r="M62" s="3"/>
      <c r="N62" s="3"/>
      <c r="O62" s="3"/>
      <c r="P62" s="3"/>
      <c r="Q62" s="3"/>
      <c r="R62" s="3"/>
      <c r="S62" s="3"/>
      <c r="T62" s="3"/>
      <c r="U62" s="3"/>
      <c r="V62" s="3"/>
      <c r="W62" s="3"/>
      <c r="X62" s="3"/>
      <c r="Y62" s="3"/>
      <c r="Z62" s="3"/>
    </row>
    <row r="63" spans="2:26" ht="18" x14ac:dyDescent="0.35">
      <c r="B63" s="87"/>
      <c r="C63" s="2298" t="s">
        <v>249</v>
      </c>
      <c r="D63" s="106">
        <f t="shared" si="28"/>
        <v>1.451033563794797E-2</v>
      </c>
      <c r="E63" s="106">
        <f>SUM(Transportation!X58:X60)/1000000</f>
        <v>1.451033563794797E-2</v>
      </c>
      <c r="F63" s="3"/>
      <c r="G63" s="3"/>
      <c r="H63" s="3"/>
      <c r="I63" s="3"/>
      <c r="J63" s="3"/>
      <c r="K63" s="3"/>
      <c r="L63" s="3"/>
      <c r="M63" s="3"/>
      <c r="N63" s="3"/>
      <c r="O63" s="3"/>
      <c r="P63" s="3"/>
      <c r="Q63" s="3"/>
      <c r="R63" s="3"/>
      <c r="S63" s="3"/>
      <c r="T63" s="3"/>
      <c r="U63" s="3"/>
      <c r="V63" s="3"/>
      <c r="W63" s="3"/>
      <c r="X63" s="3"/>
      <c r="Y63" s="3"/>
      <c r="Z63" s="3"/>
    </row>
    <row r="64" spans="2:26" ht="15" x14ac:dyDescent="0.25">
      <c r="B64" s="87"/>
      <c r="C64" s="97" t="s">
        <v>250</v>
      </c>
      <c r="D64" s="53">
        <f t="shared" ref="D64:E64" si="29">SUM(D65:D67)</f>
        <v>0.18773720544352993</v>
      </c>
      <c r="E64" s="53">
        <f t="shared" si="29"/>
        <v>0.18696814797944591</v>
      </c>
      <c r="F64" s="3"/>
      <c r="G64" s="3"/>
      <c r="H64" s="3"/>
      <c r="I64" s="3"/>
      <c r="J64" s="3"/>
      <c r="K64" s="3"/>
      <c r="L64" s="3"/>
      <c r="M64" s="3"/>
      <c r="N64" s="3"/>
      <c r="O64" s="3"/>
      <c r="P64" s="3"/>
      <c r="Q64" s="3"/>
      <c r="R64" s="3"/>
      <c r="S64" s="3"/>
      <c r="T64" s="3"/>
      <c r="U64" s="3"/>
      <c r="V64" s="3"/>
      <c r="W64" s="3"/>
      <c r="X64" s="3"/>
      <c r="Y64" s="3"/>
      <c r="Z64" s="3"/>
    </row>
    <row r="65" spans="2:26" ht="18" x14ac:dyDescent="0.35">
      <c r="B65" s="87"/>
      <c r="C65" s="2298" t="s">
        <v>253</v>
      </c>
      <c r="D65" s="106">
        <f t="shared" ref="D65:D67" si="30">E65/_xlfn.XLOOKUP(C65,C$4:C$7,E$4:E$7,"ERROR")*_xlfn.XLOOKUP(C65,C$4:C$7,D$4:D$7,"ERROR")</f>
        <v>0.18530507924942111</v>
      </c>
      <c r="E65" s="106">
        <f>Transportation!O61</f>
        <v>0.18530507924942111</v>
      </c>
      <c r="F65" s="3"/>
      <c r="G65" s="3"/>
      <c r="H65" s="3"/>
      <c r="I65" s="3"/>
      <c r="J65" s="3"/>
      <c r="K65" s="3"/>
      <c r="L65" s="3"/>
      <c r="M65" s="3"/>
      <c r="N65" s="3"/>
      <c r="O65" s="3"/>
      <c r="P65" s="3"/>
      <c r="Q65" s="3"/>
      <c r="R65" s="3"/>
      <c r="S65" s="3"/>
      <c r="T65" s="3"/>
      <c r="U65" s="3"/>
      <c r="V65" s="3"/>
      <c r="W65" s="3"/>
      <c r="X65" s="3"/>
      <c r="Y65" s="3"/>
      <c r="Z65" s="3"/>
    </row>
    <row r="66" spans="2:26" ht="18" x14ac:dyDescent="0.35">
      <c r="B66" s="87"/>
      <c r="C66" s="2298" t="s">
        <v>254</v>
      </c>
      <c r="D66" s="106">
        <f t="shared" si="30"/>
        <v>1.1716222529759999E-3</v>
      </c>
      <c r="E66" s="106">
        <f>Transportation!AE61/1000000</f>
        <v>4.0256478889199996E-4</v>
      </c>
      <c r="F66" s="3"/>
      <c r="G66" s="3"/>
      <c r="H66" s="3"/>
      <c r="I66" s="3"/>
      <c r="J66" s="3"/>
      <c r="K66" s="3"/>
      <c r="L66" s="3"/>
      <c r="M66" s="3"/>
      <c r="N66" s="3"/>
      <c r="O66" s="3"/>
      <c r="P66" s="3"/>
      <c r="Q66" s="3"/>
      <c r="R66" s="3"/>
      <c r="S66" s="3"/>
      <c r="T66" s="3"/>
      <c r="U66" s="3"/>
      <c r="V66" s="3"/>
      <c r="W66" s="3"/>
      <c r="X66" s="3"/>
      <c r="Y66" s="3"/>
      <c r="Z66" s="3"/>
    </row>
    <row r="67" spans="2:26" ht="18" x14ac:dyDescent="0.35">
      <c r="B67" s="87"/>
      <c r="C67" s="2298" t="s">
        <v>255</v>
      </c>
      <c r="D67" s="106">
        <f t="shared" si="30"/>
        <v>1.2605039411328E-3</v>
      </c>
      <c r="E67" s="106">
        <f>Transportation!X61/1000000</f>
        <v>1.2605039411328E-3</v>
      </c>
      <c r="F67" s="3"/>
      <c r="G67" s="3"/>
      <c r="H67" s="3"/>
      <c r="I67" s="3"/>
      <c r="J67" s="3"/>
      <c r="K67" s="3"/>
      <c r="L67" s="3"/>
      <c r="M67" s="3"/>
      <c r="N67" s="3"/>
      <c r="O67" s="3"/>
      <c r="P67" s="3"/>
      <c r="Q67" s="3"/>
      <c r="R67" s="3"/>
      <c r="S67" s="3"/>
      <c r="T67" s="3"/>
      <c r="U67" s="3"/>
      <c r="V67" s="3"/>
      <c r="W67" s="3"/>
      <c r="X67" s="3"/>
      <c r="Y67" s="3"/>
      <c r="Z67" s="3"/>
    </row>
    <row r="68" spans="2:26" ht="15" x14ac:dyDescent="0.25">
      <c r="B68" s="87"/>
      <c r="C68" s="97" t="s">
        <v>2183</v>
      </c>
      <c r="D68" s="53">
        <f t="shared" ref="D68:E68" si="31">SUM(D69:D71)</f>
        <v>0.35515593160253373</v>
      </c>
      <c r="E68" s="53">
        <f t="shared" si="31"/>
        <v>0.35379661491869308</v>
      </c>
      <c r="F68" s="3"/>
      <c r="G68" s="3"/>
      <c r="H68" s="3"/>
      <c r="I68" s="3"/>
      <c r="J68" s="3"/>
      <c r="K68" s="3"/>
      <c r="L68" s="3"/>
      <c r="M68" s="3"/>
      <c r="N68" s="3"/>
      <c r="O68" s="3"/>
      <c r="P68" s="3"/>
      <c r="Q68" s="3"/>
      <c r="R68" s="3"/>
      <c r="S68" s="3"/>
      <c r="T68" s="3"/>
      <c r="U68" s="3"/>
      <c r="V68" s="3"/>
      <c r="W68" s="3"/>
      <c r="X68" s="3"/>
      <c r="Y68" s="3"/>
      <c r="Z68" s="3"/>
    </row>
    <row r="69" spans="2:26" ht="18" x14ac:dyDescent="0.35">
      <c r="B69" s="87"/>
      <c r="C69" s="2298" t="s">
        <v>261</v>
      </c>
      <c r="D69" s="106">
        <f t="shared" ref="D69:D71" si="32">E69/_xlfn.XLOOKUP(C69,C$4:C$7,E$4:E$7,"ERROR")*_xlfn.XLOOKUP(C69,C$4:C$7,D$4:D$7,"ERROR")</f>
        <v>0.35066338940802455</v>
      </c>
      <c r="E69" s="106">
        <f>Transportation!O62+Transportation!O70+Transportation!O71</f>
        <v>0.35066338940802455</v>
      </c>
      <c r="F69" s="3"/>
      <c r="G69" s="3"/>
      <c r="H69" s="3"/>
      <c r="I69" s="3"/>
      <c r="J69" s="3"/>
      <c r="K69" s="3"/>
      <c r="L69" s="3"/>
      <c r="M69" s="3"/>
      <c r="N69" s="3"/>
      <c r="O69" s="3"/>
      <c r="P69" s="3"/>
      <c r="Q69" s="3"/>
      <c r="R69" s="3"/>
      <c r="S69" s="3"/>
      <c r="T69" s="3"/>
      <c r="U69" s="3"/>
      <c r="V69" s="3"/>
      <c r="W69" s="3"/>
      <c r="X69" s="3"/>
      <c r="Y69" s="3"/>
      <c r="Z69" s="3"/>
    </row>
    <row r="70" spans="2:26" ht="18" x14ac:dyDescent="0.35">
      <c r="B70" s="87"/>
      <c r="C70" s="2298" t="s">
        <v>266</v>
      </c>
      <c r="D70" s="106">
        <f t="shared" si="32"/>
        <v>2.0708539348566722E-3</v>
      </c>
      <c r="E70" s="106">
        <f>(Transportation!AE62+Transportation!AE70+Transportation!AE71)/1000000</f>
        <v>7.1153725101602398E-4</v>
      </c>
      <c r="F70" s="3"/>
      <c r="G70" s="3"/>
      <c r="H70" s="3"/>
      <c r="I70" s="3"/>
      <c r="J70" s="3"/>
      <c r="K70" s="3"/>
      <c r="L70" s="3"/>
      <c r="M70" s="3"/>
      <c r="N70" s="3"/>
      <c r="O70" s="3"/>
      <c r="P70" s="3"/>
      <c r="Q70" s="3"/>
      <c r="R70" s="3"/>
      <c r="S70" s="3"/>
      <c r="T70" s="3"/>
      <c r="U70" s="3"/>
      <c r="V70" s="3"/>
      <c r="W70" s="3"/>
      <c r="X70" s="3"/>
      <c r="Y70" s="3"/>
      <c r="Z70" s="3"/>
    </row>
    <row r="71" spans="2:26" ht="18" x14ac:dyDescent="0.35">
      <c r="B71" s="87"/>
      <c r="C71" s="2298" t="s">
        <v>267</v>
      </c>
      <c r="D71" s="106">
        <f t="shared" si="32"/>
        <v>2.42168825965248E-3</v>
      </c>
      <c r="E71" s="106">
        <f>(Transportation!X62+Transportation!X70+Transportation!X71)/1000000</f>
        <v>2.42168825965248E-3</v>
      </c>
      <c r="F71" s="3"/>
      <c r="G71" s="3"/>
      <c r="H71" s="3"/>
      <c r="I71" s="3"/>
      <c r="J71" s="3"/>
      <c r="K71" s="3"/>
      <c r="L71" s="3"/>
      <c r="M71" s="3"/>
      <c r="N71" s="3"/>
      <c r="O71" s="3"/>
      <c r="P71" s="3"/>
      <c r="Q71" s="3"/>
      <c r="R71" s="3"/>
      <c r="S71" s="3"/>
      <c r="T71" s="3"/>
      <c r="U71" s="3"/>
      <c r="V71" s="3"/>
      <c r="W71" s="3"/>
      <c r="X71" s="3"/>
      <c r="Y71" s="3"/>
      <c r="Z71" s="3"/>
    </row>
    <row r="72" spans="2:26" ht="15" x14ac:dyDescent="0.25">
      <c r="B72" s="87"/>
      <c r="C72" s="97" t="s">
        <v>268</v>
      </c>
      <c r="D72" s="53">
        <f t="shared" ref="D72:E72" si="33">SUM(D73:D75)</f>
        <v>0.45504484889968855</v>
      </c>
      <c r="E72" s="53">
        <f t="shared" si="33"/>
        <v>0.45504484889968855</v>
      </c>
      <c r="F72" s="3"/>
      <c r="G72" s="3"/>
      <c r="H72" s="3"/>
      <c r="I72" s="3"/>
      <c r="J72" s="3"/>
      <c r="K72" s="3"/>
      <c r="L72" s="3"/>
      <c r="M72" s="3"/>
      <c r="N72" s="3"/>
      <c r="O72" s="3"/>
      <c r="P72" s="3"/>
      <c r="Q72" s="3"/>
      <c r="R72" s="3"/>
      <c r="S72" s="3"/>
      <c r="T72" s="3"/>
      <c r="U72" s="3"/>
      <c r="V72" s="3"/>
      <c r="W72" s="3"/>
      <c r="X72" s="3"/>
      <c r="Y72" s="3"/>
      <c r="Z72" s="3"/>
    </row>
    <row r="73" spans="2:26" ht="18" x14ac:dyDescent="0.35">
      <c r="B73" s="87"/>
      <c r="C73" s="2298" t="s">
        <v>269</v>
      </c>
      <c r="D73" s="106">
        <f t="shared" ref="D73:D75" si="34">E73/_xlfn.XLOOKUP(C73,C$4:C$7,E$4:E$7,"ERROR")*_xlfn.XLOOKUP(C73,C$4:C$7,D$4:D$7,"ERROR")</f>
        <v>0.45504484889968855</v>
      </c>
      <c r="E73" s="106">
        <f>Transportation!O65+Transportation!O72+Transportation!S82</f>
        <v>0.45504484889968855</v>
      </c>
      <c r="F73" s="3"/>
      <c r="G73" s="3"/>
      <c r="H73" s="3"/>
      <c r="I73" s="3"/>
      <c r="J73" s="3"/>
      <c r="K73" s="3"/>
      <c r="L73" s="3"/>
      <c r="M73" s="3"/>
      <c r="N73" s="3"/>
      <c r="O73" s="3"/>
      <c r="P73" s="3"/>
      <c r="Q73" s="3"/>
      <c r="R73" s="3"/>
      <c r="S73" s="3"/>
      <c r="T73" s="3"/>
      <c r="U73" s="3"/>
      <c r="V73" s="3"/>
      <c r="W73" s="3"/>
      <c r="X73" s="3"/>
      <c r="Y73" s="3"/>
      <c r="Z73" s="3"/>
    </row>
    <row r="74" spans="2:26" ht="18" x14ac:dyDescent="0.35">
      <c r="B74" s="87"/>
      <c r="C74" s="2298" t="s">
        <v>270</v>
      </c>
      <c r="D74" s="106">
        <f t="shared" si="34"/>
        <v>0</v>
      </c>
      <c r="E74" s="106">
        <v>0</v>
      </c>
      <c r="F74" s="3"/>
      <c r="G74" s="3"/>
      <c r="H74" s="3"/>
      <c r="I74" s="3"/>
      <c r="J74" s="3"/>
      <c r="K74" s="3"/>
      <c r="L74" s="3"/>
      <c r="M74" s="3"/>
      <c r="N74" s="3"/>
      <c r="O74" s="3"/>
      <c r="P74" s="3"/>
      <c r="Q74" s="3"/>
      <c r="R74" s="3"/>
      <c r="S74" s="3"/>
      <c r="T74" s="3"/>
      <c r="U74" s="3"/>
      <c r="V74" s="3"/>
      <c r="W74" s="3"/>
      <c r="X74" s="3"/>
      <c r="Y74" s="3"/>
      <c r="Z74" s="3"/>
    </row>
    <row r="75" spans="2:26" ht="18" x14ac:dyDescent="0.35">
      <c r="B75" s="87"/>
      <c r="C75" s="2298" t="s">
        <v>271</v>
      </c>
      <c r="D75" s="106">
        <f t="shared" si="34"/>
        <v>0</v>
      </c>
      <c r="E75" s="106">
        <v>0</v>
      </c>
      <c r="F75" s="3"/>
      <c r="G75" s="3"/>
      <c r="H75" s="3"/>
      <c r="I75" s="3"/>
      <c r="J75" s="3"/>
      <c r="K75" s="3"/>
      <c r="L75" s="3"/>
      <c r="M75" s="3"/>
      <c r="N75" s="3"/>
      <c r="O75" s="3"/>
      <c r="P75" s="3"/>
      <c r="Q75" s="3"/>
      <c r="R75" s="3"/>
      <c r="S75" s="3"/>
      <c r="T75" s="3"/>
      <c r="U75" s="3"/>
      <c r="V75" s="3"/>
      <c r="W75" s="3"/>
      <c r="X75" s="3"/>
      <c r="Y75" s="3"/>
      <c r="Z75" s="3"/>
    </row>
    <row r="76" spans="2:26" ht="15" x14ac:dyDescent="0.25">
      <c r="B76" s="87"/>
      <c r="C76" s="97" t="s">
        <v>272</v>
      </c>
      <c r="D76" s="53">
        <f t="shared" ref="D76:E76" si="35">SUM(D77:D79)</f>
        <v>2.4586835431369747</v>
      </c>
      <c r="E76" s="53">
        <f t="shared" si="35"/>
        <v>2.4545743050681428</v>
      </c>
      <c r="F76" s="3"/>
      <c r="G76" s="3"/>
      <c r="H76" s="3"/>
      <c r="I76" s="3"/>
      <c r="J76" s="3"/>
      <c r="K76" s="3"/>
      <c r="L76" s="3"/>
      <c r="M76" s="3"/>
      <c r="N76" s="3"/>
      <c r="O76" s="3"/>
      <c r="P76" s="3"/>
      <c r="Q76" s="3"/>
      <c r="R76" s="3"/>
      <c r="S76" s="3"/>
      <c r="T76" s="3"/>
      <c r="U76" s="3"/>
      <c r="V76" s="3"/>
      <c r="W76" s="3"/>
      <c r="X76" s="3"/>
      <c r="Y76" s="3"/>
      <c r="Z76" s="3"/>
    </row>
    <row r="77" spans="2:26" ht="18" x14ac:dyDescent="0.35">
      <c r="B77" s="87"/>
      <c r="C77" s="2298" t="s">
        <v>276</v>
      </c>
      <c r="D77" s="106">
        <f t="shared" ref="D77:D79" si="36">E77/_xlfn.XLOOKUP(C77,C$4:C$7,E$4:E$7,"ERROR")*_xlfn.XLOOKUP(C77,C$4:C$7,D$4:D$7,"ERROR")</f>
        <v>2.4320521103533266</v>
      </c>
      <c r="E77" s="106">
        <f>Transportation!O57+Transportation!O63+Transportation!O64</f>
        <v>2.4320521103533266</v>
      </c>
      <c r="F77" s="3"/>
      <c r="G77" s="3"/>
      <c r="H77" s="3"/>
      <c r="I77" s="3"/>
      <c r="J77" s="3"/>
      <c r="K77" s="3"/>
      <c r="L77" s="3"/>
      <c r="M77" s="3"/>
      <c r="N77" s="3"/>
      <c r="O77" s="3"/>
      <c r="P77" s="3"/>
      <c r="Q77" s="3"/>
      <c r="R77" s="3"/>
      <c r="S77" s="3"/>
      <c r="T77" s="3"/>
      <c r="U77" s="3"/>
      <c r="V77" s="3"/>
      <c r="W77" s="3"/>
      <c r="X77" s="3"/>
      <c r="Y77" s="3"/>
      <c r="Z77" s="3"/>
    </row>
    <row r="78" spans="2:26" ht="18" x14ac:dyDescent="0.35">
      <c r="B78" s="87"/>
      <c r="C78" s="2298" t="s">
        <v>286</v>
      </c>
      <c r="D78" s="106">
        <f t="shared" si="36"/>
        <v>6.2602276020480001E-3</v>
      </c>
      <c r="E78" s="106">
        <f>(Transportation!AE57+Transportation!AE63+Transportation!AE64)/1000000</f>
        <v>2.1509895332159999E-3</v>
      </c>
      <c r="F78" s="3"/>
      <c r="G78" s="3"/>
      <c r="H78" s="3"/>
      <c r="I78" s="3"/>
      <c r="J78" s="3"/>
      <c r="K78" s="3"/>
      <c r="L78" s="3"/>
      <c r="M78" s="3"/>
      <c r="N78" s="3"/>
      <c r="O78" s="3"/>
      <c r="P78" s="3"/>
      <c r="Q78" s="3"/>
      <c r="R78" s="3"/>
      <c r="S78" s="3"/>
      <c r="T78" s="3"/>
      <c r="U78" s="3"/>
      <c r="V78" s="3"/>
      <c r="W78" s="3"/>
      <c r="X78" s="3"/>
      <c r="Y78" s="3"/>
      <c r="Z78" s="3"/>
    </row>
    <row r="79" spans="2:26" ht="18" x14ac:dyDescent="0.35">
      <c r="B79" s="178"/>
      <c r="C79" s="2298" t="s">
        <v>289</v>
      </c>
      <c r="D79" s="106">
        <f t="shared" si="36"/>
        <v>2.0371205181599999E-2</v>
      </c>
      <c r="E79" s="106">
        <f>(Transportation!X57+Transportation!X63+Transportation!X64)/1000000</f>
        <v>2.0371205181599999E-2</v>
      </c>
      <c r="F79" s="3"/>
      <c r="G79" s="3"/>
      <c r="H79" s="3"/>
      <c r="I79" s="3"/>
      <c r="J79" s="3"/>
      <c r="K79" s="3"/>
      <c r="L79" s="3"/>
      <c r="M79" s="3"/>
      <c r="N79" s="3"/>
      <c r="O79" s="3"/>
      <c r="P79" s="3"/>
      <c r="Q79" s="3"/>
      <c r="R79" s="3"/>
      <c r="S79" s="3"/>
      <c r="T79" s="3"/>
      <c r="U79" s="3"/>
      <c r="V79" s="3"/>
      <c r="W79" s="3"/>
      <c r="X79" s="3"/>
      <c r="Y79" s="3"/>
      <c r="Z79" s="3"/>
    </row>
    <row r="80" spans="2:26" ht="15" x14ac:dyDescent="0.25">
      <c r="B80" s="57" t="s">
        <v>292</v>
      </c>
      <c r="C80" s="64"/>
      <c r="D80" s="69">
        <f t="shared" ref="D80:E80" si="37">D81+D85+D89</f>
        <v>3.5278651034432444</v>
      </c>
      <c r="E80" s="69">
        <f t="shared" si="37"/>
        <v>1.4070749186369684</v>
      </c>
      <c r="F80" s="3"/>
      <c r="G80" s="3"/>
      <c r="H80" s="3"/>
      <c r="I80" s="3"/>
      <c r="J80" s="3"/>
      <c r="K80" s="3"/>
      <c r="L80" s="3"/>
      <c r="M80" s="3"/>
      <c r="N80" s="3"/>
      <c r="O80" s="3"/>
      <c r="P80" s="3"/>
      <c r="Q80" s="3"/>
      <c r="R80" s="3"/>
      <c r="S80" s="3"/>
      <c r="T80" s="3"/>
      <c r="U80" s="3"/>
      <c r="V80" s="3"/>
      <c r="W80" s="3"/>
      <c r="X80" s="3"/>
      <c r="Y80" s="3"/>
      <c r="Z80" s="3"/>
    </row>
    <row r="81" spans="2:26" ht="15" x14ac:dyDescent="0.25">
      <c r="B81" s="74"/>
      <c r="C81" s="97" t="s">
        <v>295</v>
      </c>
      <c r="D81" s="53">
        <f t="shared" ref="D81:E81" si="38">SUM(D82:D84)</f>
        <v>2.9795815622762043</v>
      </c>
      <c r="E81" s="53">
        <f t="shared" si="38"/>
        <v>1.2186868546152885</v>
      </c>
      <c r="F81" s="3"/>
      <c r="G81" s="3"/>
      <c r="H81" s="3"/>
      <c r="I81" s="3"/>
      <c r="J81" s="3"/>
      <c r="K81" s="3"/>
      <c r="L81" s="3"/>
      <c r="M81" s="3"/>
      <c r="N81" s="3"/>
      <c r="O81" s="3"/>
      <c r="P81" s="3"/>
      <c r="Q81" s="3"/>
      <c r="R81" s="3"/>
      <c r="S81" s="3"/>
      <c r="T81" s="3"/>
      <c r="U81" s="3"/>
      <c r="V81" s="3"/>
      <c r="W81" s="3"/>
      <c r="X81" s="3"/>
      <c r="Y81" s="3"/>
      <c r="Z81" s="3"/>
    </row>
    <row r="82" spans="2:26" ht="18" x14ac:dyDescent="0.35">
      <c r="B82" s="87"/>
      <c r="C82" s="2298" t="s">
        <v>298</v>
      </c>
      <c r="D82" s="106">
        <f t="shared" ref="D82:D84" si="39">E82/_xlfn.XLOOKUP(C82,C$4:C$7,E$4:E$7,"ERROR")*_xlfn.XLOOKUP(C82,C$4:C$7,D$4:D$7,"ERROR")</f>
        <v>0.2967827255443754</v>
      </c>
      <c r="E82" s="106">
        <f>'Natural Gas and Oil'!H70</f>
        <v>0.2967827255443754</v>
      </c>
      <c r="F82" s="3"/>
      <c r="G82" s="3"/>
      <c r="H82" s="3"/>
      <c r="I82" s="3"/>
      <c r="J82" s="3"/>
      <c r="K82" s="3"/>
      <c r="L82" s="3"/>
      <c r="M82" s="3"/>
      <c r="N82" s="3"/>
      <c r="O82" s="3"/>
      <c r="P82" s="3"/>
      <c r="Q82" s="3"/>
      <c r="R82" s="3"/>
      <c r="S82" s="3"/>
      <c r="T82" s="3"/>
      <c r="U82" s="3"/>
      <c r="V82" s="3"/>
      <c r="W82" s="3"/>
      <c r="X82" s="3"/>
      <c r="Y82" s="3"/>
      <c r="Z82" s="3"/>
    </row>
    <row r="83" spans="2:26" ht="18" x14ac:dyDescent="0.35">
      <c r="B83" s="87"/>
      <c r="C83" s="2298" t="s">
        <v>301</v>
      </c>
      <c r="D83" s="106">
        <f t="shared" si="39"/>
        <v>2.6826388416897999</v>
      </c>
      <c r="E83" s="106">
        <f>'Natural Gas and Oil'!J70+'Natural Gas and Oil'!F51+'Natural Gas and Oil'!F34+'Natural Gas and Oil'!F10</f>
        <v>0.92174413402888444</v>
      </c>
      <c r="F83" s="3"/>
      <c r="G83" s="3"/>
      <c r="H83" s="3"/>
      <c r="I83" s="3"/>
      <c r="J83" s="3"/>
      <c r="K83" s="3"/>
      <c r="L83" s="3"/>
      <c r="M83" s="3"/>
      <c r="N83" s="3"/>
      <c r="O83" s="3"/>
      <c r="P83" s="3"/>
      <c r="Q83" s="3"/>
      <c r="R83" s="3"/>
      <c r="S83" s="3"/>
      <c r="T83" s="3"/>
      <c r="U83" s="3"/>
      <c r="V83" s="3"/>
      <c r="W83" s="3"/>
      <c r="X83" s="3"/>
      <c r="Y83" s="3"/>
      <c r="Z83" s="3"/>
    </row>
    <row r="84" spans="2:26" ht="18" x14ac:dyDescent="0.35">
      <c r="B84" s="87"/>
      <c r="C84" s="2298" t="s">
        <v>304</v>
      </c>
      <c r="D84" s="106">
        <f t="shared" si="39"/>
        <v>1.5999504202864664E-4</v>
      </c>
      <c r="E84" s="106">
        <f>'Natural Gas and Oil'!I70</f>
        <v>1.5999504202864664E-4</v>
      </c>
      <c r="F84" s="3"/>
      <c r="G84" s="3"/>
      <c r="H84" s="3"/>
      <c r="I84" s="3"/>
      <c r="J84" s="3"/>
      <c r="K84" s="3"/>
      <c r="L84" s="3"/>
      <c r="M84" s="3"/>
      <c r="N84" s="3"/>
      <c r="O84" s="3"/>
      <c r="P84" s="3"/>
      <c r="Q84" s="3"/>
      <c r="R84" s="3"/>
      <c r="S84" s="3"/>
      <c r="T84" s="3"/>
      <c r="U84" s="3"/>
      <c r="V84" s="3"/>
      <c r="W84" s="3"/>
      <c r="X84" s="3"/>
      <c r="Y84" s="3"/>
      <c r="Z84" s="3"/>
    </row>
    <row r="85" spans="2:26" ht="15" x14ac:dyDescent="0.25">
      <c r="B85" s="87"/>
      <c r="C85" s="97" t="s">
        <v>307</v>
      </c>
      <c r="D85" s="53">
        <f t="shared" ref="D85:E85" si="40">SUM(D86:D88)</f>
        <v>0</v>
      </c>
      <c r="E85" s="53">
        <f t="shared" si="40"/>
        <v>0</v>
      </c>
      <c r="F85" s="3"/>
      <c r="G85" s="3"/>
      <c r="H85" s="3"/>
      <c r="I85" s="3"/>
      <c r="J85" s="3"/>
      <c r="K85" s="3"/>
      <c r="L85" s="3"/>
      <c r="M85" s="3"/>
      <c r="N85" s="3"/>
      <c r="O85" s="3"/>
      <c r="P85" s="3"/>
      <c r="Q85" s="3"/>
      <c r="R85" s="3"/>
      <c r="S85" s="3"/>
      <c r="T85" s="3"/>
      <c r="U85" s="3"/>
      <c r="V85" s="3"/>
      <c r="W85" s="3"/>
      <c r="X85" s="3"/>
      <c r="Y85" s="3"/>
      <c r="Z85" s="3"/>
    </row>
    <row r="86" spans="2:26" ht="18" x14ac:dyDescent="0.35">
      <c r="B86" s="87"/>
      <c r="C86" s="2298" t="s">
        <v>310</v>
      </c>
      <c r="D86" s="106">
        <f t="shared" ref="D86:D88" si="41">E86/_xlfn.XLOOKUP(C86,C$4:C$7,E$4:E$7,"ERROR")*_xlfn.XLOOKUP(C86,C$4:C$7,D$4:D$7,"ERROR")</f>
        <v>0</v>
      </c>
      <c r="E86" s="106">
        <v>0</v>
      </c>
      <c r="F86" s="3"/>
      <c r="G86" s="3"/>
      <c r="H86" s="3"/>
      <c r="I86" s="3"/>
      <c r="J86" s="3"/>
      <c r="K86" s="3"/>
      <c r="L86" s="3"/>
      <c r="M86" s="3"/>
      <c r="N86" s="3"/>
      <c r="O86" s="3"/>
      <c r="P86" s="3"/>
      <c r="Q86" s="3"/>
      <c r="R86" s="3"/>
      <c r="S86" s="3"/>
      <c r="T86" s="3"/>
      <c r="U86" s="3"/>
      <c r="V86" s="3"/>
      <c r="W86" s="3"/>
      <c r="X86" s="3"/>
      <c r="Y86" s="3"/>
      <c r="Z86" s="3"/>
    </row>
    <row r="87" spans="2:26" ht="18" x14ac:dyDescent="0.35">
      <c r="B87" s="87"/>
      <c r="C87" s="2298" t="s">
        <v>315</v>
      </c>
      <c r="D87" s="106">
        <f t="shared" si="41"/>
        <v>0</v>
      </c>
      <c r="E87" s="106">
        <v>0</v>
      </c>
      <c r="F87" s="3"/>
      <c r="G87" s="3"/>
      <c r="H87" s="3"/>
      <c r="I87" s="3"/>
      <c r="J87" s="3"/>
      <c r="K87" s="3"/>
      <c r="L87" s="3"/>
      <c r="M87" s="3"/>
      <c r="N87" s="3"/>
      <c r="O87" s="3"/>
      <c r="P87" s="3"/>
      <c r="Q87" s="3"/>
      <c r="R87" s="3"/>
      <c r="S87" s="3"/>
      <c r="T87" s="3"/>
      <c r="U87" s="3"/>
      <c r="V87" s="3"/>
      <c r="W87" s="3"/>
      <c r="X87" s="3"/>
      <c r="Y87" s="3"/>
      <c r="Z87" s="3"/>
    </row>
    <row r="88" spans="2:26" ht="18" x14ac:dyDescent="0.35">
      <c r="B88" s="87"/>
      <c r="C88" s="2298" t="s">
        <v>318</v>
      </c>
      <c r="D88" s="106">
        <f t="shared" si="41"/>
        <v>0</v>
      </c>
      <c r="E88" s="106">
        <v>0</v>
      </c>
      <c r="F88" s="3"/>
      <c r="G88" s="3"/>
      <c r="H88" s="3"/>
      <c r="I88" s="3"/>
      <c r="J88" s="3"/>
      <c r="K88" s="3"/>
      <c r="L88" s="3"/>
      <c r="M88" s="3"/>
      <c r="N88" s="3"/>
      <c r="O88" s="3"/>
      <c r="P88" s="3"/>
      <c r="Q88" s="3"/>
      <c r="R88" s="3"/>
      <c r="S88" s="3"/>
      <c r="T88" s="3"/>
      <c r="U88" s="3"/>
      <c r="V88" s="3"/>
      <c r="W88" s="3"/>
      <c r="X88" s="3"/>
      <c r="Y88" s="3"/>
      <c r="Z88" s="3"/>
    </row>
    <row r="89" spans="2:26" ht="15" x14ac:dyDescent="0.25">
      <c r="B89" s="87"/>
      <c r="C89" s="97" t="s">
        <v>319</v>
      </c>
      <c r="D89" s="53">
        <f t="shared" ref="D89:E89" si="42">SUM(D90:D92)</f>
        <v>0.54828354116703992</v>
      </c>
      <c r="E89" s="53">
        <f t="shared" si="42"/>
        <v>0.18838806402167996</v>
      </c>
      <c r="F89" s="3"/>
      <c r="G89" s="3"/>
      <c r="H89" s="3"/>
      <c r="I89" s="3"/>
      <c r="J89" s="3"/>
      <c r="K89" s="3"/>
      <c r="L89" s="3"/>
      <c r="M89" s="3"/>
      <c r="N89" s="3"/>
      <c r="O89" s="3"/>
      <c r="P89" s="3"/>
      <c r="Q89" s="3"/>
      <c r="R89" s="3"/>
      <c r="S89" s="3"/>
      <c r="T89" s="3"/>
      <c r="U89" s="3"/>
      <c r="V89" s="3"/>
      <c r="W89" s="3"/>
      <c r="X89" s="3"/>
      <c r="Y89" s="3"/>
      <c r="Z89" s="3"/>
    </row>
    <row r="90" spans="2:26" ht="18" x14ac:dyDescent="0.35">
      <c r="B90" s="87"/>
      <c r="C90" s="2298" t="s">
        <v>325</v>
      </c>
      <c r="D90" s="106">
        <f t="shared" ref="D90:D92" si="43">E90/_xlfn.XLOOKUP(C90,C$4:C$7,E$4:E$7,"ERROR")*_xlfn.XLOOKUP(C90,C$4:C$7,D$4:D$7,"ERROR")</f>
        <v>0</v>
      </c>
      <c r="E90" s="106">
        <v>0</v>
      </c>
      <c r="F90" s="3"/>
      <c r="G90" s="3"/>
      <c r="H90" s="3"/>
      <c r="I90" s="3"/>
      <c r="J90" s="3"/>
      <c r="K90" s="3"/>
      <c r="L90" s="3"/>
      <c r="M90" s="3"/>
      <c r="N90" s="3"/>
      <c r="O90" s="3"/>
      <c r="P90" s="3"/>
      <c r="Q90" s="3"/>
      <c r="R90" s="3"/>
      <c r="S90" s="3"/>
      <c r="T90" s="3"/>
      <c r="U90" s="3"/>
      <c r="V90" s="3"/>
      <c r="W90" s="3"/>
      <c r="X90" s="3"/>
      <c r="Y90" s="3"/>
      <c r="Z90" s="3"/>
    </row>
    <row r="91" spans="2:26" ht="18" x14ac:dyDescent="0.35">
      <c r="B91" s="87"/>
      <c r="C91" s="2298" t="s">
        <v>328</v>
      </c>
      <c r="D91" s="106">
        <f t="shared" si="43"/>
        <v>0.54828354116703992</v>
      </c>
      <c r="E91" s="106">
        <f>Mining!C35+Mining!C36</f>
        <v>0.18838806402167996</v>
      </c>
      <c r="F91" s="3"/>
      <c r="G91" s="3"/>
      <c r="H91" s="3"/>
      <c r="I91" s="3"/>
      <c r="J91" s="3"/>
      <c r="K91" s="3"/>
      <c r="L91" s="3"/>
      <c r="M91" s="3"/>
      <c r="N91" s="3"/>
      <c r="O91" s="3"/>
      <c r="P91" s="3"/>
      <c r="Q91" s="3"/>
      <c r="R91" s="3"/>
      <c r="S91" s="3"/>
      <c r="T91" s="3"/>
      <c r="U91" s="3"/>
      <c r="V91" s="3"/>
      <c r="W91" s="3"/>
      <c r="X91" s="3"/>
      <c r="Y91" s="3"/>
      <c r="Z91" s="3"/>
    </row>
    <row r="92" spans="2:26" ht="18" x14ac:dyDescent="0.35">
      <c r="B92" s="178"/>
      <c r="C92" s="2298" t="s">
        <v>329</v>
      </c>
      <c r="D92" s="106">
        <f t="shared" si="43"/>
        <v>0</v>
      </c>
      <c r="E92" s="106">
        <v>0</v>
      </c>
      <c r="F92" s="3"/>
      <c r="G92" s="3"/>
      <c r="H92" s="3"/>
      <c r="I92" s="3"/>
      <c r="J92" s="3"/>
      <c r="K92" s="3"/>
      <c r="L92" s="3"/>
      <c r="M92" s="3"/>
      <c r="N92" s="3"/>
      <c r="O92" s="3"/>
      <c r="P92" s="3"/>
      <c r="Q92" s="3"/>
      <c r="R92" s="3"/>
      <c r="S92" s="3"/>
      <c r="T92" s="3"/>
      <c r="U92" s="3"/>
      <c r="V92" s="3"/>
      <c r="W92" s="3"/>
      <c r="X92" s="3"/>
      <c r="Y92" s="3"/>
      <c r="Z92" s="3"/>
    </row>
    <row r="93" spans="2:26" ht="15" x14ac:dyDescent="0.25">
      <c r="B93" s="57" t="s">
        <v>330</v>
      </c>
      <c r="C93" s="374"/>
      <c r="D93" s="375">
        <f t="shared" ref="D93:E93" si="44">D94+D98+D102+D106+D110+D114+D118+D122+D126</f>
        <v>7.90280984847164</v>
      </c>
      <c r="E93" s="375">
        <f t="shared" si="44"/>
        <v>4.6771566921314509</v>
      </c>
      <c r="F93" s="3"/>
      <c r="G93" s="3"/>
      <c r="H93" s="3"/>
      <c r="I93" s="3"/>
      <c r="J93" s="3"/>
      <c r="K93" s="3"/>
      <c r="L93" s="3"/>
      <c r="M93" s="3"/>
      <c r="N93" s="3"/>
      <c r="O93" s="3"/>
      <c r="P93" s="3"/>
      <c r="Q93" s="3"/>
      <c r="R93" s="3"/>
      <c r="S93" s="3"/>
      <c r="T93" s="3"/>
      <c r="U93" s="3"/>
      <c r="V93" s="3"/>
      <c r="W93" s="3"/>
      <c r="X93" s="3"/>
      <c r="Y93" s="3"/>
      <c r="Z93" s="3"/>
    </row>
    <row r="94" spans="2:26" ht="15" x14ac:dyDescent="0.25">
      <c r="B94" s="74"/>
      <c r="C94" s="97" t="s">
        <v>331</v>
      </c>
      <c r="D94" s="53">
        <f t="shared" ref="D94:E94" si="45">SUM(D95:D97)</f>
        <v>0.91825561308231174</v>
      </c>
      <c r="E94" s="53">
        <f t="shared" si="45"/>
        <v>0.91825561308231174</v>
      </c>
      <c r="F94" s="3"/>
      <c r="G94" s="3"/>
      <c r="H94" s="3"/>
      <c r="I94" s="3"/>
      <c r="J94" s="3"/>
      <c r="K94" s="3"/>
      <c r="L94" s="3"/>
      <c r="M94" s="3"/>
      <c r="N94" s="3"/>
      <c r="O94" s="3"/>
      <c r="P94" s="3"/>
      <c r="Q94" s="3"/>
      <c r="R94" s="3"/>
      <c r="S94" s="3"/>
      <c r="T94" s="3"/>
      <c r="U94" s="3"/>
      <c r="V94" s="3"/>
      <c r="W94" s="3"/>
      <c r="X94" s="3"/>
      <c r="Y94" s="3"/>
      <c r="Z94" s="3"/>
    </row>
    <row r="95" spans="2:26" ht="18" x14ac:dyDescent="0.35">
      <c r="B95" s="87"/>
      <c r="C95" s="2298" t="s">
        <v>332</v>
      </c>
      <c r="D95" s="106">
        <f t="shared" ref="D95:D97" si="46">E95/_xlfn.XLOOKUP(C95,C$4:C$7,E$4:E$7,"ERROR")*_xlfn.XLOOKUP(C95,C$4:C$7,D$4:D$7,"ERROR")</f>
        <v>0.91825561308231174</v>
      </c>
      <c r="E95" s="106">
        <f>Cement!G80</f>
        <v>0.91825561308231174</v>
      </c>
      <c r="F95" s="3"/>
      <c r="G95" s="3"/>
      <c r="H95" s="3"/>
      <c r="I95" s="3"/>
      <c r="J95" s="3"/>
      <c r="K95" s="3"/>
      <c r="L95" s="3"/>
      <c r="M95" s="3"/>
      <c r="N95" s="3"/>
      <c r="O95" s="3"/>
      <c r="P95" s="3"/>
      <c r="Q95" s="3"/>
      <c r="R95" s="3"/>
      <c r="S95" s="3"/>
      <c r="T95" s="3"/>
      <c r="U95" s="3"/>
      <c r="V95" s="3"/>
      <c r="W95" s="3"/>
      <c r="X95" s="3"/>
      <c r="Y95" s="3"/>
      <c r="Z95" s="3"/>
    </row>
    <row r="96" spans="2:26" ht="18" x14ac:dyDescent="0.35">
      <c r="B96" s="87"/>
      <c r="C96" s="2298" t="s">
        <v>333</v>
      </c>
      <c r="D96" s="106">
        <f t="shared" si="46"/>
        <v>0</v>
      </c>
      <c r="E96" s="106">
        <v>0</v>
      </c>
      <c r="F96" s="3"/>
      <c r="G96" s="3"/>
      <c r="H96" s="3"/>
      <c r="I96" s="3"/>
      <c r="J96" s="3"/>
      <c r="K96" s="3"/>
      <c r="L96" s="3"/>
      <c r="M96" s="3"/>
      <c r="N96" s="3"/>
      <c r="O96" s="3"/>
      <c r="P96" s="3"/>
      <c r="Q96" s="3"/>
      <c r="R96" s="3"/>
      <c r="S96" s="3"/>
      <c r="T96" s="3"/>
      <c r="U96" s="3"/>
      <c r="V96" s="3"/>
      <c r="W96" s="3"/>
      <c r="X96" s="3"/>
      <c r="Y96" s="3"/>
      <c r="Z96" s="3"/>
    </row>
    <row r="97" spans="2:26" ht="18" x14ac:dyDescent="0.35">
      <c r="B97" s="87"/>
      <c r="C97" s="2298" t="s">
        <v>334</v>
      </c>
      <c r="D97" s="106">
        <f t="shared" si="46"/>
        <v>0</v>
      </c>
      <c r="E97" s="106">
        <v>0</v>
      </c>
      <c r="F97" s="3"/>
      <c r="G97" s="3"/>
      <c r="H97" s="3"/>
      <c r="I97" s="3"/>
      <c r="J97" s="3"/>
      <c r="K97" s="3"/>
      <c r="L97" s="3"/>
      <c r="M97" s="3"/>
      <c r="N97" s="3"/>
      <c r="O97" s="3"/>
      <c r="P97" s="3"/>
      <c r="Q97" s="3"/>
      <c r="R97" s="3"/>
      <c r="S97" s="3"/>
      <c r="T97" s="3"/>
      <c r="U97" s="3"/>
      <c r="V97" s="3"/>
      <c r="W97" s="3"/>
      <c r="X97" s="3"/>
      <c r="Y97" s="3"/>
      <c r="Z97" s="3"/>
    </row>
    <row r="98" spans="2:26" ht="15" x14ac:dyDescent="0.25">
      <c r="B98" s="87"/>
      <c r="C98" s="97" t="s">
        <v>335</v>
      </c>
      <c r="D98" s="53">
        <f t="shared" ref="D98:E98" si="47">SUM(D99:D101)</f>
        <v>8.5604639999999996E-2</v>
      </c>
      <c r="E98" s="53">
        <f t="shared" si="47"/>
        <v>8.5604639999999996E-2</v>
      </c>
      <c r="F98" s="3"/>
      <c r="G98" s="3"/>
      <c r="H98" s="3"/>
      <c r="I98" s="3"/>
      <c r="J98" s="3"/>
      <c r="K98" s="3"/>
      <c r="L98" s="3"/>
      <c r="M98" s="3"/>
      <c r="N98" s="3"/>
      <c r="O98" s="3"/>
      <c r="P98" s="3"/>
      <c r="Q98" s="3"/>
      <c r="R98" s="3"/>
      <c r="S98" s="3"/>
      <c r="T98" s="3"/>
      <c r="U98" s="3"/>
      <c r="V98" s="3"/>
      <c r="W98" s="3"/>
      <c r="X98" s="3"/>
      <c r="Y98" s="3"/>
      <c r="Z98" s="3"/>
    </row>
    <row r="99" spans="2:26" ht="18" x14ac:dyDescent="0.35">
      <c r="B99" s="87"/>
      <c r="C99" s="2298" t="s">
        <v>336</v>
      </c>
      <c r="D99" s="106">
        <f t="shared" ref="D99:D101" si="48">E99/_xlfn.XLOOKUP(C99,C$4:C$7,E$4:E$7,"ERROR")*_xlfn.XLOOKUP(C99,C$4:C$7,D$4:D$7,"ERROR")</f>
        <v>8.5604639999999996E-2</v>
      </c>
      <c r="E99" s="106">
        <f>'LimeT&amp;DSoda'!D38/1000000</f>
        <v>8.5604639999999996E-2</v>
      </c>
      <c r="F99" s="3"/>
      <c r="G99" s="3"/>
      <c r="H99" s="3"/>
      <c r="I99" s="3"/>
      <c r="J99" s="3"/>
      <c r="K99" s="3"/>
      <c r="L99" s="3"/>
      <c r="M99" s="3"/>
      <c r="N99" s="3"/>
      <c r="O99" s="3"/>
      <c r="P99" s="3"/>
      <c r="Q99" s="3"/>
      <c r="R99" s="3"/>
      <c r="S99" s="3"/>
      <c r="T99" s="3"/>
      <c r="U99" s="3"/>
      <c r="V99" s="3"/>
      <c r="W99" s="3"/>
      <c r="X99" s="3"/>
      <c r="Y99" s="3"/>
      <c r="Z99" s="3"/>
    </row>
    <row r="100" spans="2:26" ht="18" x14ac:dyDescent="0.35">
      <c r="B100" s="87"/>
      <c r="C100" s="2298" t="s">
        <v>337</v>
      </c>
      <c r="D100" s="106">
        <f t="shared" si="48"/>
        <v>0</v>
      </c>
      <c r="E100" s="106">
        <v>0</v>
      </c>
      <c r="F100" s="3"/>
      <c r="G100" s="3"/>
      <c r="H100" s="3"/>
      <c r="I100" s="3"/>
      <c r="J100" s="3"/>
      <c r="K100" s="3"/>
      <c r="L100" s="3"/>
      <c r="M100" s="3"/>
      <c r="N100" s="3"/>
      <c r="O100" s="3"/>
      <c r="P100" s="3"/>
      <c r="Q100" s="3"/>
      <c r="R100" s="3"/>
      <c r="S100" s="3"/>
      <c r="T100" s="3"/>
      <c r="U100" s="3"/>
      <c r="V100" s="3"/>
      <c r="W100" s="3"/>
      <c r="X100" s="3"/>
      <c r="Y100" s="3"/>
      <c r="Z100" s="3"/>
    </row>
    <row r="101" spans="2:26" ht="18" x14ac:dyDescent="0.35">
      <c r="B101" s="87"/>
      <c r="C101" s="2298" t="s">
        <v>338</v>
      </c>
      <c r="D101" s="106">
        <f t="shared" si="48"/>
        <v>0</v>
      </c>
      <c r="E101" s="106">
        <v>0</v>
      </c>
      <c r="F101" s="3"/>
      <c r="G101" s="3"/>
      <c r="H101" s="3"/>
      <c r="I101" s="3"/>
      <c r="J101" s="3"/>
      <c r="K101" s="3"/>
      <c r="L101" s="3"/>
      <c r="M101" s="3"/>
      <c r="N101" s="3"/>
      <c r="O101" s="3"/>
      <c r="P101" s="3"/>
      <c r="Q101" s="3"/>
      <c r="R101" s="3"/>
      <c r="S101" s="3"/>
      <c r="T101" s="3"/>
      <c r="U101" s="3"/>
      <c r="V101" s="3"/>
      <c r="W101" s="3"/>
      <c r="X101" s="3"/>
      <c r="Y101" s="3"/>
      <c r="Z101" s="3"/>
    </row>
    <row r="102" spans="2:26" ht="15" x14ac:dyDescent="0.25">
      <c r="B102" s="87"/>
      <c r="C102" s="97" t="s">
        <v>339</v>
      </c>
      <c r="D102" s="53">
        <f t="shared" ref="D102:E102" si="49">SUM(D103:D105)</f>
        <v>4.0365128549999997E-2</v>
      </c>
      <c r="E102" s="53">
        <f t="shared" si="49"/>
        <v>4.0365128549999997E-2</v>
      </c>
      <c r="F102" s="3"/>
      <c r="G102" s="3"/>
      <c r="H102" s="3"/>
      <c r="I102" s="3"/>
      <c r="J102" s="3"/>
      <c r="K102" s="3"/>
      <c r="L102" s="3"/>
      <c r="M102" s="3"/>
      <c r="N102" s="3"/>
      <c r="O102" s="3"/>
      <c r="P102" s="3"/>
      <c r="Q102" s="3"/>
      <c r="R102" s="3"/>
      <c r="S102" s="3"/>
      <c r="T102" s="3"/>
      <c r="U102" s="3"/>
      <c r="V102" s="3"/>
      <c r="W102" s="3"/>
      <c r="X102" s="3"/>
      <c r="Y102" s="3"/>
      <c r="Z102" s="3"/>
    </row>
    <row r="103" spans="2:26" ht="18" x14ac:dyDescent="0.35">
      <c r="B103" s="87"/>
      <c r="C103" s="2298" t="s">
        <v>340</v>
      </c>
      <c r="D103" s="106">
        <f t="shared" ref="D103:D105" si="50">E103/_xlfn.XLOOKUP(C103,C$4:C$7,E$4:E$7,"ERROR")*_xlfn.XLOOKUP(C103,C$4:C$7,D$4:D$7,"ERROR")</f>
        <v>4.0365128549999997E-2</v>
      </c>
      <c r="E103" s="106">
        <f>'LimeT&amp;DSoda'!D39/1000000</f>
        <v>4.0365128549999997E-2</v>
      </c>
      <c r="F103" s="3"/>
      <c r="G103" s="3"/>
      <c r="H103" s="3"/>
      <c r="I103" s="3"/>
      <c r="J103" s="3"/>
      <c r="K103" s="3"/>
      <c r="L103" s="3"/>
      <c r="M103" s="3"/>
      <c r="N103" s="3"/>
      <c r="O103" s="3"/>
      <c r="P103" s="3"/>
      <c r="Q103" s="3"/>
      <c r="R103" s="3"/>
      <c r="S103" s="3"/>
      <c r="T103" s="3"/>
      <c r="U103" s="3"/>
      <c r="V103" s="3"/>
      <c r="W103" s="3"/>
      <c r="X103" s="3"/>
      <c r="Y103" s="3"/>
      <c r="Z103" s="3"/>
    </row>
    <row r="104" spans="2:26" ht="18" x14ac:dyDescent="0.35">
      <c r="B104" s="87"/>
      <c r="C104" s="2298" t="s">
        <v>343</v>
      </c>
      <c r="D104" s="106">
        <f t="shared" si="50"/>
        <v>0</v>
      </c>
      <c r="E104" s="106">
        <v>0</v>
      </c>
      <c r="F104" s="3"/>
      <c r="G104" s="3"/>
      <c r="H104" s="3"/>
      <c r="I104" s="3"/>
      <c r="J104" s="3"/>
      <c r="K104" s="3"/>
      <c r="L104" s="3"/>
      <c r="M104" s="3"/>
      <c r="N104" s="3"/>
      <c r="O104" s="3"/>
      <c r="P104" s="3"/>
      <c r="Q104" s="3"/>
      <c r="R104" s="3"/>
      <c r="S104" s="3"/>
      <c r="T104" s="3"/>
      <c r="U104" s="3"/>
      <c r="V104" s="3"/>
      <c r="W104" s="3"/>
      <c r="X104" s="3"/>
      <c r="Y104" s="3"/>
      <c r="Z104" s="3"/>
    </row>
    <row r="105" spans="2:26" ht="18" x14ac:dyDescent="0.35">
      <c r="B105" s="87"/>
      <c r="C105" s="2298" t="s">
        <v>346</v>
      </c>
      <c r="D105" s="106">
        <f t="shared" si="50"/>
        <v>0</v>
      </c>
      <c r="E105" s="106">
        <v>0</v>
      </c>
      <c r="F105" s="3"/>
      <c r="G105" s="3"/>
      <c r="H105" s="3"/>
      <c r="I105" s="3"/>
      <c r="J105" s="3"/>
      <c r="K105" s="3"/>
      <c r="L105" s="3"/>
      <c r="M105" s="3"/>
      <c r="N105" s="3"/>
      <c r="O105" s="3"/>
      <c r="P105" s="3"/>
      <c r="Q105" s="3"/>
      <c r="R105" s="3"/>
      <c r="S105" s="3"/>
      <c r="T105" s="3"/>
      <c r="U105" s="3"/>
      <c r="V105" s="3"/>
      <c r="W105" s="3"/>
      <c r="X105" s="3"/>
      <c r="Y105" s="3"/>
      <c r="Z105" s="3"/>
    </row>
    <row r="106" spans="2:26" ht="15" x14ac:dyDescent="0.25">
      <c r="B106" s="87"/>
      <c r="C106" s="97" t="s">
        <v>349</v>
      </c>
      <c r="D106" s="53">
        <f t="shared" ref="D106:E106" si="51">SUM(D107:D109)</f>
        <v>0.90971243984396266</v>
      </c>
      <c r="E106" s="53">
        <f t="shared" si="51"/>
        <v>0.90971243984396266</v>
      </c>
      <c r="F106" s="3"/>
      <c r="G106" s="3"/>
      <c r="H106" s="3"/>
      <c r="I106" s="3"/>
      <c r="J106" s="3"/>
      <c r="K106" s="3"/>
      <c r="L106" s="3"/>
      <c r="M106" s="3"/>
      <c r="N106" s="3"/>
      <c r="O106" s="3"/>
      <c r="P106" s="3"/>
      <c r="Q106" s="3"/>
      <c r="R106" s="3"/>
      <c r="S106" s="3"/>
      <c r="T106" s="3"/>
      <c r="U106" s="3"/>
      <c r="V106" s="3"/>
      <c r="W106" s="3"/>
      <c r="X106" s="3"/>
      <c r="Y106" s="3"/>
      <c r="Z106" s="3"/>
    </row>
    <row r="107" spans="2:26" ht="18" x14ac:dyDescent="0.35">
      <c r="B107" s="87"/>
      <c r="C107" s="2298" t="s">
        <v>351</v>
      </c>
      <c r="D107" s="106">
        <f t="shared" ref="D107:D109" si="52">E107/_xlfn.XLOOKUP(C107,C$4:C$7,E$4:E$7,"ERROR")*_xlfn.XLOOKUP(C107,C$4:C$7,D$4:D$7,"ERROR")</f>
        <v>0.90971243984396266</v>
      </c>
      <c r="E107" s="106">
        <f>'Iron And Steel'!F18/1000000</f>
        <v>0.90971243984396266</v>
      </c>
      <c r="F107" s="3"/>
      <c r="G107" s="3"/>
      <c r="H107" s="3"/>
      <c r="I107" s="3"/>
      <c r="J107" s="3"/>
      <c r="K107" s="3"/>
      <c r="L107" s="3"/>
      <c r="M107" s="3"/>
      <c r="N107" s="3"/>
      <c r="O107" s="3"/>
      <c r="P107" s="3"/>
      <c r="Q107" s="3"/>
      <c r="R107" s="3"/>
      <c r="S107" s="3"/>
      <c r="T107" s="3"/>
      <c r="U107" s="3"/>
      <c r="V107" s="3"/>
      <c r="W107" s="3"/>
      <c r="X107" s="3"/>
      <c r="Y107" s="3"/>
      <c r="Z107" s="3"/>
    </row>
    <row r="108" spans="2:26" ht="18" x14ac:dyDescent="0.35">
      <c r="B108" s="87"/>
      <c r="C108" s="2298" t="s">
        <v>353</v>
      </c>
      <c r="D108" s="106">
        <f t="shared" si="52"/>
        <v>0</v>
      </c>
      <c r="E108" s="106">
        <v>0</v>
      </c>
      <c r="F108" s="3"/>
      <c r="G108" s="3"/>
      <c r="H108" s="3"/>
      <c r="I108" s="3"/>
      <c r="J108" s="3"/>
      <c r="K108" s="3"/>
      <c r="L108" s="3"/>
      <c r="M108" s="3"/>
      <c r="N108" s="3"/>
      <c r="O108" s="3"/>
      <c r="P108" s="3"/>
      <c r="Q108" s="3"/>
      <c r="R108" s="3"/>
      <c r="S108" s="3"/>
      <c r="T108" s="3"/>
      <c r="U108" s="3"/>
      <c r="V108" s="3"/>
      <c r="W108" s="3"/>
      <c r="X108" s="3"/>
      <c r="Y108" s="3"/>
      <c r="Z108" s="3"/>
    </row>
    <row r="109" spans="2:26" ht="18" x14ac:dyDescent="0.35">
      <c r="B109" s="87"/>
      <c r="C109" s="2298" t="s">
        <v>354</v>
      </c>
      <c r="D109" s="106">
        <f t="shared" si="52"/>
        <v>0</v>
      </c>
      <c r="E109" s="106">
        <v>0</v>
      </c>
      <c r="F109" s="3"/>
      <c r="G109" s="3"/>
      <c r="H109" s="3"/>
      <c r="I109" s="3"/>
      <c r="J109" s="3"/>
      <c r="K109" s="3"/>
      <c r="L109" s="3"/>
      <c r="M109" s="3"/>
      <c r="N109" s="3"/>
      <c r="O109" s="3"/>
      <c r="P109" s="3"/>
      <c r="Q109" s="3"/>
      <c r="R109" s="3"/>
      <c r="S109" s="3"/>
      <c r="T109" s="3"/>
      <c r="U109" s="3"/>
      <c r="V109" s="3"/>
      <c r="W109" s="3"/>
      <c r="X109" s="3"/>
      <c r="Y109" s="3"/>
      <c r="Z109" s="3"/>
    </row>
    <row r="110" spans="2:26" ht="15" x14ac:dyDescent="0.25">
      <c r="B110" s="87"/>
      <c r="C110" s="97" t="s">
        <v>356</v>
      </c>
      <c r="D110" s="53">
        <f t="shared" ref="D110:E110" si="53">SUM(D111:D113)</f>
        <v>5.8205208369953656</v>
      </c>
      <c r="E110" s="53">
        <f t="shared" si="53"/>
        <v>2.552167680655177</v>
      </c>
      <c r="F110" s="3"/>
      <c r="G110" s="3"/>
      <c r="H110" s="3"/>
      <c r="I110" s="3"/>
      <c r="J110" s="3"/>
      <c r="K110" s="3"/>
      <c r="L110" s="3"/>
      <c r="M110" s="3"/>
      <c r="N110" s="3"/>
      <c r="O110" s="3"/>
      <c r="P110" s="3"/>
      <c r="Q110" s="3"/>
      <c r="R110" s="3"/>
      <c r="S110" s="3"/>
      <c r="T110" s="3"/>
      <c r="U110" s="3"/>
      <c r="V110" s="3"/>
      <c r="W110" s="3"/>
      <c r="X110" s="3"/>
      <c r="Y110" s="3"/>
      <c r="Z110" s="3"/>
    </row>
    <row r="111" spans="2:26" ht="18" x14ac:dyDescent="0.35">
      <c r="B111" s="87"/>
      <c r="C111" s="2298" t="s">
        <v>357</v>
      </c>
      <c r="D111" s="106">
        <f t="shared" ref="D111:D112" si="54">E111/_xlfn.XLOOKUP(C111,C$4:C$7,E$4:E$7,"ERROR")*_xlfn.XLOOKUP(C111,C$4:C$7,D$4:D$7,"ERROR")</f>
        <v>0</v>
      </c>
      <c r="E111" s="106">
        <v>0</v>
      </c>
      <c r="F111" s="3"/>
      <c r="G111" s="3"/>
      <c r="H111" s="3"/>
      <c r="I111" s="3"/>
      <c r="J111" s="3"/>
      <c r="K111" s="3"/>
      <c r="L111" s="3"/>
      <c r="M111" s="3"/>
      <c r="N111" s="3"/>
      <c r="O111" s="3"/>
      <c r="P111" s="3"/>
      <c r="Q111" s="3"/>
      <c r="R111" s="3"/>
      <c r="S111" s="3"/>
      <c r="T111" s="3"/>
      <c r="U111" s="3"/>
      <c r="V111" s="3"/>
      <c r="W111" s="3"/>
      <c r="X111" s="3"/>
      <c r="Y111" s="3"/>
      <c r="Z111" s="3"/>
    </row>
    <row r="112" spans="2:26" ht="18" x14ac:dyDescent="0.35">
      <c r="B112" s="87"/>
      <c r="C112" s="2298" t="s">
        <v>358</v>
      </c>
      <c r="D112" s="106">
        <f t="shared" si="54"/>
        <v>0</v>
      </c>
      <c r="E112" s="106">
        <v>0</v>
      </c>
      <c r="F112" s="3"/>
      <c r="G112" s="3"/>
      <c r="H112" s="3"/>
      <c r="I112" s="3"/>
      <c r="J112" s="3"/>
      <c r="K112" s="3"/>
      <c r="L112" s="3"/>
      <c r="M112" s="3"/>
      <c r="N112" s="3"/>
      <c r="O112" s="3"/>
      <c r="P112" s="3"/>
      <c r="Q112" s="3"/>
      <c r="R112" s="3"/>
      <c r="S112" s="3"/>
      <c r="T112" s="3"/>
      <c r="U112" s="3"/>
      <c r="V112" s="3"/>
      <c r="W112" s="3"/>
      <c r="X112" s="3"/>
      <c r="Y112" s="3"/>
      <c r="Z112" s="3"/>
    </row>
    <row r="113" spans="2:26" ht="18" x14ac:dyDescent="0.35">
      <c r="B113" s="87"/>
      <c r="C113" s="2298" t="s">
        <v>359</v>
      </c>
      <c r="D113" s="106">
        <f>'ODSSubs 20-yr'!AA203</f>
        <v>5.8205208369953656</v>
      </c>
      <c r="E113" s="106">
        <f>'ODSSubs 100-yr'!AA203</f>
        <v>2.552167680655177</v>
      </c>
      <c r="F113" s="3"/>
      <c r="G113" s="3"/>
      <c r="H113" s="3"/>
      <c r="I113" s="3"/>
      <c r="J113" s="3"/>
      <c r="K113" s="3"/>
      <c r="L113" s="3"/>
      <c r="M113" s="3"/>
      <c r="N113" s="3"/>
      <c r="O113" s="3"/>
      <c r="P113" s="3"/>
      <c r="Q113" s="3"/>
      <c r="R113" s="3"/>
      <c r="S113" s="3"/>
      <c r="T113" s="3"/>
      <c r="U113" s="3"/>
      <c r="V113" s="3"/>
      <c r="W113" s="3"/>
      <c r="X113" s="3"/>
      <c r="Y113" s="3"/>
      <c r="Z113" s="3"/>
    </row>
    <row r="114" spans="2:26" ht="15" x14ac:dyDescent="0.25">
      <c r="B114" s="87"/>
      <c r="C114" s="97" t="s">
        <v>362</v>
      </c>
      <c r="D114" s="53">
        <f t="shared" ref="D114:E114" si="55">SUM(D115:D117)</f>
        <v>0.12739999999999999</v>
      </c>
      <c r="E114" s="53">
        <f t="shared" si="55"/>
        <v>0.1701</v>
      </c>
      <c r="F114" s="3"/>
      <c r="G114" s="3"/>
      <c r="H114" s="3"/>
      <c r="I114" s="3"/>
      <c r="J114" s="3"/>
      <c r="K114" s="3"/>
      <c r="L114" s="3"/>
      <c r="M114" s="3"/>
      <c r="N114" s="3"/>
      <c r="O114" s="3"/>
      <c r="P114" s="3"/>
      <c r="Q114" s="3"/>
      <c r="R114" s="3"/>
      <c r="S114" s="3"/>
      <c r="T114" s="3"/>
      <c r="U114" s="3"/>
      <c r="V114" s="3"/>
      <c r="W114" s="3"/>
      <c r="X114" s="3"/>
      <c r="Y114" s="3"/>
      <c r="Z114" s="3"/>
    </row>
    <row r="115" spans="2:26" ht="18" x14ac:dyDescent="0.35">
      <c r="B115" s="87"/>
      <c r="C115" s="2298" t="s">
        <v>366</v>
      </c>
      <c r="D115" s="106">
        <f t="shared" ref="D115:D116" si="56">E115/_xlfn.XLOOKUP(C115,C$4:C$7,E$4:E$7,"ERROR")*_xlfn.XLOOKUP(C115,C$4:C$7,D$4:D$7,"ERROR")</f>
        <v>0</v>
      </c>
      <c r="E115" s="106">
        <v>0</v>
      </c>
      <c r="F115" s="3"/>
      <c r="G115" s="3"/>
      <c r="H115" s="3"/>
      <c r="I115" s="3"/>
      <c r="J115" s="3"/>
      <c r="K115" s="3"/>
      <c r="L115" s="3"/>
      <c r="M115" s="3"/>
      <c r="N115" s="3"/>
      <c r="O115" s="3"/>
      <c r="P115" s="3"/>
      <c r="Q115" s="3"/>
      <c r="R115" s="3"/>
      <c r="S115" s="3"/>
      <c r="T115" s="3"/>
      <c r="U115" s="3"/>
      <c r="V115" s="3"/>
      <c r="W115" s="3"/>
      <c r="X115" s="3"/>
      <c r="Y115" s="3"/>
      <c r="Z115" s="3"/>
    </row>
    <row r="116" spans="2:26" ht="18" x14ac:dyDescent="0.35">
      <c r="B116" s="87"/>
      <c r="C116" s="2298" t="s">
        <v>376</v>
      </c>
      <c r="D116" s="106">
        <f t="shared" si="56"/>
        <v>0</v>
      </c>
      <c r="E116" s="106">
        <v>0</v>
      </c>
      <c r="F116" s="3"/>
      <c r="G116" s="3"/>
      <c r="H116" s="3"/>
      <c r="I116" s="3"/>
      <c r="J116" s="3"/>
      <c r="K116" s="3"/>
      <c r="L116" s="3"/>
      <c r="M116" s="3"/>
      <c r="N116" s="3"/>
      <c r="O116" s="3"/>
      <c r="P116" s="3"/>
      <c r="Q116" s="3"/>
      <c r="R116" s="3"/>
      <c r="S116" s="3"/>
      <c r="T116" s="3"/>
      <c r="U116" s="3"/>
      <c r="V116" s="3"/>
      <c r="W116" s="3"/>
      <c r="X116" s="3"/>
      <c r="Y116" s="3"/>
      <c r="Z116" s="3"/>
    </row>
    <row r="117" spans="2:26" ht="18" x14ac:dyDescent="0.35">
      <c r="B117" s="87"/>
      <c r="C117" s="2298" t="s">
        <v>381</v>
      </c>
      <c r="D117" s="106">
        <f t="array" ref="D117">E117/_xlfn.XLOOKUP("SF6",C$4:C$7,E$4:E$7,"ERROR")*_xlfn.XLOOKUP("SF6",C$4:C$7,D$4:D$7,"ERROR")</f>
        <v>0.12739999999999999</v>
      </c>
      <c r="E117" s="106">
        <f>'LimeT&amp;DSoda'!D48/1000000</f>
        <v>0.1701</v>
      </c>
      <c r="F117" s="3"/>
      <c r="G117" s="3"/>
      <c r="H117" s="3"/>
      <c r="I117" s="3"/>
      <c r="J117" s="3"/>
      <c r="K117" s="3"/>
      <c r="L117" s="3"/>
      <c r="M117" s="3"/>
      <c r="N117" s="3"/>
      <c r="O117" s="3"/>
      <c r="P117" s="3"/>
      <c r="Q117" s="3"/>
      <c r="R117" s="3"/>
      <c r="S117" s="3"/>
      <c r="T117" s="3"/>
      <c r="U117" s="3"/>
      <c r="V117" s="3"/>
      <c r="W117" s="3"/>
      <c r="X117" s="3"/>
      <c r="Y117" s="3"/>
      <c r="Z117" s="3"/>
    </row>
    <row r="118" spans="2:26" ht="15" x14ac:dyDescent="0.25">
      <c r="B118" s="87"/>
      <c r="C118" s="97" t="s">
        <v>384</v>
      </c>
      <c r="D118" s="53">
        <f t="shared" ref="D118:E118" si="57">SUM(D119:D121)</f>
        <v>0</v>
      </c>
      <c r="E118" s="53">
        <f t="shared" si="57"/>
        <v>0</v>
      </c>
      <c r="F118" s="3"/>
      <c r="G118" s="3"/>
      <c r="H118" s="3"/>
      <c r="I118" s="3"/>
      <c r="J118" s="3"/>
      <c r="K118" s="3"/>
      <c r="L118" s="3"/>
      <c r="M118" s="3"/>
      <c r="N118" s="3"/>
      <c r="O118" s="3"/>
      <c r="P118" s="3"/>
      <c r="Q118" s="3"/>
      <c r="R118" s="3"/>
      <c r="S118" s="3"/>
      <c r="T118" s="3"/>
      <c r="U118" s="3"/>
      <c r="V118" s="3"/>
      <c r="W118" s="3"/>
      <c r="X118" s="3"/>
      <c r="Y118" s="3"/>
      <c r="Z118" s="3"/>
    </row>
    <row r="119" spans="2:26" ht="18" x14ac:dyDescent="0.35">
      <c r="B119" s="87"/>
      <c r="C119" s="2298" t="s">
        <v>385</v>
      </c>
      <c r="D119" s="106">
        <f t="shared" ref="D119:D120" si="58">E119/_xlfn.XLOOKUP(C119,C$4:C$7,E$4:E$7,"ERROR")*_xlfn.XLOOKUP(C119,C$4:C$7,D$4:D$7,"ERROR")</f>
        <v>0</v>
      </c>
      <c r="E119" s="106">
        <v>0</v>
      </c>
      <c r="F119" s="3"/>
      <c r="G119" s="3"/>
      <c r="H119" s="3"/>
      <c r="I119" s="3"/>
      <c r="J119" s="3"/>
      <c r="K119" s="3"/>
      <c r="L119" s="3"/>
      <c r="M119" s="3"/>
      <c r="N119" s="3"/>
      <c r="O119" s="3"/>
      <c r="P119" s="3"/>
      <c r="Q119" s="3"/>
      <c r="R119" s="3"/>
      <c r="S119" s="3"/>
      <c r="T119" s="3"/>
      <c r="U119" s="3"/>
      <c r="V119" s="3"/>
      <c r="W119" s="3"/>
      <c r="X119" s="3"/>
      <c r="Y119" s="3"/>
      <c r="Z119" s="3"/>
    </row>
    <row r="120" spans="2:26" ht="18" x14ac:dyDescent="0.35">
      <c r="B120" s="87"/>
      <c r="C120" s="2298" t="s">
        <v>386</v>
      </c>
      <c r="D120" s="106">
        <f t="shared" si="58"/>
        <v>0</v>
      </c>
      <c r="E120" s="106">
        <v>0</v>
      </c>
      <c r="F120" s="3"/>
      <c r="G120" s="3"/>
      <c r="H120" s="3"/>
      <c r="I120" s="3"/>
      <c r="J120" s="3"/>
      <c r="K120" s="3"/>
      <c r="L120" s="3"/>
      <c r="M120" s="3"/>
      <c r="N120" s="3"/>
      <c r="O120" s="3"/>
      <c r="P120" s="3"/>
      <c r="Q120" s="3"/>
      <c r="R120" s="3"/>
      <c r="S120" s="3"/>
      <c r="T120" s="3"/>
      <c r="U120" s="3"/>
      <c r="V120" s="3"/>
      <c r="W120" s="3"/>
      <c r="X120" s="3"/>
      <c r="Y120" s="3"/>
      <c r="Z120" s="3"/>
    </row>
    <row r="121" spans="2:26" ht="18" x14ac:dyDescent="0.35">
      <c r="B121" s="87"/>
      <c r="C121" s="2298" t="s">
        <v>389</v>
      </c>
      <c r="D121" s="106">
        <f>E121</f>
        <v>0</v>
      </c>
      <c r="E121" s="106">
        <v>0</v>
      </c>
      <c r="F121" s="3"/>
      <c r="G121" s="3"/>
      <c r="H121" s="3"/>
      <c r="I121" s="3"/>
      <c r="J121" s="3"/>
      <c r="K121" s="3"/>
      <c r="L121" s="3"/>
      <c r="M121" s="3"/>
      <c r="N121" s="3"/>
      <c r="O121" s="3"/>
      <c r="P121" s="3"/>
      <c r="Q121" s="3"/>
      <c r="R121" s="3"/>
      <c r="S121" s="3"/>
      <c r="T121" s="3"/>
      <c r="U121" s="3"/>
      <c r="V121" s="3"/>
      <c r="W121" s="3"/>
      <c r="X121" s="3"/>
      <c r="Y121" s="3"/>
      <c r="Z121" s="3"/>
    </row>
    <row r="122" spans="2:26" ht="15" x14ac:dyDescent="0.25">
      <c r="B122" s="87"/>
      <c r="C122" s="97" t="s">
        <v>2182</v>
      </c>
      <c r="D122" s="53">
        <f t="shared" ref="D122:E122" si="59">SUM(D123:D125)</f>
        <v>9.5118999999999998E-4</v>
      </c>
      <c r="E122" s="53">
        <f t="shared" si="59"/>
        <v>9.5118999999999998E-4</v>
      </c>
      <c r="F122" s="3"/>
      <c r="G122" s="3"/>
      <c r="H122" s="3"/>
      <c r="I122" s="3"/>
      <c r="J122" s="3"/>
      <c r="K122" s="3"/>
      <c r="L122" s="3"/>
      <c r="M122" s="3"/>
      <c r="N122" s="3"/>
      <c r="O122" s="3"/>
      <c r="P122" s="3"/>
      <c r="Q122" s="3"/>
      <c r="R122" s="3"/>
      <c r="S122" s="3"/>
      <c r="T122" s="3"/>
      <c r="U122" s="3"/>
      <c r="V122" s="3"/>
      <c r="W122" s="3"/>
      <c r="X122" s="3"/>
      <c r="Y122" s="3"/>
      <c r="Z122" s="3"/>
    </row>
    <row r="123" spans="2:26" ht="18" x14ac:dyDescent="0.35">
      <c r="B123" s="87"/>
      <c r="C123" s="2298" t="s">
        <v>392</v>
      </c>
      <c r="D123" s="106">
        <f t="shared" ref="D123:D124" si="60">E123/_xlfn.XLOOKUP(C123,C$4:C$7,E$4:E$7,"ERROR")*_xlfn.XLOOKUP(C123,C$4:C$7,D$4:D$7,"ERROR")</f>
        <v>9.5118999999999998E-4</v>
      </c>
      <c r="E123" s="106">
        <f>'LimeT&amp;DSoda'!D40/1000000</f>
        <v>9.5118999999999998E-4</v>
      </c>
      <c r="F123" s="3"/>
      <c r="G123" s="3"/>
      <c r="H123" s="3"/>
      <c r="I123" s="3"/>
      <c r="J123" s="3"/>
      <c r="K123" s="3"/>
      <c r="L123" s="3"/>
      <c r="M123" s="3"/>
      <c r="N123" s="3"/>
      <c r="O123" s="3"/>
      <c r="P123" s="3"/>
      <c r="Q123" s="3"/>
      <c r="R123" s="3"/>
      <c r="S123" s="3"/>
      <c r="T123" s="3"/>
      <c r="U123" s="3"/>
      <c r="V123" s="3"/>
      <c r="W123" s="3"/>
      <c r="X123" s="3"/>
      <c r="Y123" s="3"/>
      <c r="Z123" s="3"/>
    </row>
    <row r="124" spans="2:26" ht="18" x14ac:dyDescent="0.35">
      <c r="B124" s="87"/>
      <c r="C124" s="2298" t="s">
        <v>393</v>
      </c>
      <c r="D124" s="106">
        <f t="shared" si="60"/>
        <v>0</v>
      </c>
      <c r="E124" s="106">
        <v>0</v>
      </c>
      <c r="F124" s="3"/>
      <c r="G124" s="3"/>
      <c r="H124" s="3"/>
      <c r="I124" s="3"/>
      <c r="J124" s="3"/>
      <c r="K124" s="3"/>
      <c r="L124" s="3"/>
      <c r="M124" s="3"/>
      <c r="N124" s="3"/>
      <c r="O124" s="3"/>
      <c r="P124" s="3"/>
      <c r="Q124" s="3"/>
      <c r="R124" s="3"/>
      <c r="S124" s="3"/>
      <c r="T124" s="3"/>
      <c r="U124" s="3"/>
      <c r="V124" s="3"/>
      <c r="W124" s="3"/>
      <c r="X124" s="3"/>
      <c r="Y124" s="3"/>
      <c r="Z124" s="3"/>
    </row>
    <row r="125" spans="2:26" ht="18" x14ac:dyDescent="0.35">
      <c r="B125" s="87"/>
      <c r="C125" s="2298" t="s">
        <v>394</v>
      </c>
      <c r="D125" s="106">
        <f>E125</f>
        <v>0</v>
      </c>
      <c r="E125" s="106">
        <v>0</v>
      </c>
      <c r="F125" s="3"/>
      <c r="G125" s="3"/>
      <c r="H125" s="3"/>
      <c r="I125" s="3"/>
      <c r="J125" s="3"/>
      <c r="K125" s="3"/>
      <c r="L125" s="3"/>
      <c r="M125" s="3"/>
      <c r="N125" s="3"/>
      <c r="O125" s="3"/>
      <c r="P125" s="3"/>
      <c r="Q125" s="3"/>
      <c r="R125" s="3"/>
      <c r="S125" s="3"/>
      <c r="T125" s="3"/>
      <c r="U125" s="3"/>
      <c r="V125" s="3"/>
      <c r="W125" s="3"/>
      <c r="X125" s="3"/>
      <c r="Y125" s="3"/>
      <c r="Z125" s="3"/>
    </row>
    <row r="126" spans="2:26" ht="15" x14ac:dyDescent="0.25">
      <c r="B126" s="87"/>
      <c r="C126" s="97" t="s">
        <v>395</v>
      </c>
      <c r="D126" s="53">
        <f t="shared" ref="D126:E126" si="61">SUM(D127:D129)</f>
        <v>0</v>
      </c>
      <c r="E126" s="53">
        <f t="shared" si="61"/>
        <v>0</v>
      </c>
      <c r="F126" s="3"/>
      <c r="G126" s="3"/>
      <c r="H126" s="3"/>
      <c r="I126" s="3"/>
      <c r="J126" s="3"/>
      <c r="K126" s="3"/>
      <c r="L126" s="3"/>
      <c r="M126" s="3"/>
      <c r="N126" s="3"/>
      <c r="O126" s="3"/>
      <c r="P126" s="3"/>
      <c r="Q126" s="3"/>
      <c r="R126" s="3"/>
      <c r="S126" s="3"/>
      <c r="T126" s="3"/>
      <c r="U126" s="3"/>
      <c r="V126" s="3"/>
      <c r="W126" s="3"/>
      <c r="X126" s="3"/>
      <c r="Y126" s="3"/>
      <c r="Z126" s="3"/>
    </row>
    <row r="127" spans="2:26" ht="18" x14ac:dyDescent="0.35">
      <c r="B127" s="87"/>
      <c r="C127" s="2298" t="s">
        <v>397</v>
      </c>
      <c r="D127" s="106">
        <f t="shared" ref="D127:D128" si="62">E127/_xlfn.XLOOKUP(C127,C$4:C$7,E$4:E$7,"ERROR")*_xlfn.XLOOKUP(C127,C$4:C$7,D$4:D$7,"ERROR")</f>
        <v>0</v>
      </c>
      <c r="E127" s="106">
        <v>0</v>
      </c>
      <c r="F127" s="3"/>
      <c r="G127" s="3"/>
      <c r="H127" s="3"/>
      <c r="I127" s="3"/>
      <c r="J127" s="3"/>
      <c r="K127" s="3"/>
      <c r="L127" s="3"/>
      <c r="M127" s="3"/>
      <c r="N127" s="3"/>
      <c r="O127" s="3"/>
      <c r="P127" s="3"/>
      <c r="Q127" s="3"/>
      <c r="R127" s="3"/>
      <c r="S127" s="3"/>
      <c r="T127" s="3"/>
      <c r="U127" s="3"/>
      <c r="V127" s="3"/>
      <c r="W127" s="3"/>
      <c r="X127" s="3"/>
      <c r="Y127" s="3"/>
      <c r="Z127" s="3"/>
    </row>
    <row r="128" spans="2:26" ht="18" x14ac:dyDescent="0.35">
      <c r="B128" s="87"/>
      <c r="C128" s="2298" t="s">
        <v>400</v>
      </c>
      <c r="D128" s="106">
        <f t="shared" si="62"/>
        <v>0</v>
      </c>
      <c r="E128" s="106">
        <v>0</v>
      </c>
      <c r="F128" s="3"/>
      <c r="G128" s="3"/>
      <c r="H128" s="3"/>
      <c r="I128" s="3"/>
      <c r="J128" s="3"/>
      <c r="K128" s="3"/>
      <c r="L128" s="3"/>
      <c r="M128" s="3"/>
      <c r="N128" s="3"/>
      <c r="O128" s="3"/>
      <c r="P128" s="3"/>
      <c r="Q128" s="3"/>
      <c r="R128" s="3"/>
      <c r="S128" s="3"/>
      <c r="T128" s="3"/>
      <c r="U128" s="3"/>
      <c r="V128" s="3"/>
      <c r="W128" s="3"/>
      <c r="X128" s="3"/>
      <c r="Y128" s="3"/>
      <c r="Z128" s="3"/>
    </row>
    <row r="129" spans="2:26" ht="18" x14ac:dyDescent="0.35">
      <c r="B129" s="178"/>
      <c r="C129" s="2298" t="s">
        <v>404</v>
      </c>
      <c r="D129" s="106">
        <f>E129</f>
        <v>0</v>
      </c>
      <c r="E129" s="106">
        <v>0</v>
      </c>
      <c r="F129" s="3"/>
      <c r="G129" s="3"/>
      <c r="H129" s="3"/>
      <c r="I129" s="3"/>
      <c r="J129" s="3"/>
      <c r="K129" s="3"/>
      <c r="L129" s="3"/>
      <c r="M129" s="3"/>
      <c r="N129" s="3"/>
      <c r="O129" s="3"/>
      <c r="P129" s="3"/>
      <c r="Q129" s="3"/>
      <c r="R129" s="3"/>
      <c r="S129" s="3"/>
      <c r="T129" s="3"/>
      <c r="U129" s="3"/>
      <c r="V129" s="3"/>
      <c r="W129" s="3"/>
      <c r="X129" s="3"/>
      <c r="Y129" s="3"/>
      <c r="Z129" s="3"/>
    </row>
    <row r="130" spans="2:26" ht="15" x14ac:dyDescent="0.25">
      <c r="B130" s="57" t="s">
        <v>406</v>
      </c>
      <c r="C130" s="374"/>
      <c r="D130" s="69">
        <f t="shared" ref="D130:E130" si="63">D131+D135+D139+D143+D147</f>
        <v>2.9723984994649673</v>
      </c>
      <c r="E130" s="69">
        <f t="shared" si="63"/>
        <v>1.7796723314120297</v>
      </c>
      <c r="F130" s="3"/>
      <c r="G130" s="3"/>
      <c r="H130" s="3"/>
      <c r="I130" s="3"/>
      <c r="J130" s="3"/>
      <c r="K130" s="3"/>
      <c r="L130" s="3"/>
      <c r="M130" s="3"/>
      <c r="N130" s="3"/>
      <c r="O130" s="3"/>
      <c r="P130" s="3"/>
      <c r="Q130" s="3"/>
      <c r="R130" s="3"/>
      <c r="S130" s="3"/>
      <c r="T130" s="3"/>
      <c r="U130" s="3"/>
      <c r="V130" s="3"/>
      <c r="W130" s="3"/>
      <c r="X130" s="3"/>
      <c r="Y130" s="3"/>
      <c r="Z130" s="3"/>
    </row>
    <row r="131" spans="2:26" ht="15" x14ac:dyDescent="0.25">
      <c r="B131" s="74"/>
      <c r="C131" s="97" t="s">
        <v>410</v>
      </c>
      <c r="D131" s="53">
        <f t="shared" ref="D131:E131" si="64">SUM(D132:D134)</f>
        <v>1.4378958611149513</v>
      </c>
      <c r="E131" s="53">
        <f t="shared" si="64"/>
        <v>0.49405535129442291</v>
      </c>
      <c r="F131" s="3"/>
      <c r="G131" s="3"/>
      <c r="H131" s="3"/>
      <c r="I131" s="3"/>
      <c r="J131" s="3"/>
      <c r="K131" s="3"/>
      <c r="L131" s="3"/>
      <c r="M131" s="3"/>
      <c r="N131" s="3"/>
      <c r="O131" s="3"/>
      <c r="P131" s="3"/>
      <c r="Q131" s="3"/>
      <c r="R131" s="3"/>
      <c r="S131" s="3"/>
      <c r="T131" s="3"/>
      <c r="U131" s="3"/>
      <c r="V131" s="3"/>
      <c r="W131" s="3"/>
      <c r="X131" s="3"/>
      <c r="Y131" s="3"/>
      <c r="Z131" s="3"/>
    </row>
    <row r="132" spans="2:26" ht="18" x14ac:dyDescent="0.35">
      <c r="B132" s="87"/>
      <c r="C132" s="2298" t="s">
        <v>412</v>
      </c>
      <c r="D132" s="106">
        <f t="shared" ref="D132:D134" si="65">E132/_xlfn.XLOOKUP(C132,C$4:C$7,E$4:E$7,"ERROR")*_xlfn.XLOOKUP(C132,C$4:C$7,D$4:D$7,"ERROR")</f>
        <v>0</v>
      </c>
      <c r="E132" s="106">
        <v>0</v>
      </c>
      <c r="F132" s="3"/>
      <c r="G132" s="3"/>
      <c r="H132" s="3"/>
      <c r="I132" s="3"/>
      <c r="J132" s="3"/>
      <c r="K132" s="3"/>
      <c r="L132" s="3"/>
      <c r="M132" s="3"/>
      <c r="N132" s="3"/>
      <c r="O132" s="3"/>
      <c r="P132" s="3"/>
      <c r="Q132" s="3"/>
      <c r="R132" s="3"/>
      <c r="S132" s="3"/>
      <c r="T132" s="3"/>
      <c r="U132" s="3"/>
      <c r="V132" s="3"/>
      <c r="W132" s="3"/>
      <c r="X132" s="3"/>
      <c r="Y132" s="3"/>
      <c r="Z132" s="3"/>
    </row>
    <row r="133" spans="2:26" ht="18" x14ac:dyDescent="0.35">
      <c r="B133" s="87"/>
      <c r="C133" s="2298" t="s">
        <v>415</v>
      </c>
      <c r="D133" s="106">
        <f t="shared" si="65"/>
        <v>1.4378958611149513</v>
      </c>
      <c r="E133" s="106">
        <f>Agricultural!M25</f>
        <v>0.49405535129442291</v>
      </c>
      <c r="F133" s="3"/>
      <c r="G133" s="3"/>
      <c r="H133" s="3"/>
      <c r="I133" s="3"/>
      <c r="J133" s="3"/>
      <c r="K133" s="3"/>
      <c r="L133" s="3"/>
      <c r="M133" s="3"/>
      <c r="N133" s="3"/>
      <c r="O133" s="3"/>
      <c r="P133" s="3"/>
      <c r="Q133" s="3"/>
      <c r="R133" s="3"/>
      <c r="S133" s="3"/>
      <c r="T133" s="3"/>
      <c r="U133" s="3"/>
      <c r="V133" s="3"/>
      <c r="W133" s="3"/>
      <c r="X133" s="3"/>
      <c r="Y133" s="3"/>
      <c r="Z133" s="3"/>
    </row>
    <row r="134" spans="2:26" ht="18" x14ac:dyDescent="0.35">
      <c r="B134" s="87"/>
      <c r="C134" s="2298" t="s">
        <v>425</v>
      </c>
      <c r="D134" s="106">
        <f t="shared" si="65"/>
        <v>0</v>
      </c>
      <c r="E134" s="106">
        <v>0</v>
      </c>
      <c r="F134" s="3"/>
      <c r="G134" s="3"/>
      <c r="H134" s="3"/>
      <c r="I134" s="3"/>
      <c r="J134" s="3"/>
      <c r="K134" s="3"/>
      <c r="L134" s="3"/>
      <c r="M134" s="3"/>
      <c r="N134" s="3"/>
      <c r="O134" s="3"/>
      <c r="P134" s="3"/>
      <c r="Q134" s="3"/>
      <c r="R134" s="3"/>
      <c r="S134" s="3"/>
      <c r="T134" s="3"/>
      <c r="U134" s="3"/>
      <c r="V134" s="3"/>
      <c r="W134" s="3"/>
      <c r="X134" s="3"/>
      <c r="Y134" s="3"/>
      <c r="Z134" s="3"/>
    </row>
    <row r="135" spans="2:26" ht="15" x14ac:dyDescent="0.25">
      <c r="B135" s="87"/>
      <c r="C135" s="97" t="s">
        <v>428</v>
      </c>
      <c r="D135" s="53">
        <f t="shared" ref="D135:E135" si="66">SUM(D136:D138)</f>
        <v>0.56730145179313607</v>
      </c>
      <c r="E135" s="53">
        <f t="shared" si="66"/>
        <v>0.3280107996772314</v>
      </c>
      <c r="F135" s="3"/>
      <c r="G135" s="3"/>
      <c r="H135" s="3"/>
      <c r="I135" s="3"/>
      <c r="J135" s="3"/>
      <c r="K135" s="3"/>
      <c r="L135" s="3"/>
      <c r="M135" s="3"/>
      <c r="N135" s="3"/>
      <c r="O135" s="3"/>
      <c r="P135" s="3"/>
      <c r="Q135" s="3"/>
      <c r="R135" s="3"/>
      <c r="S135" s="3"/>
      <c r="T135" s="3"/>
      <c r="U135" s="3"/>
      <c r="V135" s="3"/>
      <c r="W135" s="3"/>
      <c r="X135" s="3"/>
      <c r="Y135" s="3"/>
      <c r="Z135" s="3"/>
    </row>
    <row r="136" spans="2:26" ht="18" x14ac:dyDescent="0.35">
      <c r="B136" s="87"/>
      <c r="C136" s="2298" t="s">
        <v>432</v>
      </c>
      <c r="D136" s="106">
        <f t="shared" ref="D136:D138" si="67">E136/_xlfn.XLOOKUP(C136,C$4:C$7,E$4:E$7,"ERROR")*_xlfn.XLOOKUP(C136,C$4:C$7,D$4:D$7,"ERROR")</f>
        <v>0</v>
      </c>
      <c r="E136" s="106">
        <v>0</v>
      </c>
      <c r="F136" s="3"/>
      <c r="G136" s="3"/>
      <c r="H136" s="3"/>
      <c r="I136" s="3"/>
      <c r="J136" s="3"/>
      <c r="K136" s="3"/>
      <c r="L136" s="3"/>
      <c r="M136" s="3"/>
      <c r="N136" s="3"/>
      <c r="O136" s="3"/>
      <c r="P136" s="3"/>
      <c r="Q136" s="3"/>
      <c r="R136" s="3"/>
      <c r="S136" s="3"/>
      <c r="T136" s="3"/>
      <c r="U136" s="3"/>
      <c r="V136" s="3"/>
      <c r="W136" s="3"/>
      <c r="X136" s="3"/>
      <c r="Y136" s="3"/>
      <c r="Z136" s="3"/>
    </row>
    <row r="137" spans="2:26" ht="18" x14ac:dyDescent="0.35">
      <c r="B137" s="87"/>
      <c r="C137" s="2298" t="s">
        <v>437</v>
      </c>
      <c r="D137" s="106">
        <f t="shared" si="67"/>
        <v>0.36454786025912678</v>
      </c>
      <c r="E137" s="106">
        <f>Agricultural!W61</f>
        <v>0.12525720814322211</v>
      </c>
      <c r="F137" s="3"/>
      <c r="G137" s="3"/>
      <c r="H137" s="3"/>
      <c r="I137" s="3"/>
      <c r="J137" s="3"/>
      <c r="K137" s="3"/>
      <c r="L137" s="3"/>
      <c r="M137" s="3"/>
      <c r="N137" s="3"/>
      <c r="O137" s="3"/>
      <c r="P137" s="3"/>
      <c r="Q137" s="3"/>
      <c r="R137" s="3"/>
      <c r="S137" s="3"/>
      <c r="T137" s="3"/>
      <c r="U137" s="3"/>
      <c r="V137" s="3"/>
      <c r="W137" s="3"/>
      <c r="X137" s="3"/>
      <c r="Y137" s="3"/>
      <c r="Z137" s="3"/>
    </row>
    <row r="138" spans="2:26" ht="18" x14ac:dyDescent="0.35">
      <c r="B138" s="87"/>
      <c r="C138" s="2298" t="s">
        <v>440</v>
      </c>
      <c r="D138" s="106">
        <f t="shared" si="67"/>
        <v>0.20275359153400929</v>
      </c>
      <c r="E138" s="106">
        <f>Agricultural!U89</f>
        <v>0.20275359153400929</v>
      </c>
      <c r="F138" s="3"/>
      <c r="G138" s="3"/>
      <c r="H138" s="3"/>
      <c r="I138" s="3"/>
      <c r="J138" s="3"/>
      <c r="K138" s="3"/>
      <c r="L138" s="3"/>
      <c r="M138" s="3"/>
      <c r="N138" s="3"/>
      <c r="O138" s="3"/>
      <c r="P138" s="3"/>
      <c r="Q138" s="3"/>
      <c r="R138" s="3"/>
      <c r="S138" s="3"/>
      <c r="T138" s="3"/>
      <c r="U138" s="3"/>
      <c r="V138" s="3"/>
      <c r="W138" s="3"/>
      <c r="X138" s="3"/>
      <c r="Y138" s="3"/>
      <c r="Z138" s="3"/>
    </row>
    <row r="139" spans="2:26" ht="15" x14ac:dyDescent="0.25">
      <c r="B139" s="87"/>
      <c r="C139" s="97" t="s">
        <v>445</v>
      </c>
      <c r="D139" s="53">
        <f t="shared" ref="D139:E139" si="68">SUM(D140:D142)</f>
        <v>0.84025638367625888</v>
      </c>
      <c r="E139" s="53">
        <f t="shared" si="68"/>
        <v>0.84025638367625888</v>
      </c>
      <c r="F139" s="3"/>
      <c r="G139" s="3"/>
      <c r="H139" s="3"/>
      <c r="I139" s="3"/>
      <c r="J139" s="3"/>
      <c r="K139" s="3"/>
      <c r="L139" s="3"/>
      <c r="M139" s="3"/>
      <c r="N139" s="3"/>
      <c r="O139" s="3"/>
      <c r="P139" s="3"/>
      <c r="Q139" s="3"/>
      <c r="R139" s="3"/>
      <c r="S139" s="3"/>
      <c r="T139" s="3"/>
      <c r="U139" s="3"/>
      <c r="V139" s="3"/>
      <c r="W139" s="3"/>
      <c r="X139" s="3"/>
      <c r="Y139" s="3"/>
      <c r="Z139" s="3"/>
    </row>
    <row r="140" spans="2:26" ht="18" x14ac:dyDescent="0.35">
      <c r="B140" s="87"/>
      <c r="C140" s="2298" t="s">
        <v>448</v>
      </c>
      <c r="D140" s="106">
        <f t="shared" ref="D140:D142" si="69">E140/_xlfn.XLOOKUP(C140,C$4:C$7,E$4:E$7,"ERROR")*_xlfn.XLOOKUP(C140,C$4:C$7,D$4:D$7,"ERROR")</f>
        <v>0</v>
      </c>
      <c r="E140" s="106">
        <v>0</v>
      </c>
      <c r="F140" s="3"/>
      <c r="G140" s="3"/>
      <c r="H140" s="3"/>
      <c r="I140" s="3"/>
      <c r="J140" s="3"/>
      <c r="K140" s="3"/>
      <c r="L140" s="3"/>
      <c r="M140" s="3"/>
      <c r="N140" s="3"/>
      <c r="O140" s="3"/>
      <c r="P140" s="3"/>
      <c r="Q140" s="3"/>
      <c r="R140" s="3"/>
      <c r="S140" s="3"/>
      <c r="T140" s="3"/>
      <c r="U140" s="3"/>
      <c r="V140" s="3"/>
      <c r="W140" s="3"/>
      <c r="X140" s="3"/>
      <c r="Y140" s="3"/>
      <c r="Z140" s="3"/>
    </row>
    <row r="141" spans="2:26" ht="18" x14ac:dyDescent="0.35">
      <c r="B141" s="87"/>
      <c r="C141" s="2298" t="s">
        <v>451</v>
      </c>
      <c r="D141" s="106">
        <f t="shared" si="69"/>
        <v>0</v>
      </c>
      <c r="E141" s="106">
        <v>0</v>
      </c>
      <c r="F141" s="3"/>
      <c r="G141" s="3"/>
      <c r="H141" s="3"/>
      <c r="I141" s="3"/>
      <c r="J141" s="3"/>
      <c r="K141" s="3"/>
      <c r="L141" s="3"/>
      <c r="M141" s="3"/>
      <c r="N141" s="3"/>
      <c r="O141" s="3"/>
      <c r="P141" s="3"/>
      <c r="Q141" s="3"/>
      <c r="R141" s="3"/>
      <c r="S141" s="3"/>
      <c r="T141" s="3"/>
      <c r="U141" s="3"/>
      <c r="V141" s="3"/>
      <c r="W141" s="3"/>
      <c r="X141" s="3"/>
      <c r="Y141" s="3"/>
      <c r="Z141" s="3"/>
    </row>
    <row r="142" spans="2:26" ht="18" x14ac:dyDescent="0.35">
      <c r="B142" s="87"/>
      <c r="C142" s="2298" t="s">
        <v>452</v>
      </c>
      <c r="D142" s="106">
        <f t="shared" si="69"/>
        <v>0.84025638367625888</v>
      </c>
      <c r="E142" s="106">
        <f>Agricultural!E233</f>
        <v>0.84025638367625888</v>
      </c>
      <c r="F142" s="3"/>
      <c r="G142" s="3"/>
      <c r="H142" s="3"/>
      <c r="I142" s="3"/>
      <c r="J142" s="3"/>
      <c r="K142" s="3"/>
      <c r="L142" s="3"/>
      <c r="M142" s="3"/>
      <c r="N142" s="3"/>
      <c r="O142" s="3"/>
      <c r="P142" s="3"/>
      <c r="Q142" s="3"/>
      <c r="R142" s="3"/>
      <c r="S142" s="3"/>
      <c r="T142" s="3"/>
      <c r="U142" s="3"/>
      <c r="V142" s="3"/>
      <c r="W142" s="3"/>
      <c r="X142" s="3"/>
      <c r="Y142" s="3"/>
      <c r="Z142" s="3"/>
    </row>
    <row r="143" spans="2:26" ht="15" x14ac:dyDescent="0.25">
      <c r="B143" s="87"/>
      <c r="C143" s="97" t="s">
        <v>456</v>
      </c>
      <c r="D143" s="53">
        <f t="shared" ref="D143:E143" si="70">SUM(D144:D146)</f>
        <v>1.6818742880621254E-2</v>
      </c>
      <c r="E143" s="53">
        <f t="shared" si="70"/>
        <v>7.2237367641165631E-3</v>
      </c>
      <c r="F143" s="3"/>
      <c r="G143" s="3"/>
      <c r="H143" s="3"/>
      <c r="I143" s="3"/>
      <c r="J143" s="3"/>
      <c r="K143" s="3"/>
      <c r="L143" s="3"/>
      <c r="M143" s="3"/>
      <c r="N143" s="3"/>
      <c r="O143" s="3"/>
      <c r="P143" s="3"/>
      <c r="Q143" s="3"/>
      <c r="R143" s="3"/>
      <c r="S143" s="3"/>
      <c r="T143" s="3"/>
      <c r="U143" s="3"/>
      <c r="V143" s="3"/>
      <c r="W143" s="3"/>
      <c r="X143" s="3"/>
      <c r="Y143" s="3"/>
      <c r="Z143" s="3"/>
    </row>
    <row r="144" spans="2:26" ht="18" x14ac:dyDescent="0.35">
      <c r="B144" s="87"/>
      <c r="C144" s="2298" t="s">
        <v>461</v>
      </c>
      <c r="D144" s="106">
        <f t="shared" ref="D144:D146" si="71">E144/_xlfn.XLOOKUP(C144,C$4:C$7,E$4:E$7,"ERROR")*_xlfn.XLOOKUP(C144,C$4:C$7,D$4:D$7,"ERROR")</f>
        <v>0</v>
      </c>
      <c r="E144" s="106">
        <v>0</v>
      </c>
      <c r="F144" s="3"/>
      <c r="G144" s="3"/>
      <c r="H144" s="3"/>
      <c r="I144" s="3"/>
      <c r="J144" s="3"/>
      <c r="K144" s="3"/>
      <c r="L144" s="3"/>
      <c r="M144" s="3"/>
      <c r="N144" s="3"/>
      <c r="O144" s="3"/>
      <c r="P144" s="3"/>
      <c r="Q144" s="3"/>
      <c r="R144" s="3"/>
      <c r="S144" s="3"/>
      <c r="T144" s="3"/>
      <c r="U144" s="3"/>
      <c r="V144" s="3"/>
      <c r="W144" s="3"/>
      <c r="X144" s="3"/>
      <c r="Y144" s="3"/>
      <c r="Z144" s="3"/>
    </row>
    <row r="145" spans="2:26" ht="18" x14ac:dyDescent="0.35">
      <c r="B145" s="87"/>
      <c r="C145" s="2298" t="s">
        <v>464</v>
      </c>
      <c r="D145" s="106">
        <f t="shared" si="71"/>
        <v>1.4617532770359867E-2</v>
      </c>
      <c r="E145" s="106">
        <f>Agricultural!E243</f>
        <v>5.022526653855176E-3</v>
      </c>
      <c r="F145" s="3"/>
      <c r="G145" s="3"/>
      <c r="H145" s="3"/>
      <c r="I145" s="3"/>
      <c r="J145" s="3"/>
      <c r="K145" s="3"/>
      <c r="L145" s="3"/>
      <c r="M145" s="3"/>
      <c r="N145" s="3"/>
      <c r="O145" s="3"/>
      <c r="P145" s="3"/>
      <c r="Q145" s="3"/>
      <c r="R145" s="3"/>
      <c r="S145" s="3"/>
      <c r="T145" s="3"/>
      <c r="U145" s="3"/>
      <c r="V145" s="3"/>
      <c r="W145" s="3"/>
      <c r="X145" s="3"/>
      <c r="Y145" s="3"/>
      <c r="Z145" s="3"/>
    </row>
    <row r="146" spans="2:26" ht="18" x14ac:dyDescent="0.35">
      <c r="B146" s="87"/>
      <c r="C146" s="2298" t="s">
        <v>469</v>
      </c>
      <c r="D146" s="106">
        <f t="shared" si="71"/>
        <v>2.2012101102613876E-3</v>
      </c>
      <c r="E146" s="106">
        <f>Agricultural!E247</f>
        <v>2.2012101102613876E-3</v>
      </c>
      <c r="F146" s="3"/>
      <c r="G146" s="3"/>
      <c r="H146" s="3"/>
      <c r="I146" s="3"/>
      <c r="J146" s="3"/>
      <c r="K146" s="3"/>
      <c r="L146" s="3"/>
      <c r="M146" s="3"/>
      <c r="N146" s="3"/>
      <c r="O146" s="3"/>
      <c r="P146" s="3"/>
      <c r="Q146" s="3"/>
      <c r="R146" s="3"/>
      <c r="S146" s="3"/>
      <c r="T146" s="3"/>
      <c r="U146" s="3"/>
      <c r="V146" s="3"/>
      <c r="W146" s="3"/>
      <c r="X146" s="3"/>
      <c r="Y146" s="3"/>
      <c r="Z146" s="3"/>
    </row>
    <row r="147" spans="2:26" ht="15" x14ac:dyDescent="0.25">
      <c r="B147" s="87"/>
      <c r="C147" s="97" t="s">
        <v>472</v>
      </c>
      <c r="D147" s="53">
        <f t="shared" ref="D147:E147" si="72">SUM(D148:D150)</f>
        <v>0.11012606</v>
      </c>
      <c r="E147" s="53">
        <f t="shared" si="72"/>
        <v>0.11012606</v>
      </c>
      <c r="F147" s="3"/>
      <c r="G147" s="3"/>
      <c r="H147" s="3"/>
      <c r="I147" s="3"/>
      <c r="J147" s="3"/>
      <c r="K147" s="3"/>
      <c r="L147" s="3"/>
      <c r="M147" s="3"/>
      <c r="N147" s="3"/>
      <c r="O147" s="3"/>
      <c r="P147" s="3"/>
      <c r="Q147" s="3"/>
      <c r="R147" s="3"/>
      <c r="S147" s="3"/>
      <c r="T147" s="3"/>
      <c r="U147" s="3"/>
      <c r="V147" s="3"/>
      <c r="W147" s="3"/>
      <c r="X147" s="3"/>
      <c r="Y147" s="3"/>
      <c r="Z147" s="3"/>
    </row>
    <row r="148" spans="2:26" ht="18" x14ac:dyDescent="0.35">
      <c r="B148" s="87"/>
      <c r="C148" s="2298" t="s">
        <v>475</v>
      </c>
      <c r="D148" s="106">
        <f t="shared" ref="D148:D150" si="73">E148/_xlfn.XLOOKUP(C148,C$4:C$7,E$4:E$7,"ERROR")*_xlfn.XLOOKUP(C148,C$4:C$7,D$4:D$7,"ERROR")</f>
        <v>0.11012606</v>
      </c>
      <c r="E148" s="106">
        <f>Agriculture_Liming!G8+Agriculture_Liming!G22</f>
        <v>0.11012606</v>
      </c>
      <c r="F148" s="3"/>
      <c r="G148" s="3"/>
      <c r="H148" s="3"/>
      <c r="I148" s="3"/>
      <c r="J148" s="3"/>
      <c r="K148" s="3"/>
      <c r="L148" s="3"/>
      <c r="M148" s="3"/>
      <c r="N148" s="3"/>
      <c r="O148" s="3"/>
      <c r="P148" s="3"/>
      <c r="Q148" s="3"/>
      <c r="R148" s="3"/>
      <c r="S148" s="3"/>
      <c r="T148" s="3"/>
      <c r="U148" s="3"/>
      <c r="V148" s="3"/>
      <c r="W148" s="3"/>
      <c r="X148" s="3"/>
      <c r="Y148" s="3"/>
      <c r="Z148" s="3"/>
    </row>
    <row r="149" spans="2:26" ht="18" x14ac:dyDescent="0.35">
      <c r="B149" s="87"/>
      <c r="C149" s="2298" t="s">
        <v>480</v>
      </c>
      <c r="D149" s="106">
        <f t="shared" si="73"/>
        <v>0</v>
      </c>
      <c r="E149" s="106">
        <v>0</v>
      </c>
      <c r="F149" s="3"/>
      <c r="G149" s="3"/>
      <c r="H149" s="3"/>
      <c r="I149" s="3"/>
      <c r="J149" s="3"/>
      <c r="K149" s="3"/>
      <c r="L149" s="3"/>
      <c r="M149" s="3"/>
      <c r="N149" s="3"/>
      <c r="O149" s="3"/>
      <c r="P149" s="3"/>
      <c r="Q149" s="3"/>
      <c r="R149" s="3"/>
      <c r="S149" s="3"/>
      <c r="T149" s="3"/>
      <c r="U149" s="3"/>
      <c r="V149" s="3"/>
      <c r="W149" s="3"/>
      <c r="X149" s="3"/>
      <c r="Y149" s="3"/>
      <c r="Z149" s="3"/>
    </row>
    <row r="150" spans="2:26" ht="18" x14ac:dyDescent="0.35">
      <c r="B150" s="178"/>
      <c r="C150" s="2298" t="s">
        <v>482</v>
      </c>
      <c r="D150" s="106">
        <f t="shared" si="73"/>
        <v>0</v>
      </c>
      <c r="E150" s="106">
        <v>0</v>
      </c>
      <c r="F150" s="3"/>
      <c r="G150" s="3"/>
      <c r="H150" s="3"/>
      <c r="I150" s="3"/>
      <c r="J150" s="3"/>
      <c r="K150" s="3"/>
      <c r="L150" s="3"/>
      <c r="M150" s="3"/>
      <c r="N150" s="3"/>
      <c r="O150" s="3"/>
      <c r="P150" s="3"/>
      <c r="Q150" s="3"/>
      <c r="R150" s="3"/>
      <c r="S150" s="3"/>
      <c r="T150" s="3"/>
      <c r="U150" s="3"/>
      <c r="V150" s="3"/>
      <c r="W150" s="3"/>
      <c r="X150" s="3"/>
      <c r="Y150" s="3"/>
      <c r="Z150" s="3"/>
    </row>
    <row r="151" spans="2:26" ht="15" x14ac:dyDescent="0.25">
      <c r="B151" s="447" t="s">
        <v>483</v>
      </c>
      <c r="C151" s="448"/>
      <c r="D151" s="375">
        <f t="shared" ref="D151:E151" si="74">D152+D156+D160+D164</f>
        <v>9.4288786296707645</v>
      </c>
      <c r="E151" s="375">
        <f t="shared" si="74"/>
        <v>4.6350298746454994</v>
      </c>
      <c r="F151" s="3"/>
      <c r="G151" s="3"/>
      <c r="H151" s="3"/>
      <c r="I151" s="3"/>
      <c r="J151" s="3"/>
      <c r="K151" s="3"/>
      <c r="L151" s="3"/>
      <c r="M151" s="3"/>
      <c r="N151" s="3"/>
      <c r="O151" s="3"/>
      <c r="P151" s="3"/>
      <c r="Q151" s="3"/>
      <c r="R151" s="3"/>
      <c r="S151" s="3"/>
      <c r="T151" s="3"/>
      <c r="U151" s="3"/>
      <c r="V151" s="3"/>
      <c r="W151" s="3"/>
      <c r="X151" s="3"/>
      <c r="Y151" s="3"/>
      <c r="Z151" s="3"/>
    </row>
    <row r="152" spans="2:26" ht="15" x14ac:dyDescent="0.25">
      <c r="B152" s="74"/>
      <c r="C152" s="97" t="s">
        <v>486</v>
      </c>
      <c r="D152" s="53">
        <f t="shared" ref="D152:E152" si="75">SUM(D153:D155)</f>
        <v>1.4390841332772073</v>
      </c>
      <c r="E152" s="53">
        <f t="shared" si="75"/>
        <v>1.4386118354159882</v>
      </c>
      <c r="F152" s="3"/>
      <c r="G152" s="3"/>
      <c r="H152" s="3"/>
      <c r="I152" s="3"/>
      <c r="J152" s="3"/>
      <c r="K152" s="3"/>
      <c r="L152" s="3"/>
      <c r="M152" s="3"/>
      <c r="N152" s="3"/>
      <c r="O152" s="3"/>
      <c r="P152" s="3"/>
      <c r="Q152" s="3"/>
      <c r="R152" s="3"/>
      <c r="S152" s="3"/>
      <c r="T152" s="3"/>
      <c r="U152" s="3"/>
      <c r="V152" s="3"/>
      <c r="W152" s="3"/>
      <c r="X152" s="3"/>
      <c r="Y152" s="3"/>
      <c r="Z152" s="3"/>
    </row>
    <row r="153" spans="2:26" ht="18" x14ac:dyDescent="0.35">
      <c r="B153" s="87"/>
      <c r="C153" s="2298" t="s">
        <v>487</v>
      </c>
      <c r="D153" s="106">
        <f t="shared" ref="D153:D155" si="76">E153/_xlfn.XLOOKUP(C153,C$4:C$7,E$4:E$7,"ERROR")*_xlfn.XLOOKUP(C153,C$4:C$7,D$4:D$7,"ERROR")</f>
        <v>1.4294177546745599</v>
      </c>
      <c r="E153" s="106">
        <f>(Incinerators!AC23*0.9072)/1000000</f>
        <v>1.4294177546745599</v>
      </c>
      <c r="F153" s="3"/>
      <c r="G153" s="3"/>
      <c r="H153" s="3"/>
      <c r="I153" s="3"/>
      <c r="J153" s="3"/>
      <c r="K153" s="3"/>
      <c r="L153" s="3"/>
      <c r="M153" s="3"/>
      <c r="N153" s="3"/>
      <c r="O153" s="3"/>
      <c r="P153" s="3"/>
      <c r="Q153" s="3"/>
      <c r="R153" s="3"/>
      <c r="S153" s="3"/>
      <c r="T153" s="3"/>
      <c r="U153" s="3"/>
      <c r="V153" s="3"/>
      <c r="W153" s="3"/>
      <c r="X153" s="3"/>
      <c r="Y153" s="3"/>
      <c r="Z153" s="3"/>
    </row>
    <row r="154" spans="2:26" ht="18" x14ac:dyDescent="0.35">
      <c r="B154" s="87"/>
      <c r="C154" s="2298" t="s">
        <v>494</v>
      </c>
      <c r="D154" s="106">
        <f t="shared" si="76"/>
        <v>7.1952319570324724E-4</v>
      </c>
      <c r="E154" s="106">
        <f>(Incinerators!AC29*0.9072)/1000000</f>
        <v>2.472253344842438E-4</v>
      </c>
      <c r="F154" s="3"/>
      <c r="G154" s="3"/>
      <c r="H154" s="3"/>
      <c r="I154" s="3"/>
      <c r="J154" s="3"/>
      <c r="K154" s="3"/>
      <c r="L154" s="3"/>
      <c r="M154" s="3"/>
      <c r="N154" s="3"/>
      <c r="O154" s="3"/>
      <c r="P154" s="3"/>
      <c r="Q154" s="3"/>
      <c r="R154" s="3"/>
      <c r="S154" s="3"/>
      <c r="T154" s="3"/>
      <c r="U154" s="3"/>
      <c r="V154" s="3"/>
      <c r="W154" s="3"/>
      <c r="X154" s="3"/>
      <c r="Y154" s="3"/>
      <c r="Z154" s="3"/>
    </row>
    <row r="155" spans="2:26" ht="18" x14ac:dyDescent="0.35">
      <c r="B155" s="87"/>
      <c r="C155" s="2298" t="s">
        <v>501</v>
      </c>
      <c r="D155" s="106">
        <f t="shared" si="76"/>
        <v>8.9468554069439994E-3</v>
      </c>
      <c r="E155" s="106">
        <f>Incinerators!AC35*0.9072/1000000</f>
        <v>8.9468554069439994E-3</v>
      </c>
      <c r="F155" s="3"/>
      <c r="G155" s="3"/>
      <c r="H155" s="3"/>
      <c r="I155" s="3"/>
      <c r="J155" s="3"/>
      <c r="K155" s="3"/>
      <c r="L155" s="3"/>
      <c r="M155" s="3"/>
      <c r="N155" s="3"/>
      <c r="O155" s="3"/>
      <c r="P155" s="3"/>
      <c r="Q155" s="3"/>
      <c r="R155" s="3"/>
      <c r="S155" s="3"/>
      <c r="T155" s="3"/>
      <c r="U155" s="3"/>
      <c r="V155" s="3"/>
      <c r="W155" s="3"/>
      <c r="X155" s="3"/>
      <c r="Y155" s="3"/>
      <c r="Z155" s="3"/>
    </row>
    <row r="156" spans="2:26" ht="15" x14ac:dyDescent="0.25">
      <c r="B156" s="87"/>
      <c r="C156" s="97" t="s">
        <v>502</v>
      </c>
      <c r="D156" s="53">
        <f t="shared" ref="D156:E156" si="77">SUM(D157:D159)</f>
        <v>6.1866000479478425</v>
      </c>
      <c r="E156" s="53">
        <f t="shared" si="77"/>
        <v>2.4507556921559699</v>
      </c>
      <c r="F156" s="3"/>
      <c r="G156" s="3"/>
      <c r="H156" s="3"/>
      <c r="I156" s="3"/>
      <c r="J156" s="3"/>
      <c r="K156" s="3"/>
      <c r="L156" s="3"/>
      <c r="M156" s="3"/>
      <c r="N156" s="3"/>
      <c r="O156" s="3"/>
      <c r="P156" s="3"/>
      <c r="Q156" s="3"/>
      <c r="R156" s="3"/>
      <c r="S156" s="3"/>
      <c r="T156" s="3"/>
      <c r="U156" s="3"/>
      <c r="V156" s="3"/>
      <c r="W156" s="3"/>
      <c r="X156" s="3"/>
      <c r="Y156" s="3"/>
      <c r="Z156" s="3"/>
    </row>
    <row r="157" spans="2:26" ht="18" x14ac:dyDescent="0.35">
      <c r="B157" s="87"/>
      <c r="C157" s="2298" t="s">
        <v>507</v>
      </c>
      <c r="D157" s="106">
        <f t="shared" ref="D157:D159" si="78">E157/_xlfn.XLOOKUP(C157,C$4:C$7,E$4:E$7,"ERROR")*_xlfn.XLOOKUP(C157,C$4:C$7,D$4:D$7,"ERROR")</f>
        <v>0.49521990366453977</v>
      </c>
      <c r="E157" s="106">
        <f>Landfills!U104+Landfills!U108</f>
        <v>0.49521990366453977</v>
      </c>
      <c r="F157" s="3"/>
      <c r="G157" s="3"/>
      <c r="H157" s="3"/>
      <c r="I157" s="3"/>
      <c r="J157" s="3"/>
      <c r="K157" s="3"/>
      <c r="L157" s="3"/>
      <c r="M157" s="3"/>
      <c r="N157" s="3"/>
      <c r="O157" s="3"/>
      <c r="P157" s="3"/>
      <c r="Q157" s="3"/>
      <c r="R157" s="3"/>
      <c r="S157" s="3"/>
      <c r="T157" s="3"/>
      <c r="U157" s="3"/>
      <c r="V157" s="3"/>
      <c r="W157" s="3"/>
      <c r="X157" s="3"/>
      <c r="Y157" s="3"/>
      <c r="Z157" s="3"/>
    </row>
    <row r="158" spans="2:26" ht="18" x14ac:dyDescent="0.35">
      <c r="B158" s="87"/>
      <c r="C158" s="2298" t="s">
        <v>513</v>
      </c>
      <c r="D158" s="106">
        <f t="shared" si="78"/>
        <v>5.6913801442833023</v>
      </c>
      <c r="E158" s="106">
        <f>Landfills!U111</f>
        <v>1.9555357884914302</v>
      </c>
      <c r="F158" s="3"/>
      <c r="G158" s="3"/>
      <c r="H158" s="3"/>
      <c r="I158" s="3"/>
      <c r="J158" s="3"/>
      <c r="K158" s="3"/>
      <c r="L158" s="3"/>
      <c r="M158" s="3"/>
      <c r="N158" s="3"/>
      <c r="O158" s="3"/>
      <c r="P158" s="3"/>
      <c r="Q158" s="3"/>
      <c r="R158" s="3"/>
      <c r="S158" s="3"/>
      <c r="T158" s="3"/>
      <c r="U158" s="3"/>
      <c r="V158" s="3"/>
      <c r="W158" s="3"/>
      <c r="X158" s="3"/>
      <c r="Y158" s="3"/>
      <c r="Z158" s="3"/>
    </row>
    <row r="159" spans="2:26" ht="18" x14ac:dyDescent="0.35">
      <c r="B159" s="87"/>
      <c r="C159" s="2298" t="s">
        <v>516</v>
      </c>
      <c r="D159" s="106">
        <f t="shared" si="78"/>
        <v>0</v>
      </c>
      <c r="E159" s="106">
        <v>0</v>
      </c>
      <c r="F159" s="3"/>
      <c r="G159" s="3"/>
      <c r="H159" s="3"/>
      <c r="I159" s="3"/>
      <c r="J159" s="3"/>
      <c r="K159" s="3"/>
      <c r="L159" s="3"/>
      <c r="M159" s="3"/>
      <c r="N159" s="3"/>
      <c r="O159" s="3"/>
      <c r="P159" s="3"/>
      <c r="Q159" s="3"/>
      <c r="R159" s="3"/>
      <c r="S159" s="3"/>
      <c r="T159" s="3"/>
      <c r="U159" s="3"/>
      <c r="V159" s="3"/>
      <c r="W159" s="3"/>
      <c r="X159" s="3"/>
      <c r="Y159" s="3"/>
      <c r="Z159" s="3"/>
    </row>
    <row r="160" spans="2:26" ht="15" x14ac:dyDescent="0.25">
      <c r="B160" s="87"/>
      <c r="C160" s="97" t="s">
        <v>519</v>
      </c>
      <c r="D160" s="53">
        <f t="shared" ref="D160:E160" si="79">SUM(D161:D163)</f>
        <v>1.7701944484457151</v>
      </c>
      <c r="E160" s="53">
        <f t="shared" si="79"/>
        <v>0.71266234707354126</v>
      </c>
      <c r="F160" s="3"/>
      <c r="G160" s="3"/>
      <c r="H160" s="3"/>
      <c r="I160" s="3"/>
      <c r="J160" s="3"/>
      <c r="K160" s="3"/>
      <c r="L160" s="3"/>
      <c r="M160" s="3"/>
      <c r="N160" s="3"/>
      <c r="O160" s="3"/>
      <c r="P160" s="3"/>
      <c r="Q160" s="3"/>
      <c r="R160" s="3"/>
      <c r="S160" s="3"/>
      <c r="T160" s="3"/>
      <c r="U160" s="3"/>
      <c r="V160" s="3"/>
      <c r="W160" s="3"/>
      <c r="X160" s="3"/>
      <c r="Y160" s="3"/>
      <c r="Z160" s="3"/>
    </row>
    <row r="161" spans="2:26" ht="18" x14ac:dyDescent="0.35">
      <c r="B161" s="87"/>
      <c r="C161" s="2298" t="s">
        <v>522</v>
      </c>
      <c r="D161" s="106">
        <f t="shared" ref="D161:D163" si="80">E161/_xlfn.XLOOKUP(C161,C$4:C$7,E$4:E$7,"ERROR")*_xlfn.XLOOKUP(C161,C$4:C$7,D$4:D$7,"ERROR")</f>
        <v>0</v>
      </c>
      <c r="E161" s="106">
        <v>0</v>
      </c>
      <c r="F161" s="3"/>
      <c r="G161" s="3"/>
      <c r="H161" s="3"/>
      <c r="I161" s="3"/>
      <c r="J161" s="3"/>
      <c r="K161" s="3"/>
      <c r="L161" s="3"/>
      <c r="M161" s="3"/>
      <c r="N161" s="3"/>
      <c r="O161" s="3"/>
      <c r="P161" s="3"/>
      <c r="Q161" s="3"/>
      <c r="R161" s="3"/>
      <c r="S161" s="3"/>
      <c r="T161" s="3"/>
      <c r="U161" s="3"/>
      <c r="V161" s="3"/>
      <c r="W161" s="3"/>
      <c r="X161" s="3"/>
      <c r="Y161" s="3"/>
      <c r="Z161" s="3"/>
    </row>
    <row r="162" spans="2:26" ht="18" x14ac:dyDescent="0.35">
      <c r="B162" s="87"/>
      <c r="C162" s="2298" t="s">
        <v>524</v>
      </c>
      <c r="D162" s="106">
        <f t="shared" si="80"/>
        <v>1.6110995615651127</v>
      </c>
      <c r="E162" s="106">
        <f>Wastewater!C52+Wastewater!C54</f>
        <v>0.5535674601929389</v>
      </c>
      <c r="F162" s="3"/>
      <c r="G162" s="3"/>
      <c r="H162" s="3"/>
      <c r="I162" s="3"/>
      <c r="J162" s="3"/>
      <c r="K162" s="3"/>
      <c r="L162" s="3"/>
      <c r="M162" s="3"/>
      <c r="N162" s="3"/>
      <c r="O162" s="3"/>
      <c r="P162" s="3"/>
      <c r="Q162" s="3"/>
      <c r="R162" s="3"/>
      <c r="S162" s="3"/>
      <c r="T162" s="3"/>
      <c r="U162" s="3"/>
      <c r="V162" s="3"/>
      <c r="W162" s="3"/>
      <c r="X162" s="3"/>
      <c r="Y162" s="3"/>
      <c r="Z162" s="3"/>
    </row>
    <row r="163" spans="2:26" ht="18" x14ac:dyDescent="0.35">
      <c r="B163" s="87"/>
      <c r="C163" s="2298" t="s">
        <v>526</v>
      </c>
      <c r="D163" s="106">
        <f t="shared" si="80"/>
        <v>0.15909488688060236</v>
      </c>
      <c r="E163" s="106">
        <f>Wastewater!C53</f>
        <v>0.15909488688060236</v>
      </c>
      <c r="F163" s="3"/>
      <c r="G163" s="3"/>
      <c r="H163" s="3"/>
      <c r="I163" s="3"/>
      <c r="J163" s="3"/>
      <c r="K163" s="3"/>
      <c r="L163" s="3"/>
      <c r="M163" s="3"/>
      <c r="N163" s="3"/>
      <c r="O163" s="3"/>
      <c r="P163" s="3"/>
      <c r="Q163" s="3"/>
      <c r="R163" s="3"/>
      <c r="S163" s="3"/>
      <c r="T163" s="3"/>
      <c r="U163" s="3"/>
      <c r="V163" s="3"/>
      <c r="W163" s="3"/>
      <c r="X163" s="3"/>
      <c r="Y163" s="3"/>
      <c r="Z163" s="3"/>
    </row>
    <row r="164" spans="2:26" ht="15" x14ac:dyDescent="0.25">
      <c r="B164" s="87"/>
      <c r="C164" s="97" t="s">
        <v>529</v>
      </c>
      <c r="D164" s="53">
        <f t="shared" ref="D164:E164" si="81">SUM(D165:D167)</f>
        <v>3.3000000000000002E-2</v>
      </c>
      <c r="E164" s="53">
        <f t="shared" si="81"/>
        <v>3.3000000000000002E-2</v>
      </c>
      <c r="F164" s="3"/>
      <c r="G164" s="3"/>
      <c r="H164" s="3"/>
      <c r="I164" s="3"/>
      <c r="J164" s="3"/>
      <c r="K164" s="3"/>
      <c r="L164" s="3"/>
      <c r="M164" s="3"/>
      <c r="N164" s="3"/>
      <c r="O164" s="3"/>
      <c r="P164" s="3"/>
      <c r="Q164" s="3"/>
      <c r="R164" s="3"/>
      <c r="S164" s="3"/>
      <c r="T164" s="3"/>
      <c r="U164" s="3"/>
      <c r="V164" s="3"/>
      <c r="W164" s="3"/>
      <c r="X164" s="3"/>
      <c r="Y164" s="3"/>
      <c r="Z164" s="3"/>
    </row>
    <row r="165" spans="2:26" ht="18" x14ac:dyDescent="0.35">
      <c r="B165" s="87"/>
      <c r="C165" s="2298" t="s">
        <v>532</v>
      </c>
      <c r="D165" s="106">
        <f t="shared" ref="D165:D167" si="82">E165/_xlfn.XLOOKUP(C165,C$4:C$7,E$4:E$7,"ERROR")*_xlfn.XLOOKUP(C165,C$4:C$7,D$4:D$7,"ERROR")</f>
        <v>3.3000000000000002E-2</v>
      </c>
      <c r="E165" s="106">
        <f>OpenBurn!D7</f>
        <v>3.3000000000000002E-2</v>
      </c>
      <c r="F165" s="3"/>
      <c r="G165" s="3"/>
      <c r="H165" s="3"/>
      <c r="I165" s="3"/>
      <c r="J165" s="3"/>
      <c r="K165" s="3"/>
      <c r="L165" s="3"/>
      <c r="M165" s="3"/>
      <c r="N165" s="3"/>
      <c r="O165" s="3"/>
      <c r="P165" s="3"/>
      <c r="Q165" s="3"/>
      <c r="R165" s="3"/>
      <c r="S165" s="3"/>
      <c r="T165" s="3"/>
      <c r="U165" s="3"/>
      <c r="V165" s="3"/>
      <c r="W165" s="3"/>
      <c r="X165" s="3"/>
      <c r="Y165" s="3"/>
      <c r="Z165" s="3"/>
    </row>
    <row r="166" spans="2:26" ht="18" x14ac:dyDescent="0.35">
      <c r="B166" s="87"/>
      <c r="C166" s="2298" t="s">
        <v>535</v>
      </c>
      <c r="D166" s="106">
        <f t="shared" si="82"/>
        <v>0</v>
      </c>
      <c r="E166" s="106">
        <v>0</v>
      </c>
      <c r="F166" s="3"/>
      <c r="G166" s="3"/>
      <c r="H166" s="3"/>
      <c r="I166" s="3"/>
      <c r="J166" s="3"/>
      <c r="K166" s="3"/>
      <c r="L166" s="3"/>
      <c r="M166" s="3"/>
      <c r="N166" s="3"/>
      <c r="O166" s="3"/>
      <c r="P166" s="3"/>
      <c r="Q166" s="3"/>
      <c r="R166" s="3"/>
      <c r="S166" s="3"/>
      <c r="T166" s="3"/>
      <c r="U166" s="3"/>
      <c r="V166" s="3"/>
      <c r="W166" s="3"/>
      <c r="X166" s="3"/>
      <c r="Y166" s="3"/>
      <c r="Z166" s="3"/>
    </row>
    <row r="167" spans="2:26" ht="18" x14ac:dyDescent="0.35">
      <c r="B167" s="178"/>
      <c r="C167" s="2298" t="s">
        <v>536</v>
      </c>
      <c r="D167" s="106">
        <f t="shared" si="82"/>
        <v>0</v>
      </c>
      <c r="E167" s="106">
        <v>0</v>
      </c>
      <c r="F167" s="3"/>
      <c r="G167" s="3"/>
      <c r="H167" s="3"/>
      <c r="I167" s="3"/>
      <c r="J167" s="3"/>
      <c r="K167" s="3"/>
      <c r="L167" s="3"/>
      <c r="M167" s="3"/>
      <c r="N167" s="3"/>
      <c r="O167" s="3"/>
      <c r="P167" s="3"/>
      <c r="Q167" s="3"/>
      <c r="R167" s="3"/>
      <c r="S167" s="3"/>
      <c r="T167" s="3"/>
      <c r="U167" s="3"/>
      <c r="V167" s="3"/>
      <c r="W167" s="3"/>
      <c r="X167" s="3"/>
      <c r="Y167" s="3"/>
      <c r="Z167" s="3"/>
    </row>
    <row r="168" spans="2:26" ht="15" x14ac:dyDescent="0.25">
      <c r="B168" s="2299" t="s">
        <v>539</v>
      </c>
      <c r="C168" s="2300"/>
      <c r="D168" s="69">
        <f t="shared" ref="D168:E168" si="83">D151+D130+D93+D80+D47+D30+D11</f>
        <v>113.7032399956357</v>
      </c>
      <c r="E168" s="69">
        <f t="shared" si="83"/>
        <v>102.02937207522547</v>
      </c>
      <c r="F168" s="3"/>
      <c r="G168" s="3"/>
      <c r="H168" s="3"/>
      <c r="I168" s="3"/>
      <c r="J168" s="3"/>
      <c r="K168" s="3"/>
      <c r="L168" s="3"/>
      <c r="M168" s="3"/>
      <c r="N168" s="3"/>
      <c r="O168" s="3"/>
      <c r="P168" s="3"/>
      <c r="Q168" s="3"/>
      <c r="R168" s="3"/>
      <c r="S168" s="3"/>
      <c r="T168" s="3"/>
      <c r="U168" s="3"/>
      <c r="V168" s="3"/>
      <c r="W168" s="3"/>
      <c r="X168" s="3"/>
      <c r="Y168" s="3"/>
      <c r="Z168" s="3"/>
    </row>
    <row r="169" spans="2:26" ht="15" x14ac:dyDescent="0.25">
      <c r="B169" s="490"/>
      <c r="C169" s="492"/>
      <c r="D169" s="494"/>
      <c r="E169" s="496"/>
      <c r="F169" s="3"/>
      <c r="G169" s="3"/>
      <c r="H169" s="3"/>
      <c r="I169" s="3"/>
      <c r="J169" s="3"/>
      <c r="K169" s="3"/>
      <c r="L169" s="3"/>
      <c r="M169" s="3"/>
      <c r="N169" s="3"/>
      <c r="O169" s="3"/>
      <c r="P169" s="3"/>
      <c r="Q169" s="3"/>
      <c r="R169" s="3"/>
      <c r="S169" s="3"/>
      <c r="T169" s="3"/>
      <c r="U169" s="3"/>
      <c r="V169" s="3"/>
      <c r="W169" s="3"/>
      <c r="X169" s="3"/>
      <c r="Y169" s="3"/>
      <c r="Z169" s="3"/>
    </row>
    <row r="170" spans="2:26" ht="15" x14ac:dyDescent="0.25">
      <c r="B170" s="2299" t="s">
        <v>544</v>
      </c>
      <c r="C170" s="2300"/>
      <c r="D170" s="69">
        <f t="shared" ref="D170:E170" si="84">D171+D172+D173+D175+D178+D179</f>
        <v>-8.3234106592039598</v>
      </c>
      <c r="E170" s="69">
        <f t="shared" si="84"/>
        <v>-8.9806847020010938</v>
      </c>
      <c r="F170" s="3"/>
      <c r="G170" s="3"/>
      <c r="H170" s="3"/>
      <c r="I170" s="3"/>
      <c r="J170" s="3"/>
      <c r="K170" s="3"/>
      <c r="L170" s="3"/>
      <c r="M170" s="3"/>
      <c r="N170" s="3"/>
      <c r="O170" s="3"/>
      <c r="P170" s="3"/>
      <c r="Q170" s="3"/>
      <c r="R170" s="3"/>
      <c r="S170" s="3"/>
      <c r="T170" s="3"/>
      <c r="U170" s="3"/>
      <c r="V170" s="3"/>
      <c r="W170" s="3"/>
      <c r="X170" s="3"/>
      <c r="Y170" s="3"/>
      <c r="Z170" s="3"/>
    </row>
    <row r="171" spans="2:26" ht="15" x14ac:dyDescent="0.25">
      <c r="B171" s="74"/>
      <c r="C171" s="76" t="s">
        <v>545</v>
      </c>
      <c r="D171" s="106">
        <f t="shared" ref="D171:D172" si="85">E171</f>
        <v>-7.2975578050420156</v>
      </c>
      <c r="E171" s="106">
        <f>Land_Use!C266</f>
        <v>-7.2975578050420156</v>
      </c>
      <c r="F171" s="3"/>
      <c r="G171" s="3"/>
      <c r="H171" s="3"/>
      <c r="I171" s="3"/>
      <c r="J171" s="3"/>
      <c r="K171" s="3"/>
      <c r="L171" s="3"/>
      <c r="M171" s="3"/>
      <c r="N171" s="3"/>
      <c r="O171" s="3"/>
      <c r="P171" s="3"/>
      <c r="Q171" s="3"/>
      <c r="R171" s="3"/>
      <c r="S171" s="3"/>
      <c r="T171" s="3"/>
      <c r="U171" s="3"/>
      <c r="V171" s="3"/>
      <c r="W171" s="3"/>
      <c r="X171" s="3"/>
      <c r="Y171" s="3"/>
      <c r="Z171" s="3"/>
    </row>
    <row r="172" spans="2:26" ht="15" x14ac:dyDescent="0.25">
      <c r="B172" s="87"/>
      <c r="C172" s="76" t="s">
        <v>546</v>
      </c>
      <c r="D172" s="106">
        <f t="shared" si="85"/>
        <v>-0.93822819744427544</v>
      </c>
      <c r="E172" s="106">
        <f>Land_Use!C273</f>
        <v>-0.93822819744427544</v>
      </c>
      <c r="F172" s="3"/>
      <c r="G172" s="3"/>
      <c r="H172" s="3"/>
      <c r="I172" s="3"/>
      <c r="J172" s="3"/>
      <c r="K172" s="3"/>
      <c r="L172" s="3"/>
      <c r="M172" s="3"/>
      <c r="N172" s="3"/>
      <c r="O172" s="3"/>
      <c r="P172" s="3"/>
      <c r="Q172" s="3"/>
      <c r="R172" s="3"/>
      <c r="S172" s="3"/>
      <c r="T172" s="3"/>
      <c r="U172" s="3"/>
      <c r="V172" s="3"/>
      <c r="W172" s="3"/>
      <c r="X172" s="3"/>
      <c r="Y172" s="3"/>
      <c r="Z172" s="3"/>
    </row>
    <row r="173" spans="2:26" ht="15" x14ac:dyDescent="0.25">
      <c r="B173" s="87"/>
      <c r="C173" s="76" t="s">
        <v>548</v>
      </c>
      <c r="D173" s="53">
        <f t="shared" ref="D173:E173" si="86">D174</f>
        <v>1.7129969999999998E-2</v>
      </c>
      <c r="E173" s="53">
        <f t="shared" si="86"/>
        <v>1.7129969999999998E-2</v>
      </c>
      <c r="F173" s="3"/>
      <c r="G173" s="3"/>
      <c r="H173" s="3"/>
      <c r="I173" s="3"/>
      <c r="J173" s="3"/>
      <c r="K173" s="3"/>
      <c r="L173" s="3"/>
      <c r="M173" s="3"/>
      <c r="N173" s="3"/>
      <c r="O173" s="3"/>
      <c r="P173" s="3"/>
      <c r="Q173" s="3"/>
      <c r="R173" s="3"/>
      <c r="S173" s="3"/>
      <c r="T173" s="3"/>
      <c r="U173" s="3"/>
      <c r="V173" s="3"/>
      <c r="W173" s="3"/>
      <c r="X173" s="3"/>
      <c r="Y173" s="3"/>
      <c r="Z173" s="3"/>
    </row>
    <row r="174" spans="2:26" ht="18" x14ac:dyDescent="0.35">
      <c r="B174" s="87"/>
      <c r="C174" s="2298" t="s">
        <v>549</v>
      </c>
      <c r="D174" s="106">
        <f t="array" ref="D174">E174/_xlfn.XLOOKUP(C174,C$4:C$7,E$4:E$7,"ERROR")*_xlfn.XLOOKUP(C174,C$4:C$7,D$4:D$7,"ERROR")</f>
        <v>1.7129969999999998E-2</v>
      </c>
      <c r="E174" s="106">
        <f>Land_Use!C277</f>
        <v>1.7129969999999998E-2</v>
      </c>
      <c r="F174" s="3"/>
      <c r="G174" s="3"/>
      <c r="H174" s="3"/>
      <c r="I174" s="3"/>
      <c r="J174" s="3"/>
      <c r="K174" s="3"/>
      <c r="L174" s="3"/>
      <c r="M174" s="3"/>
      <c r="N174" s="3"/>
      <c r="O174" s="3"/>
      <c r="P174" s="3"/>
      <c r="Q174" s="3"/>
      <c r="R174" s="3"/>
      <c r="S174" s="3"/>
      <c r="T174" s="3"/>
      <c r="U174" s="3"/>
      <c r="V174" s="3"/>
      <c r="W174" s="3"/>
      <c r="X174" s="3"/>
      <c r="Y174" s="3"/>
      <c r="Z174" s="3"/>
    </row>
    <row r="175" spans="2:26" ht="15" x14ac:dyDescent="0.25">
      <c r="B175" s="87"/>
      <c r="C175" s="76" t="s">
        <v>554</v>
      </c>
      <c r="D175" s="53">
        <f t="shared" ref="D175:E175" si="87">D176+D177</f>
        <v>0.15963569291799362</v>
      </c>
      <c r="E175" s="53">
        <f t="shared" si="87"/>
        <v>6.4279439141875214E-2</v>
      </c>
      <c r="F175" s="3"/>
      <c r="G175" s="3"/>
      <c r="H175" s="3"/>
      <c r="I175" s="3"/>
      <c r="J175" s="3"/>
      <c r="K175" s="3"/>
      <c r="L175" s="3"/>
      <c r="M175" s="3"/>
      <c r="N175" s="3"/>
      <c r="O175" s="3"/>
      <c r="P175" s="3"/>
      <c r="Q175" s="3"/>
      <c r="R175" s="3"/>
      <c r="S175" s="3"/>
      <c r="T175" s="3"/>
      <c r="U175" s="3"/>
      <c r="V175" s="3"/>
      <c r="W175" s="3"/>
      <c r="X175" s="3"/>
      <c r="Y175" s="3"/>
      <c r="Z175" s="3"/>
    </row>
    <row r="176" spans="2:26" ht="18" x14ac:dyDescent="0.35">
      <c r="B176" s="87"/>
      <c r="C176" s="2298" t="s">
        <v>555</v>
      </c>
      <c r="D176" s="106">
        <f t="shared" ref="D176:D177" si="88">E176/_xlfn.XLOOKUP(C176,C$4:C$7,E$4:E$7,"ERROR")*_xlfn.XLOOKUP(C176,C$4:C$7,D$4:D$7,"ERROR")</f>
        <v>0.14527069055573763</v>
      </c>
      <c r="E176" s="106">
        <f>Land_Use!C279</f>
        <v>4.9914436779619209E-2</v>
      </c>
      <c r="F176" s="3"/>
      <c r="G176" s="3"/>
      <c r="H176" s="3"/>
      <c r="I176" s="3"/>
      <c r="J176" s="3"/>
      <c r="K176" s="3"/>
      <c r="L176" s="3"/>
      <c r="M176" s="3"/>
      <c r="N176" s="3"/>
      <c r="O176" s="3"/>
      <c r="P176" s="3"/>
      <c r="Q176" s="3"/>
      <c r="R176" s="3"/>
      <c r="S176" s="3"/>
      <c r="T176" s="3"/>
      <c r="U176" s="3"/>
      <c r="V176" s="3"/>
      <c r="W176" s="3"/>
      <c r="X176" s="3"/>
      <c r="Y176" s="3"/>
      <c r="Z176" s="3"/>
    </row>
    <row r="177" spans="2:26" ht="18" x14ac:dyDescent="0.35">
      <c r="B177" s="87"/>
      <c r="C177" s="2298" t="s">
        <v>558</v>
      </c>
      <c r="D177" s="106">
        <f t="shared" si="88"/>
        <v>1.4365002362256001E-2</v>
      </c>
      <c r="E177" s="106">
        <f>Land_Use!C280</f>
        <v>1.4365002362256001E-2</v>
      </c>
      <c r="F177" s="3"/>
      <c r="G177" s="3"/>
      <c r="H177" s="3"/>
      <c r="I177" s="3"/>
      <c r="J177" s="3"/>
      <c r="K177" s="3"/>
      <c r="L177" s="3"/>
      <c r="M177" s="3"/>
      <c r="N177" s="3"/>
      <c r="O177" s="3"/>
      <c r="P177" s="3"/>
      <c r="Q177" s="3"/>
      <c r="R177" s="3"/>
      <c r="S177" s="3"/>
      <c r="T177" s="3"/>
      <c r="U177" s="3"/>
      <c r="V177" s="3"/>
      <c r="W177" s="3"/>
      <c r="X177" s="3"/>
      <c r="Y177" s="3"/>
      <c r="Z177" s="3"/>
    </row>
    <row r="178" spans="2:26" ht="15" x14ac:dyDescent="0.25">
      <c r="B178" s="87"/>
      <c r="C178" s="76" t="s">
        <v>562</v>
      </c>
      <c r="D178" s="106">
        <f>E178</f>
        <v>-0.58079230100000001</v>
      </c>
      <c r="E178" s="106">
        <f>Land_Use!C281</f>
        <v>-0.58079230100000001</v>
      </c>
      <c r="F178" s="3"/>
      <c r="G178" s="3"/>
      <c r="H178" s="3"/>
      <c r="I178" s="3"/>
      <c r="J178" s="3"/>
      <c r="K178" s="3"/>
      <c r="L178" s="3"/>
      <c r="M178" s="3"/>
      <c r="N178" s="3"/>
      <c r="O178" s="3"/>
      <c r="P178" s="3"/>
      <c r="Q178" s="3"/>
      <c r="R178" s="3"/>
      <c r="S178" s="3"/>
      <c r="T178" s="3"/>
      <c r="U178" s="3"/>
      <c r="V178" s="3"/>
      <c r="W178" s="3"/>
      <c r="X178" s="3"/>
      <c r="Y178" s="3"/>
      <c r="Z178" s="3"/>
    </row>
    <row r="179" spans="2:26" ht="15" x14ac:dyDescent="0.25">
      <c r="B179" s="87"/>
      <c r="C179" s="76" t="s">
        <v>564</v>
      </c>
      <c r="D179" s="53">
        <f t="shared" ref="D179:E179" si="89">D180+D181</f>
        <v>0.31640198136434006</v>
      </c>
      <c r="E179" s="53">
        <f t="shared" si="89"/>
        <v>-0.24551580765667758</v>
      </c>
      <c r="F179" s="3"/>
      <c r="G179" s="3"/>
      <c r="H179" s="3"/>
      <c r="I179" s="3"/>
      <c r="J179" s="3"/>
      <c r="K179" s="3"/>
      <c r="L179" s="3"/>
      <c r="M179" s="3"/>
      <c r="N179" s="3"/>
      <c r="O179" s="3"/>
      <c r="P179" s="3"/>
      <c r="Q179" s="3"/>
      <c r="R179" s="3"/>
      <c r="S179" s="3"/>
      <c r="T179" s="3"/>
      <c r="U179" s="3"/>
      <c r="V179" s="3"/>
      <c r="W179" s="3"/>
      <c r="X179" s="3"/>
      <c r="Y179" s="3"/>
      <c r="Z179" s="3"/>
    </row>
    <row r="180" spans="2:26" ht="18" x14ac:dyDescent="0.35">
      <c r="B180" s="87"/>
      <c r="C180" s="2298" t="s">
        <v>565</v>
      </c>
      <c r="D180" s="106">
        <f t="shared" ref="D180:D181" si="90">E180/_xlfn.XLOOKUP(C180,C$4:C$7,E$4:E$7,"ERROR")*_xlfn.XLOOKUP(C180,C$4:C$7,D$4:D$7,"ERROR")</f>
        <v>-0.53965288671270739</v>
      </c>
      <c r="E180" s="106">
        <f>Land_Use!C283</f>
        <v>-0.53965288671270739</v>
      </c>
      <c r="F180" s="3"/>
      <c r="G180" s="3"/>
      <c r="H180" s="3"/>
      <c r="I180" s="3"/>
      <c r="J180" s="3"/>
      <c r="K180" s="3"/>
      <c r="L180" s="3"/>
      <c r="M180" s="3"/>
      <c r="N180" s="3"/>
      <c r="O180" s="3"/>
      <c r="P180" s="3"/>
      <c r="Q180" s="3"/>
      <c r="R180" s="3"/>
      <c r="S180" s="3"/>
      <c r="T180" s="3"/>
      <c r="U180" s="3"/>
      <c r="V180" s="3"/>
      <c r="W180" s="3"/>
      <c r="X180" s="3"/>
      <c r="Y180" s="3"/>
      <c r="Z180" s="3"/>
    </row>
    <row r="181" spans="2:26" ht="18" x14ac:dyDescent="0.35">
      <c r="B181" s="178"/>
      <c r="C181" s="2298" t="s">
        <v>568</v>
      </c>
      <c r="D181" s="106">
        <f t="shared" si="90"/>
        <v>0.85605486807704745</v>
      </c>
      <c r="E181" s="106">
        <f>Land_Use!C284</f>
        <v>0.29413707905602982</v>
      </c>
      <c r="F181" s="3"/>
      <c r="G181" s="3"/>
      <c r="H181" s="3"/>
      <c r="I181" s="3"/>
      <c r="J181" s="3"/>
      <c r="K181" s="3"/>
      <c r="L181" s="3"/>
      <c r="M181" s="3"/>
      <c r="N181" s="3"/>
      <c r="O181" s="3"/>
      <c r="P181" s="3"/>
      <c r="Q181" s="3"/>
      <c r="R181" s="3"/>
      <c r="S181" s="3"/>
      <c r="T181" s="3"/>
      <c r="U181" s="3"/>
      <c r="V181" s="3"/>
      <c r="W181" s="3"/>
      <c r="X181" s="3"/>
      <c r="Y181" s="3"/>
      <c r="Z181" s="3"/>
    </row>
    <row r="182" spans="2:26" ht="15" x14ac:dyDescent="0.25">
      <c r="B182" s="2301" t="s">
        <v>569</v>
      </c>
      <c r="C182" s="2302"/>
      <c r="D182" s="69">
        <f t="shared" ref="D182:E182" si="91">D168+D170</f>
        <v>105.37982933643174</v>
      </c>
      <c r="E182" s="69">
        <f t="shared" si="91"/>
        <v>93.048687373224368</v>
      </c>
      <c r="F182" s="3"/>
      <c r="G182" s="3"/>
      <c r="H182" s="3"/>
      <c r="I182" s="3"/>
      <c r="J182" s="3"/>
      <c r="K182" s="3"/>
      <c r="L182" s="3"/>
      <c r="M182" s="3"/>
      <c r="N182" s="3"/>
      <c r="O182" s="3"/>
      <c r="P182" s="3"/>
      <c r="Q182" s="3"/>
      <c r="R182" s="3"/>
      <c r="S182" s="3"/>
      <c r="T182" s="3"/>
      <c r="U182" s="3"/>
      <c r="V182" s="3"/>
      <c r="W182" s="3"/>
      <c r="X182" s="3"/>
      <c r="Y182" s="3"/>
      <c r="Z182" s="3"/>
    </row>
    <row r="183" spans="2:26" ht="15" x14ac:dyDescent="0.25">
      <c r="B183" s="560"/>
      <c r="C183" s="566"/>
      <c r="D183" s="569"/>
      <c r="E183" s="569"/>
      <c r="F183" s="3"/>
      <c r="G183" s="3"/>
      <c r="H183" s="3"/>
      <c r="I183" s="3"/>
      <c r="J183" s="3"/>
      <c r="K183" s="3"/>
      <c r="L183" s="3"/>
      <c r="M183" s="3"/>
      <c r="N183" s="3"/>
      <c r="O183" s="3"/>
      <c r="P183" s="3"/>
      <c r="Q183" s="3"/>
      <c r="R183" s="3"/>
      <c r="S183" s="3"/>
      <c r="T183" s="3"/>
      <c r="U183" s="3"/>
      <c r="V183" s="3"/>
      <c r="W183" s="3"/>
      <c r="X183" s="3"/>
      <c r="Y183" s="3"/>
      <c r="Z183" s="3"/>
    </row>
    <row r="184" spans="2:26" ht="15" x14ac:dyDescent="0.25">
      <c r="B184" s="3"/>
      <c r="C184" s="3"/>
      <c r="D184" s="571"/>
      <c r="E184" s="572"/>
      <c r="F184" s="3"/>
      <c r="G184" s="3"/>
      <c r="H184" s="3"/>
      <c r="I184" s="3"/>
      <c r="J184" s="3"/>
      <c r="K184" s="3"/>
      <c r="L184" s="3"/>
      <c r="M184" s="3"/>
      <c r="N184" s="3"/>
      <c r="O184" s="3"/>
      <c r="P184" s="3"/>
      <c r="Q184" s="3"/>
      <c r="R184" s="3"/>
      <c r="S184" s="3"/>
      <c r="T184" s="3"/>
      <c r="U184" s="3"/>
      <c r="V184" s="3"/>
      <c r="W184" s="3"/>
      <c r="X184" s="3"/>
      <c r="Y184" s="3"/>
      <c r="Z184" s="3"/>
    </row>
    <row r="185" spans="2:26" ht="15" x14ac:dyDescent="0.25">
      <c r="B185" s="3"/>
      <c r="C185" s="3"/>
      <c r="D185" s="573"/>
      <c r="E185" s="572"/>
      <c r="F185" s="3"/>
      <c r="G185" s="3"/>
      <c r="H185" s="3"/>
      <c r="I185" s="3"/>
      <c r="J185" s="3"/>
      <c r="K185" s="3"/>
      <c r="L185" s="3"/>
      <c r="M185" s="3"/>
      <c r="N185" s="3"/>
      <c r="O185" s="3"/>
      <c r="P185" s="3"/>
      <c r="Q185" s="3"/>
      <c r="R185" s="3"/>
      <c r="S185" s="3"/>
      <c r="T185" s="3"/>
      <c r="U185" s="3"/>
      <c r="V185" s="3"/>
      <c r="W185" s="3"/>
      <c r="X185" s="3"/>
      <c r="Y185" s="3"/>
      <c r="Z185" s="3"/>
    </row>
    <row r="186" spans="2:26" ht="15" x14ac:dyDescent="0.25">
      <c r="B186" s="3"/>
      <c r="C186" s="574"/>
      <c r="D186" s="576" t="s">
        <v>573</v>
      </c>
      <c r="E186" s="577" t="s">
        <v>574</v>
      </c>
      <c r="F186" s="3"/>
      <c r="G186" s="3"/>
      <c r="H186" s="3"/>
      <c r="I186" s="3"/>
      <c r="J186" s="3"/>
      <c r="K186" s="3"/>
      <c r="L186" s="3"/>
      <c r="M186" s="3"/>
      <c r="N186" s="3"/>
      <c r="O186" s="3"/>
      <c r="P186" s="3"/>
      <c r="Q186" s="3"/>
      <c r="R186" s="3"/>
      <c r="S186" s="3"/>
      <c r="T186" s="3"/>
      <c r="U186" s="3"/>
      <c r="V186" s="3"/>
      <c r="W186" s="3"/>
      <c r="X186" s="3"/>
      <c r="Y186" s="3"/>
      <c r="Z186" s="3"/>
    </row>
    <row r="187" spans="2:26" ht="15" x14ac:dyDescent="0.25">
      <c r="B187" s="3"/>
      <c r="C187" s="578" t="s">
        <v>58</v>
      </c>
      <c r="D187" s="579">
        <f t="shared" ref="D187:E187" si="92">D11</f>
        <v>37.878480799272836</v>
      </c>
      <c r="E187" s="580">
        <f t="shared" si="92"/>
        <v>37.853674777544299</v>
      </c>
      <c r="F187" s="3"/>
      <c r="G187" s="3"/>
      <c r="H187" s="3"/>
      <c r="I187" s="3"/>
      <c r="J187" s="3"/>
      <c r="K187" s="3"/>
      <c r="L187" s="3"/>
      <c r="M187" s="3"/>
      <c r="N187" s="3"/>
      <c r="O187" s="3"/>
      <c r="P187" s="3"/>
      <c r="Q187" s="3"/>
      <c r="R187" s="3"/>
      <c r="S187" s="3"/>
      <c r="T187" s="3"/>
      <c r="U187" s="3"/>
      <c r="V187" s="3"/>
      <c r="W187" s="3"/>
      <c r="X187" s="3"/>
      <c r="Y187" s="3"/>
      <c r="Z187" s="3"/>
    </row>
    <row r="188" spans="2:26" ht="15" x14ac:dyDescent="0.25">
      <c r="B188" s="3"/>
      <c r="C188" s="578" t="s">
        <v>579</v>
      </c>
      <c r="D188" s="579">
        <f t="shared" ref="D188:E188" si="93">D30</f>
        <v>15.360409353431407</v>
      </c>
      <c r="E188" s="580">
        <f t="shared" si="93"/>
        <v>15.084988088347371</v>
      </c>
      <c r="F188" s="3"/>
      <c r="G188" s="3"/>
      <c r="H188" s="3"/>
      <c r="I188" s="3"/>
      <c r="J188" s="3"/>
      <c r="K188" s="3"/>
      <c r="L188" s="3"/>
      <c r="M188" s="3"/>
      <c r="N188" s="3"/>
      <c r="O188" s="3"/>
      <c r="P188" s="3"/>
      <c r="Q188" s="3"/>
      <c r="R188" s="3"/>
      <c r="S188" s="3"/>
      <c r="T188" s="3"/>
      <c r="U188" s="3"/>
      <c r="V188" s="3"/>
      <c r="W188" s="3"/>
      <c r="X188" s="3"/>
      <c r="Y188" s="3"/>
      <c r="Z188" s="3"/>
    </row>
    <row r="189" spans="2:26" ht="15" x14ac:dyDescent="0.25">
      <c r="B189" s="3"/>
      <c r="C189" s="578" t="s">
        <v>582</v>
      </c>
      <c r="D189" s="579">
        <f t="shared" ref="D189:E189" si="94">D48+D56</f>
        <v>28.265433354157334</v>
      </c>
      <c r="E189" s="580">
        <f t="shared" si="94"/>
        <v>28.249069439623398</v>
      </c>
      <c r="F189" s="3"/>
      <c r="G189" s="3"/>
      <c r="H189" s="3"/>
      <c r="I189" s="3"/>
      <c r="J189" s="3"/>
      <c r="K189" s="3"/>
      <c r="L189" s="3"/>
      <c r="M189" s="3"/>
      <c r="N189" s="3"/>
      <c r="O189" s="3"/>
      <c r="P189" s="3"/>
      <c r="Q189" s="3"/>
      <c r="R189" s="3"/>
      <c r="S189" s="3"/>
      <c r="T189" s="3"/>
      <c r="U189" s="3"/>
      <c r="V189" s="3"/>
      <c r="W189" s="3"/>
      <c r="X189" s="3"/>
      <c r="Y189" s="3"/>
      <c r="Z189" s="3"/>
    </row>
    <row r="190" spans="2:26" ht="15" x14ac:dyDescent="0.25">
      <c r="C190" s="578" t="s">
        <v>586</v>
      </c>
      <c r="D190" s="579">
        <f t="shared" ref="D190:E190" si="95">D52+D60+D64+D68+D72+D76</f>
        <v>8.3669644077235024</v>
      </c>
      <c r="E190" s="580">
        <f t="shared" si="95"/>
        <v>8.3427059528844474</v>
      </c>
      <c r="F190" s="3"/>
      <c r="G190" s="3"/>
      <c r="H190" s="3"/>
      <c r="I190" s="3"/>
      <c r="J190" s="3"/>
      <c r="K190" s="3"/>
      <c r="L190" s="3"/>
      <c r="M190" s="3"/>
      <c r="N190" s="3"/>
      <c r="O190" s="3"/>
      <c r="P190" s="3"/>
      <c r="Q190" s="3"/>
      <c r="R190" s="3"/>
      <c r="S190" s="3"/>
      <c r="T190" s="3"/>
      <c r="U190" s="3"/>
      <c r="V190" s="3"/>
      <c r="W190" s="3"/>
      <c r="X190" s="3"/>
      <c r="Y190" s="3"/>
      <c r="Z190" s="3"/>
    </row>
    <row r="191" spans="2:26" ht="15" x14ac:dyDescent="0.25">
      <c r="C191" s="578" t="str">
        <f>B80</f>
        <v>Fossil Fuel Industry</v>
      </c>
      <c r="D191" s="579">
        <f t="shared" ref="D191:E191" si="96">D80</f>
        <v>3.5278651034432444</v>
      </c>
      <c r="E191" s="580">
        <f t="shared" si="96"/>
        <v>1.4070749186369684</v>
      </c>
      <c r="F191" s="3"/>
      <c r="G191" s="3"/>
      <c r="H191" s="3"/>
      <c r="I191" s="3"/>
      <c r="J191" s="3"/>
      <c r="K191" s="3"/>
      <c r="L191" s="3"/>
      <c r="M191" s="3"/>
      <c r="N191" s="3"/>
      <c r="O191" s="3"/>
      <c r="P191" s="3"/>
      <c r="Q191" s="3"/>
      <c r="R191" s="3"/>
      <c r="S191" s="3"/>
      <c r="T191" s="3"/>
      <c r="U191" s="3"/>
      <c r="V191" s="3"/>
      <c r="W191" s="3"/>
      <c r="X191" s="3"/>
      <c r="Y191" s="3"/>
      <c r="Z191" s="3"/>
    </row>
    <row r="192" spans="2:26" ht="15" x14ac:dyDescent="0.25">
      <c r="C192" s="578" t="str">
        <f>B93</f>
        <v>Industrial Processes and Product Use</v>
      </c>
      <c r="D192" s="579">
        <f t="shared" ref="D192:E192" si="97">D93</f>
        <v>7.90280984847164</v>
      </c>
      <c r="E192" s="580">
        <f t="shared" si="97"/>
        <v>4.6771566921314509</v>
      </c>
      <c r="F192" s="3"/>
      <c r="G192" s="3"/>
      <c r="H192" s="3"/>
      <c r="I192" s="3"/>
      <c r="J192" s="3"/>
      <c r="K192" s="3"/>
      <c r="L192" s="3"/>
      <c r="M192" s="3"/>
      <c r="N192" s="3"/>
      <c r="O192" s="3"/>
      <c r="P192" s="3"/>
      <c r="Q192" s="3"/>
      <c r="R192" s="3"/>
      <c r="S192" s="3"/>
      <c r="T192" s="3"/>
      <c r="U192" s="3"/>
      <c r="V192" s="3"/>
      <c r="W192" s="3"/>
      <c r="X192" s="3"/>
      <c r="Y192" s="3"/>
      <c r="Z192" s="3"/>
    </row>
    <row r="193" spans="2:26" ht="15" x14ac:dyDescent="0.25">
      <c r="C193" s="578" t="str">
        <f>B130</f>
        <v>Agriculture</v>
      </c>
      <c r="D193" s="579">
        <f t="shared" ref="D193:E193" si="98">D130</f>
        <v>2.9723984994649673</v>
      </c>
      <c r="E193" s="580">
        <f t="shared" si="98"/>
        <v>1.7796723314120297</v>
      </c>
      <c r="F193" s="3"/>
      <c r="G193" s="3"/>
      <c r="H193" s="3"/>
      <c r="I193" s="3"/>
      <c r="J193" s="3"/>
      <c r="K193" s="3"/>
      <c r="L193" s="3"/>
      <c r="M193" s="3"/>
      <c r="N193" s="3"/>
      <c r="O193" s="3"/>
      <c r="P193" s="3"/>
      <c r="Q193" s="3"/>
      <c r="R193" s="3"/>
      <c r="S193" s="3"/>
      <c r="T193" s="3"/>
      <c r="U193" s="3"/>
      <c r="V193" s="3"/>
      <c r="W193" s="3"/>
      <c r="X193" s="3"/>
      <c r="Y193" s="3"/>
      <c r="Z193" s="3"/>
    </row>
    <row r="194" spans="2:26" ht="15" x14ac:dyDescent="0.25">
      <c r="C194" s="578" t="str">
        <f>B151</f>
        <v>Waste Management</v>
      </c>
      <c r="D194" s="579">
        <f t="shared" ref="D194:E194" si="99">D151</f>
        <v>9.4288786296707645</v>
      </c>
      <c r="E194" s="580">
        <f t="shared" si="99"/>
        <v>4.6350298746454994</v>
      </c>
      <c r="F194" s="3"/>
      <c r="G194" s="3"/>
      <c r="H194" s="3"/>
      <c r="I194" s="3"/>
      <c r="J194" s="3"/>
      <c r="K194" s="3"/>
      <c r="L194" s="3"/>
      <c r="M194" s="3"/>
      <c r="N194" s="3"/>
      <c r="O194" s="3"/>
      <c r="P194" s="3"/>
      <c r="Q194" s="3"/>
      <c r="R194" s="3"/>
      <c r="S194" s="3"/>
      <c r="T194" s="3"/>
      <c r="U194" s="3"/>
      <c r="V194" s="3"/>
      <c r="W194" s="3"/>
      <c r="X194" s="3"/>
      <c r="Y194" s="3"/>
      <c r="Z194" s="3"/>
    </row>
    <row r="195" spans="2:26" ht="15" x14ac:dyDescent="0.25">
      <c r="C195" s="593"/>
      <c r="D195" s="598">
        <f t="shared" ref="D195:E195" si="100">SUM(D187:D194)</f>
        <v>113.7032399956357</v>
      </c>
      <c r="E195" s="600">
        <f t="shared" si="100"/>
        <v>102.02937207522545</v>
      </c>
      <c r="F195" s="3"/>
      <c r="G195" s="3"/>
      <c r="H195" s="3"/>
      <c r="I195" s="3"/>
      <c r="J195" s="3"/>
      <c r="K195" s="3"/>
      <c r="L195" s="3"/>
      <c r="M195" s="3"/>
      <c r="N195" s="3"/>
      <c r="O195" s="3"/>
      <c r="P195" s="3"/>
      <c r="Q195" s="3"/>
      <c r="R195" s="3"/>
      <c r="S195" s="3"/>
      <c r="T195" s="3"/>
      <c r="U195" s="3"/>
      <c r="V195" s="3"/>
      <c r="W195" s="3"/>
      <c r="X195" s="3"/>
      <c r="Y195" s="3"/>
      <c r="Z195" s="3"/>
    </row>
    <row r="196" spans="2:26" ht="15" x14ac:dyDescent="0.25">
      <c r="B196" s="3"/>
      <c r="C196" s="3"/>
      <c r="E196" s="602"/>
      <c r="F196" s="3"/>
      <c r="G196" s="3"/>
      <c r="H196" s="3"/>
      <c r="I196" s="3"/>
      <c r="J196" s="3"/>
      <c r="K196" s="3"/>
      <c r="L196" s="3"/>
      <c r="M196" s="3"/>
      <c r="N196" s="3"/>
      <c r="O196" s="3"/>
      <c r="P196" s="3"/>
      <c r="Q196" s="3"/>
      <c r="R196" s="3"/>
      <c r="S196" s="3"/>
      <c r="T196" s="3"/>
      <c r="U196" s="3"/>
      <c r="V196" s="3"/>
      <c r="W196" s="3"/>
      <c r="X196" s="3"/>
      <c r="Y196" s="3"/>
      <c r="Z196" s="3"/>
    </row>
    <row r="197" spans="2:26" ht="15" x14ac:dyDescent="0.25">
      <c r="B197" s="3"/>
      <c r="C197" s="3"/>
      <c r="E197" s="602"/>
      <c r="F197" s="3"/>
      <c r="G197" s="3"/>
      <c r="H197" s="3"/>
      <c r="I197" s="3"/>
      <c r="J197" s="3"/>
      <c r="K197" s="3"/>
      <c r="L197" s="3"/>
      <c r="M197" s="3"/>
      <c r="N197" s="3"/>
      <c r="O197" s="3"/>
      <c r="P197" s="3"/>
      <c r="Q197" s="3"/>
      <c r="R197" s="3"/>
      <c r="S197" s="3"/>
      <c r="T197" s="3"/>
      <c r="U197" s="3"/>
      <c r="V197" s="3"/>
      <c r="W197" s="3"/>
      <c r="X197" s="3"/>
      <c r="Y197" s="3"/>
      <c r="Z197" s="3"/>
    </row>
    <row r="198" spans="2:26" ht="15" x14ac:dyDescent="0.25">
      <c r="B198" s="3"/>
      <c r="C198" s="3"/>
      <c r="E198" s="602"/>
      <c r="F198" s="3"/>
      <c r="G198" s="3"/>
      <c r="H198" s="3"/>
      <c r="I198" s="3"/>
      <c r="J198" s="3"/>
      <c r="K198" s="3"/>
      <c r="L198" s="3"/>
      <c r="M198" s="3"/>
      <c r="N198" s="3"/>
      <c r="O198" s="3"/>
      <c r="P198" s="3"/>
      <c r="Q198" s="3"/>
      <c r="R198" s="3"/>
      <c r="S198" s="3"/>
      <c r="T198" s="3"/>
      <c r="U198" s="3"/>
      <c r="V198" s="3"/>
      <c r="W198" s="3"/>
      <c r="X198" s="3"/>
      <c r="Y198" s="3"/>
      <c r="Z198" s="3"/>
    </row>
    <row r="199" spans="2:26" ht="15" x14ac:dyDescent="0.25">
      <c r="B199" s="3"/>
      <c r="C199" s="3"/>
      <c r="D199" s="3"/>
      <c r="E199" s="602"/>
      <c r="F199" s="3"/>
      <c r="G199" s="3"/>
      <c r="H199" s="3"/>
      <c r="I199" s="3"/>
      <c r="J199" s="3"/>
      <c r="K199" s="3"/>
      <c r="L199" s="3"/>
      <c r="M199" s="3"/>
      <c r="N199" s="3"/>
      <c r="O199" s="3"/>
      <c r="P199" s="3"/>
      <c r="Q199" s="3"/>
      <c r="R199" s="3"/>
      <c r="S199" s="3"/>
      <c r="T199" s="3"/>
      <c r="U199" s="3"/>
      <c r="V199" s="3"/>
      <c r="W199" s="3"/>
      <c r="X199" s="3"/>
      <c r="Y199" s="3"/>
      <c r="Z199" s="3"/>
    </row>
    <row r="200" spans="2:26" ht="15" x14ac:dyDescent="0.25">
      <c r="B200" s="3"/>
      <c r="C200" s="3"/>
      <c r="D200" s="3"/>
      <c r="E200" s="602"/>
      <c r="F200" s="3"/>
      <c r="G200" s="3"/>
      <c r="H200" s="3"/>
      <c r="I200" s="3"/>
      <c r="J200" s="3"/>
      <c r="K200" s="3"/>
      <c r="L200" s="3"/>
      <c r="M200" s="3"/>
      <c r="N200" s="3"/>
      <c r="O200" s="3"/>
      <c r="P200" s="3"/>
      <c r="Q200" s="3"/>
      <c r="R200" s="3"/>
      <c r="S200" s="3"/>
      <c r="T200" s="3"/>
      <c r="U200" s="3"/>
      <c r="V200" s="3"/>
      <c r="W200" s="3"/>
      <c r="X200" s="3"/>
      <c r="Y200" s="3"/>
      <c r="Z200" s="3"/>
    </row>
    <row r="201" spans="2:26" ht="15" x14ac:dyDescent="0.25">
      <c r="B201" s="3"/>
      <c r="C201" s="3"/>
      <c r="D201" s="3"/>
      <c r="E201" s="602"/>
      <c r="F201" s="3"/>
      <c r="G201" s="3"/>
      <c r="H201" s="3"/>
      <c r="I201" s="3"/>
      <c r="J201" s="3"/>
      <c r="K201" s="3"/>
      <c r="L201" s="3"/>
      <c r="M201" s="3"/>
      <c r="N201" s="3"/>
      <c r="O201" s="3"/>
      <c r="P201" s="3"/>
      <c r="Q201" s="3"/>
      <c r="R201" s="3"/>
      <c r="S201" s="3"/>
      <c r="T201" s="3"/>
      <c r="U201" s="3"/>
      <c r="V201" s="3"/>
      <c r="W201" s="3"/>
      <c r="X201" s="3"/>
      <c r="Y201" s="3"/>
      <c r="Z201" s="3"/>
    </row>
    <row r="202" spans="2:26" ht="15" x14ac:dyDescent="0.25">
      <c r="B202" s="3"/>
      <c r="C202" s="3"/>
      <c r="D202" s="3"/>
      <c r="E202" s="602"/>
      <c r="F202" s="3"/>
      <c r="G202" s="3"/>
      <c r="H202" s="3"/>
      <c r="I202" s="3"/>
      <c r="J202" s="3"/>
      <c r="K202" s="3"/>
      <c r="L202" s="3"/>
      <c r="M202" s="3"/>
      <c r="N202" s="3"/>
      <c r="O202" s="3"/>
      <c r="P202" s="3"/>
      <c r="Q202" s="3"/>
      <c r="R202" s="3"/>
      <c r="S202" s="3"/>
      <c r="T202" s="3"/>
      <c r="U202" s="3"/>
      <c r="V202" s="3"/>
      <c r="W202" s="3"/>
      <c r="X202" s="3"/>
      <c r="Y202" s="3"/>
      <c r="Z202" s="3"/>
    </row>
    <row r="203" spans="2:26" ht="15" x14ac:dyDescent="0.25">
      <c r="B203" s="3"/>
      <c r="C203" s="3"/>
      <c r="D203" s="3"/>
      <c r="E203" s="602"/>
      <c r="F203" s="3"/>
      <c r="G203" s="3"/>
      <c r="H203" s="3"/>
      <c r="I203" s="3"/>
      <c r="J203" s="3"/>
      <c r="K203" s="3"/>
      <c r="L203" s="3"/>
      <c r="M203" s="3"/>
      <c r="N203" s="3"/>
      <c r="O203" s="3"/>
      <c r="P203" s="3"/>
      <c r="Q203" s="3"/>
      <c r="R203" s="3"/>
      <c r="S203" s="3"/>
      <c r="T203" s="3"/>
      <c r="U203" s="3"/>
      <c r="V203" s="3"/>
      <c r="W203" s="3"/>
      <c r="X203" s="3"/>
      <c r="Y203" s="3"/>
      <c r="Z203" s="3"/>
    </row>
    <row r="204" spans="2:26" ht="15" x14ac:dyDescent="0.25">
      <c r="B204" s="3"/>
      <c r="C204" s="3"/>
      <c r="D204" s="3"/>
      <c r="E204" s="602"/>
      <c r="F204" s="3"/>
      <c r="G204" s="3"/>
      <c r="H204" s="3"/>
      <c r="I204" s="3"/>
      <c r="J204" s="3"/>
      <c r="K204" s="3"/>
      <c r="L204" s="3"/>
      <c r="M204" s="3"/>
      <c r="N204" s="3"/>
      <c r="O204" s="3"/>
      <c r="P204" s="3"/>
      <c r="Q204" s="3"/>
      <c r="R204" s="3"/>
      <c r="S204" s="3"/>
      <c r="T204" s="3"/>
      <c r="U204" s="3"/>
      <c r="V204" s="3"/>
      <c r="W204" s="3"/>
      <c r="X204" s="3"/>
      <c r="Y204" s="3"/>
      <c r="Z204" s="3"/>
    </row>
    <row r="205" spans="2:26" ht="15" x14ac:dyDescent="0.25">
      <c r="B205" s="3"/>
      <c r="C205" s="3"/>
      <c r="D205" s="3"/>
      <c r="E205" s="602"/>
      <c r="F205" s="3"/>
      <c r="G205" s="3"/>
      <c r="H205" s="3"/>
      <c r="I205" s="3"/>
      <c r="J205" s="3"/>
      <c r="K205" s="3"/>
      <c r="L205" s="3"/>
      <c r="M205" s="3"/>
      <c r="N205" s="3"/>
      <c r="O205" s="3"/>
      <c r="P205" s="3"/>
      <c r="Q205" s="3"/>
      <c r="R205" s="3"/>
      <c r="S205" s="3"/>
      <c r="T205" s="3"/>
      <c r="U205" s="3"/>
      <c r="V205" s="3"/>
      <c r="W205" s="3"/>
      <c r="X205" s="3"/>
      <c r="Y205" s="3"/>
      <c r="Z205" s="3"/>
    </row>
    <row r="206" spans="2:26" ht="15" x14ac:dyDescent="0.25">
      <c r="B206" s="3"/>
      <c r="C206" s="3"/>
      <c r="D206" s="3"/>
      <c r="E206" s="602"/>
      <c r="F206" s="3"/>
      <c r="G206" s="3"/>
      <c r="H206" s="3"/>
      <c r="I206" s="3"/>
      <c r="J206" s="3"/>
      <c r="K206" s="3"/>
      <c r="L206" s="3"/>
      <c r="M206" s="3"/>
      <c r="N206" s="3"/>
      <c r="O206" s="3"/>
      <c r="P206" s="3"/>
      <c r="Q206" s="3"/>
      <c r="R206" s="3"/>
      <c r="S206" s="3"/>
      <c r="T206" s="3"/>
      <c r="U206" s="3"/>
      <c r="V206" s="3"/>
      <c r="W206" s="3"/>
      <c r="X206" s="3"/>
      <c r="Y206" s="3"/>
      <c r="Z206" s="3"/>
    </row>
    <row r="207" spans="2:26" ht="15" x14ac:dyDescent="0.25">
      <c r="B207" s="3"/>
      <c r="C207" s="3"/>
      <c r="D207" s="3"/>
      <c r="E207" s="602"/>
      <c r="F207" s="3"/>
      <c r="G207" s="3"/>
      <c r="H207" s="3"/>
      <c r="I207" s="3"/>
      <c r="J207" s="3"/>
      <c r="K207" s="3"/>
      <c r="L207" s="3"/>
      <c r="M207" s="3"/>
      <c r="N207" s="3"/>
      <c r="O207" s="3"/>
      <c r="P207" s="3"/>
      <c r="Q207" s="3"/>
      <c r="R207" s="3"/>
      <c r="S207" s="3"/>
      <c r="T207" s="3"/>
      <c r="U207" s="3"/>
      <c r="V207" s="3"/>
      <c r="W207" s="3"/>
      <c r="X207" s="3"/>
      <c r="Y207" s="3"/>
      <c r="Z207" s="3"/>
    </row>
    <row r="208" spans="2:26" ht="15" x14ac:dyDescent="0.25">
      <c r="B208" s="3"/>
      <c r="C208" s="3"/>
      <c r="D208" s="3"/>
      <c r="E208" s="602"/>
      <c r="F208" s="3"/>
      <c r="G208" s="3"/>
      <c r="H208" s="3"/>
      <c r="I208" s="3"/>
      <c r="J208" s="3"/>
      <c r="K208" s="3"/>
      <c r="L208" s="3"/>
      <c r="M208" s="3"/>
      <c r="N208" s="3"/>
      <c r="O208" s="3"/>
      <c r="P208" s="3"/>
      <c r="Q208" s="3"/>
      <c r="R208" s="3"/>
      <c r="S208" s="3"/>
      <c r="T208" s="3"/>
      <c r="U208" s="3"/>
      <c r="V208" s="3"/>
      <c r="W208" s="3"/>
      <c r="X208" s="3"/>
      <c r="Y208" s="3"/>
      <c r="Z208" s="3"/>
    </row>
    <row r="209" spans="2:26" ht="15" x14ac:dyDescent="0.25">
      <c r="B209" s="3"/>
      <c r="C209" s="3"/>
      <c r="D209" s="3"/>
      <c r="E209" s="602"/>
      <c r="F209" s="3"/>
      <c r="G209" s="3"/>
      <c r="H209" s="3"/>
      <c r="I209" s="3"/>
      <c r="J209" s="3"/>
      <c r="K209" s="3"/>
      <c r="L209" s="3"/>
      <c r="M209" s="3"/>
      <c r="N209" s="3"/>
      <c r="O209" s="3"/>
      <c r="P209" s="3"/>
      <c r="Q209" s="3"/>
      <c r="R209" s="3"/>
      <c r="S209" s="3"/>
      <c r="T209" s="3"/>
      <c r="U209" s="3"/>
      <c r="V209" s="3"/>
      <c r="W209" s="3"/>
      <c r="X209" s="3"/>
      <c r="Y209" s="3"/>
      <c r="Z209" s="3"/>
    </row>
    <row r="210" spans="2:26" ht="15" x14ac:dyDescent="0.25">
      <c r="B210" s="3"/>
      <c r="C210" s="3"/>
      <c r="D210" s="3"/>
      <c r="E210" s="602"/>
      <c r="F210" s="3"/>
      <c r="G210" s="3"/>
      <c r="H210" s="3"/>
      <c r="I210" s="3"/>
      <c r="J210" s="3"/>
      <c r="K210" s="3"/>
      <c r="L210" s="3"/>
      <c r="M210" s="3"/>
      <c r="N210" s="3"/>
      <c r="O210" s="3"/>
      <c r="P210" s="3"/>
      <c r="Q210" s="3"/>
      <c r="R210" s="3"/>
      <c r="S210" s="3"/>
      <c r="T210" s="3"/>
      <c r="U210" s="3"/>
      <c r="V210" s="3"/>
      <c r="W210" s="3"/>
      <c r="X210" s="3"/>
      <c r="Y210" s="3"/>
      <c r="Z210" s="3"/>
    </row>
    <row r="211" spans="2:26" ht="15" x14ac:dyDescent="0.25">
      <c r="B211" s="3"/>
      <c r="C211" s="3"/>
      <c r="D211" s="3"/>
      <c r="E211" s="602"/>
      <c r="F211" s="3"/>
      <c r="G211" s="3"/>
      <c r="H211" s="3"/>
      <c r="I211" s="3"/>
      <c r="J211" s="3"/>
      <c r="K211" s="3"/>
      <c r="L211" s="3"/>
      <c r="M211" s="3"/>
      <c r="N211" s="3"/>
      <c r="O211" s="3"/>
      <c r="P211" s="3"/>
      <c r="Q211" s="3"/>
      <c r="R211" s="3"/>
      <c r="S211" s="3"/>
      <c r="T211" s="3"/>
      <c r="U211" s="3"/>
      <c r="V211" s="3"/>
      <c r="W211" s="3"/>
      <c r="X211" s="3"/>
      <c r="Y211" s="3"/>
      <c r="Z211" s="3"/>
    </row>
    <row r="212" spans="2:26" ht="15" x14ac:dyDescent="0.25">
      <c r="B212" s="3"/>
      <c r="C212" s="3"/>
      <c r="D212" s="3"/>
      <c r="E212" s="602"/>
      <c r="F212" s="3"/>
      <c r="G212" s="3"/>
      <c r="H212" s="3"/>
      <c r="I212" s="3"/>
      <c r="J212" s="3"/>
      <c r="K212" s="3"/>
      <c r="L212" s="3"/>
      <c r="M212" s="3"/>
      <c r="N212" s="3"/>
      <c r="O212" s="3"/>
      <c r="P212" s="3"/>
      <c r="Q212" s="3"/>
      <c r="R212" s="3"/>
      <c r="S212" s="3"/>
      <c r="T212" s="3"/>
      <c r="U212" s="3"/>
      <c r="V212" s="3"/>
      <c r="W212" s="3"/>
      <c r="X212" s="3"/>
      <c r="Y212" s="3"/>
      <c r="Z212" s="3"/>
    </row>
    <row r="213" spans="2:26" ht="15" x14ac:dyDescent="0.25">
      <c r="B213" s="3"/>
      <c r="C213" s="3"/>
      <c r="D213" s="3"/>
      <c r="E213" s="602"/>
      <c r="F213" s="3"/>
      <c r="G213" s="3"/>
      <c r="H213" s="3"/>
      <c r="I213" s="3"/>
      <c r="J213" s="3"/>
      <c r="K213" s="3"/>
      <c r="L213" s="3"/>
      <c r="M213" s="3"/>
      <c r="N213" s="3"/>
      <c r="O213" s="3"/>
      <c r="P213" s="3"/>
      <c r="Q213" s="3"/>
      <c r="R213" s="3"/>
      <c r="S213" s="3"/>
      <c r="T213" s="3"/>
      <c r="U213" s="3"/>
      <c r="V213" s="3"/>
      <c r="W213" s="3"/>
      <c r="X213" s="3"/>
      <c r="Y213" s="3"/>
      <c r="Z213" s="3"/>
    </row>
    <row r="214" spans="2:26" ht="15" x14ac:dyDescent="0.25">
      <c r="B214" s="3"/>
      <c r="C214" s="3"/>
      <c r="D214" s="3"/>
      <c r="E214" s="602"/>
      <c r="F214" s="3"/>
      <c r="G214" s="3"/>
      <c r="H214" s="3"/>
      <c r="I214" s="3"/>
      <c r="J214" s="3"/>
      <c r="K214" s="3"/>
      <c r="L214" s="3"/>
      <c r="M214" s="3"/>
      <c r="N214" s="3"/>
      <c r="O214" s="3"/>
      <c r="P214" s="3"/>
      <c r="Q214" s="3"/>
      <c r="R214" s="3"/>
      <c r="S214" s="3"/>
      <c r="T214" s="3"/>
      <c r="U214" s="3"/>
      <c r="V214" s="3"/>
      <c r="W214" s="3"/>
      <c r="X214" s="3"/>
      <c r="Y214" s="3"/>
      <c r="Z214" s="3"/>
    </row>
    <row r="215" spans="2:26" ht="15" x14ac:dyDescent="0.25">
      <c r="B215" s="3"/>
      <c r="C215" s="3"/>
      <c r="D215" s="3"/>
      <c r="E215" s="602"/>
      <c r="F215" s="3"/>
      <c r="G215" s="3"/>
      <c r="H215" s="3"/>
      <c r="I215" s="3"/>
      <c r="J215" s="3"/>
      <c r="K215" s="3"/>
      <c r="L215" s="3"/>
      <c r="M215" s="3"/>
      <c r="N215" s="3"/>
      <c r="O215" s="3"/>
      <c r="P215" s="3"/>
      <c r="Q215" s="3"/>
      <c r="R215" s="3"/>
      <c r="S215" s="3"/>
      <c r="T215" s="3"/>
      <c r="U215" s="3"/>
      <c r="V215" s="3"/>
      <c r="W215" s="3"/>
      <c r="X215" s="3"/>
      <c r="Y215" s="3"/>
      <c r="Z215" s="3"/>
    </row>
    <row r="216" spans="2:26" ht="15" x14ac:dyDescent="0.25">
      <c r="B216" s="3"/>
      <c r="C216" s="3"/>
      <c r="D216" s="3"/>
      <c r="E216" s="602"/>
      <c r="F216" s="3"/>
      <c r="G216" s="3"/>
      <c r="H216" s="3"/>
      <c r="I216" s="3"/>
      <c r="J216" s="3"/>
      <c r="K216" s="3"/>
      <c r="L216" s="3"/>
      <c r="M216" s="3"/>
      <c r="N216" s="3"/>
      <c r="O216" s="3"/>
      <c r="P216" s="3"/>
      <c r="Q216" s="3"/>
      <c r="R216" s="3"/>
      <c r="S216" s="3"/>
      <c r="T216" s="3"/>
      <c r="U216" s="3"/>
      <c r="V216" s="3"/>
      <c r="W216" s="3"/>
      <c r="X216" s="3"/>
      <c r="Y216" s="3"/>
      <c r="Z216" s="3"/>
    </row>
    <row r="217" spans="2:26" ht="15" x14ac:dyDescent="0.25">
      <c r="B217" s="3"/>
      <c r="C217" s="3"/>
      <c r="D217" s="3"/>
      <c r="E217" s="602"/>
      <c r="F217" s="3"/>
      <c r="G217" s="3"/>
      <c r="H217" s="3"/>
      <c r="I217" s="3"/>
      <c r="J217" s="3"/>
      <c r="K217" s="3"/>
      <c r="L217" s="3"/>
      <c r="M217" s="3"/>
      <c r="N217" s="3"/>
      <c r="O217" s="3"/>
      <c r="P217" s="3"/>
      <c r="Q217" s="3"/>
      <c r="R217" s="3"/>
      <c r="S217" s="3"/>
      <c r="T217" s="3"/>
      <c r="U217" s="3"/>
      <c r="V217" s="3"/>
      <c r="W217" s="3"/>
      <c r="X217" s="3"/>
      <c r="Y217" s="3"/>
      <c r="Z217" s="3"/>
    </row>
    <row r="218" spans="2:26" ht="15" x14ac:dyDescent="0.25">
      <c r="B218" s="3"/>
      <c r="C218" s="3"/>
      <c r="D218" s="3"/>
      <c r="E218" s="602"/>
      <c r="F218" s="3"/>
      <c r="G218" s="3"/>
      <c r="H218" s="3"/>
      <c r="I218" s="3"/>
      <c r="J218" s="3"/>
      <c r="K218" s="3"/>
      <c r="L218" s="3"/>
      <c r="M218" s="3"/>
      <c r="N218" s="3"/>
      <c r="O218" s="3"/>
      <c r="P218" s="3"/>
      <c r="Q218" s="3"/>
      <c r="R218" s="3"/>
      <c r="S218" s="3"/>
      <c r="T218" s="3"/>
      <c r="U218" s="3"/>
      <c r="V218" s="3"/>
      <c r="W218" s="3"/>
      <c r="X218" s="3"/>
      <c r="Y218" s="3"/>
      <c r="Z218" s="3"/>
    </row>
    <row r="219" spans="2:26" ht="15" x14ac:dyDescent="0.25">
      <c r="B219" s="3"/>
      <c r="C219" s="3"/>
      <c r="D219" s="3"/>
      <c r="E219" s="602"/>
      <c r="F219" s="3"/>
      <c r="G219" s="3"/>
      <c r="H219" s="3"/>
      <c r="I219" s="3"/>
      <c r="J219" s="3"/>
      <c r="K219" s="3"/>
      <c r="L219" s="3"/>
      <c r="M219" s="3"/>
      <c r="N219" s="3"/>
      <c r="O219" s="3"/>
      <c r="P219" s="3"/>
      <c r="Q219" s="3"/>
      <c r="R219" s="3"/>
      <c r="S219" s="3"/>
      <c r="T219" s="3"/>
      <c r="U219" s="3"/>
      <c r="V219" s="3"/>
      <c r="W219" s="3"/>
      <c r="X219" s="3"/>
      <c r="Y219" s="3"/>
      <c r="Z219" s="3"/>
    </row>
    <row r="220" spans="2:26" ht="15" x14ac:dyDescent="0.25">
      <c r="B220" s="3"/>
      <c r="C220" s="3"/>
      <c r="D220" s="3"/>
      <c r="E220" s="602"/>
      <c r="F220" s="3"/>
      <c r="G220" s="3"/>
      <c r="H220" s="3"/>
      <c r="I220" s="3"/>
      <c r="J220" s="3"/>
      <c r="K220" s="3"/>
      <c r="L220" s="3"/>
      <c r="M220" s="3"/>
      <c r="N220" s="3"/>
      <c r="O220" s="3"/>
      <c r="P220" s="3"/>
      <c r="Q220" s="3"/>
      <c r="R220" s="3"/>
      <c r="S220" s="3"/>
      <c r="T220" s="3"/>
      <c r="U220" s="3"/>
      <c r="V220" s="3"/>
      <c r="W220" s="3"/>
      <c r="X220" s="3"/>
      <c r="Y220" s="3"/>
      <c r="Z220" s="3"/>
    </row>
    <row r="221" spans="2:26" ht="15" x14ac:dyDescent="0.25">
      <c r="B221" s="3"/>
      <c r="C221" s="3"/>
      <c r="D221" s="3"/>
      <c r="E221" s="602"/>
      <c r="F221" s="3"/>
      <c r="G221" s="3"/>
      <c r="H221" s="3"/>
      <c r="I221" s="3"/>
      <c r="J221" s="3"/>
      <c r="K221" s="3"/>
      <c r="L221" s="3"/>
      <c r="M221" s="3"/>
      <c r="N221" s="3"/>
      <c r="O221" s="3"/>
      <c r="P221" s="3"/>
      <c r="Q221" s="3"/>
      <c r="R221" s="3"/>
      <c r="S221" s="3"/>
      <c r="T221" s="3"/>
      <c r="U221" s="3"/>
      <c r="V221" s="3"/>
      <c r="W221" s="3"/>
      <c r="X221" s="3"/>
      <c r="Y221" s="3"/>
      <c r="Z221" s="3"/>
    </row>
    <row r="222" spans="2:26" ht="15" x14ac:dyDescent="0.25">
      <c r="B222" s="3"/>
      <c r="C222" s="3"/>
      <c r="D222" s="3"/>
      <c r="E222" s="602"/>
      <c r="F222" s="3"/>
      <c r="G222" s="3"/>
      <c r="H222" s="3"/>
      <c r="I222" s="3"/>
      <c r="J222" s="3"/>
      <c r="K222" s="3"/>
      <c r="L222" s="3"/>
      <c r="M222" s="3"/>
      <c r="N222" s="3"/>
      <c r="O222" s="3"/>
      <c r="P222" s="3"/>
      <c r="Q222" s="3"/>
      <c r="R222" s="3"/>
      <c r="S222" s="3"/>
      <c r="T222" s="3"/>
      <c r="U222" s="3"/>
      <c r="V222" s="3"/>
      <c r="W222" s="3"/>
      <c r="X222" s="3"/>
      <c r="Y222" s="3"/>
      <c r="Z222" s="3"/>
    </row>
    <row r="223" spans="2:26" ht="15" x14ac:dyDescent="0.25">
      <c r="B223" s="3"/>
      <c r="C223" s="3"/>
      <c r="D223" s="3"/>
      <c r="E223" s="602"/>
      <c r="F223" s="3"/>
      <c r="G223" s="3"/>
      <c r="H223" s="3"/>
      <c r="I223" s="3"/>
      <c r="J223" s="3"/>
      <c r="K223" s="3"/>
      <c r="L223" s="3"/>
      <c r="M223" s="3"/>
      <c r="N223" s="3"/>
      <c r="O223" s="3"/>
      <c r="P223" s="3"/>
      <c r="Q223" s="3"/>
      <c r="R223" s="3"/>
      <c r="S223" s="3"/>
      <c r="T223" s="3"/>
      <c r="U223" s="3"/>
      <c r="V223" s="3"/>
      <c r="W223" s="3"/>
      <c r="X223" s="3"/>
      <c r="Y223" s="3"/>
      <c r="Z223" s="3"/>
    </row>
    <row r="224" spans="2:26" ht="15" x14ac:dyDescent="0.25">
      <c r="B224" s="3"/>
      <c r="C224" s="3"/>
      <c r="D224" s="3"/>
      <c r="E224" s="602"/>
      <c r="F224" s="3"/>
      <c r="G224" s="3"/>
      <c r="H224" s="3"/>
      <c r="I224" s="3"/>
      <c r="J224" s="3"/>
      <c r="K224" s="3"/>
      <c r="L224" s="3"/>
      <c r="M224" s="3"/>
      <c r="N224" s="3"/>
      <c r="O224" s="3"/>
      <c r="P224" s="3"/>
      <c r="Q224" s="3"/>
      <c r="R224" s="3"/>
      <c r="S224" s="3"/>
      <c r="T224" s="3"/>
      <c r="U224" s="3"/>
      <c r="V224" s="3"/>
      <c r="W224" s="3"/>
      <c r="X224" s="3"/>
      <c r="Y224" s="3"/>
      <c r="Z224" s="3"/>
    </row>
    <row r="225" spans="2:26" ht="15" x14ac:dyDescent="0.25">
      <c r="B225" s="3"/>
      <c r="C225" s="3"/>
      <c r="D225" s="3"/>
      <c r="E225" s="602"/>
      <c r="F225" s="3"/>
      <c r="G225" s="3"/>
      <c r="H225" s="3"/>
      <c r="I225" s="3"/>
      <c r="J225" s="3"/>
      <c r="K225" s="3"/>
      <c r="L225" s="3"/>
      <c r="M225" s="3"/>
      <c r="N225" s="3"/>
      <c r="O225" s="3"/>
      <c r="P225" s="3"/>
      <c r="Q225" s="3"/>
      <c r="R225" s="3"/>
      <c r="S225" s="3"/>
      <c r="T225" s="3"/>
      <c r="U225" s="3"/>
      <c r="V225" s="3"/>
      <c r="W225" s="3"/>
      <c r="X225" s="3"/>
      <c r="Y225" s="3"/>
      <c r="Z225" s="3"/>
    </row>
    <row r="226" spans="2:26" ht="15" x14ac:dyDescent="0.25">
      <c r="B226" s="3"/>
      <c r="C226" s="3"/>
      <c r="D226" s="3"/>
      <c r="E226" s="602"/>
      <c r="F226" s="3"/>
      <c r="G226" s="3"/>
      <c r="H226" s="3"/>
      <c r="I226" s="3"/>
      <c r="J226" s="3"/>
      <c r="K226" s="3"/>
      <c r="L226" s="3"/>
      <c r="M226" s="3"/>
      <c r="N226" s="3"/>
      <c r="O226" s="3"/>
      <c r="P226" s="3"/>
      <c r="Q226" s="3"/>
      <c r="R226" s="3"/>
      <c r="S226" s="3"/>
      <c r="T226" s="3"/>
      <c r="U226" s="3"/>
      <c r="V226" s="3"/>
      <c r="W226" s="3"/>
      <c r="X226" s="3"/>
      <c r="Y226" s="3"/>
      <c r="Z226" s="3"/>
    </row>
    <row r="227" spans="2:26" ht="15" x14ac:dyDescent="0.25">
      <c r="B227" s="3"/>
      <c r="C227" s="3"/>
      <c r="D227" s="3"/>
      <c r="E227" s="602"/>
      <c r="F227" s="3"/>
      <c r="G227" s="3"/>
      <c r="H227" s="3"/>
      <c r="I227" s="3"/>
      <c r="J227" s="3"/>
      <c r="K227" s="3"/>
      <c r="L227" s="3"/>
      <c r="M227" s="3"/>
      <c r="N227" s="3"/>
      <c r="O227" s="3"/>
      <c r="P227" s="3"/>
      <c r="Q227" s="3"/>
      <c r="R227" s="3"/>
      <c r="S227" s="3"/>
      <c r="T227" s="3"/>
      <c r="U227" s="3"/>
      <c r="V227" s="3"/>
      <c r="W227" s="3"/>
      <c r="X227" s="3"/>
      <c r="Y227" s="3"/>
      <c r="Z227" s="3"/>
    </row>
    <row r="228" spans="2:26" ht="15" x14ac:dyDescent="0.25">
      <c r="B228" s="3"/>
      <c r="C228" s="3"/>
      <c r="D228" s="3"/>
      <c r="E228" s="602"/>
      <c r="F228" s="3"/>
      <c r="G228" s="3"/>
      <c r="H228" s="3"/>
      <c r="I228" s="3"/>
      <c r="J228" s="3"/>
      <c r="K228" s="3"/>
      <c r="L228" s="3"/>
      <c r="M228" s="3"/>
      <c r="N228" s="3"/>
      <c r="O228" s="3"/>
      <c r="P228" s="3"/>
      <c r="Q228" s="3"/>
      <c r="R228" s="3"/>
      <c r="S228" s="3"/>
      <c r="T228" s="3"/>
      <c r="U228" s="3"/>
      <c r="V228" s="3"/>
      <c r="W228" s="3"/>
      <c r="X228" s="3"/>
      <c r="Y228" s="3"/>
      <c r="Z228" s="3"/>
    </row>
    <row r="229" spans="2:26" ht="15" x14ac:dyDescent="0.25">
      <c r="B229" s="3"/>
      <c r="C229" s="3"/>
      <c r="D229" s="3"/>
      <c r="E229" s="602"/>
      <c r="F229" s="3"/>
      <c r="G229" s="3"/>
      <c r="H229" s="3"/>
      <c r="I229" s="3"/>
      <c r="J229" s="3"/>
      <c r="K229" s="3"/>
      <c r="L229" s="3"/>
      <c r="M229" s="3"/>
      <c r="N229" s="3"/>
      <c r="O229" s="3"/>
      <c r="P229" s="3"/>
      <c r="Q229" s="3"/>
      <c r="R229" s="3"/>
      <c r="S229" s="3"/>
      <c r="T229" s="3"/>
      <c r="U229" s="3"/>
      <c r="V229" s="3"/>
      <c r="W229" s="3"/>
      <c r="X229" s="3"/>
      <c r="Y229" s="3"/>
      <c r="Z229" s="3"/>
    </row>
    <row r="230" spans="2:26" ht="15" x14ac:dyDescent="0.25">
      <c r="B230" s="3"/>
      <c r="C230" s="3"/>
      <c r="D230" s="3"/>
      <c r="E230" s="602"/>
      <c r="F230" s="3"/>
      <c r="G230" s="3"/>
      <c r="H230" s="3"/>
      <c r="I230" s="3"/>
      <c r="J230" s="3"/>
      <c r="K230" s="3"/>
      <c r="L230" s="3"/>
      <c r="M230" s="3"/>
      <c r="N230" s="3"/>
      <c r="O230" s="3"/>
      <c r="P230" s="3"/>
      <c r="Q230" s="3"/>
      <c r="R230" s="3"/>
      <c r="S230" s="3"/>
      <c r="T230" s="3"/>
      <c r="U230" s="3"/>
      <c r="V230" s="3"/>
      <c r="W230" s="3"/>
      <c r="X230" s="3"/>
      <c r="Y230" s="3"/>
      <c r="Z230" s="3"/>
    </row>
    <row r="231" spans="2:26" ht="15" x14ac:dyDescent="0.25">
      <c r="B231" s="3"/>
      <c r="C231" s="3"/>
      <c r="D231" s="3"/>
      <c r="E231" s="602"/>
      <c r="F231" s="3"/>
      <c r="G231" s="3"/>
      <c r="H231" s="3"/>
      <c r="I231" s="3"/>
      <c r="J231" s="3"/>
      <c r="K231" s="3"/>
      <c r="L231" s="3"/>
      <c r="M231" s="3"/>
      <c r="N231" s="3"/>
      <c r="O231" s="3"/>
      <c r="P231" s="3"/>
      <c r="Q231" s="3"/>
      <c r="R231" s="3"/>
      <c r="S231" s="3"/>
      <c r="T231" s="3"/>
      <c r="U231" s="3"/>
      <c r="V231" s="3"/>
      <c r="W231" s="3"/>
      <c r="X231" s="3"/>
      <c r="Y231" s="3"/>
      <c r="Z231" s="3"/>
    </row>
    <row r="232" spans="2:26" ht="15" x14ac:dyDescent="0.25">
      <c r="B232" s="3"/>
      <c r="C232" s="3"/>
      <c r="D232" s="3"/>
      <c r="E232" s="602"/>
      <c r="F232" s="3"/>
      <c r="G232" s="3"/>
      <c r="H232" s="3"/>
      <c r="I232" s="3"/>
      <c r="J232" s="3"/>
      <c r="K232" s="3"/>
      <c r="L232" s="3"/>
      <c r="M232" s="3"/>
      <c r="N232" s="3"/>
      <c r="O232" s="3"/>
      <c r="P232" s="3"/>
      <c r="Q232" s="3"/>
      <c r="R232" s="3"/>
      <c r="S232" s="3"/>
      <c r="T232" s="3"/>
      <c r="U232" s="3"/>
      <c r="V232" s="3"/>
      <c r="W232" s="3"/>
      <c r="X232" s="3"/>
      <c r="Y232" s="3"/>
      <c r="Z232" s="3"/>
    </row>
    <row r="233" spans="2:26" ht="15" x14ac:dyDescent="0.25">
      <c r="B233" s="3"/>
      <c r="C233" s="3"/>
      <c r="D233" s="3"/>
      <c r="E233" s="602"/>
      <c r="F233" s="3"/>
      <c r="G233" s="3"/>
      <c r="H233" s="3"/>
      <c r="I233" s="3"/>
      <c r="J233" s="3"/>
      <c r="K233" s="3"/>
      <c r="L233" s="3"/>
      <c r="M233" s="3"/>
      <c r="N233" s="3"/>
      <c r="O233" s="3"/>
      <c r="P233" s="3"/>
      <c r="Q233" s="3"/>
      <c r="R233" s="3"/>
      <c r="S233" s="3"/>
      <c r="T233" s="3"/>
      <c r="U233" s="3"/>
      <c r="V233" s="3"/>
      <c r="W233" s="3"/>
      <c r="X233" s="3"/>
      <c r="Y233" s="3"/>
      <c r="Z233" s="3"/>
    </row>
    <row r="234" spans="2:26" ht="15" x14ac:dyDescent="0.25">
      <c r="B234" s="3"/>
      <c r="C234" s="3"/>
      <c r="D234" s="3"/>
      <c r="E234" s="602"/>
      <c r="F234" s="3"/>
      <c r="G234" s="3"/>
      <c r="H234" s="3"/>
      <c r="I234" s="3"/>
      <c r="J234" s="3"/>
      <c r="K234" s="3"/>
      <c r="L234" s="3"/>
      <c r="M234" s="3"/>
      <c r="N234" s="3"/>
      <c r="O234" s="3"/>
      <c r="P234" s="3"/>
      <c r="Q234" s="3"/>
      <c r="R234" s="3"/>
      <c r="S234" s="3"/>
      <c r="T234" s="3"/>
      <c r="U234" s="3"/>
      <c r="V234" s="3"/>
      <c r="W234" s="3"/>
      <c r="X234" s="3"/>
      <c r="Y234" s="3"/>
      <c r="Z234" s="3"/>
    </row>
    <row r="235" spans="2:26" ht="15" x14ac:dyDescent="0.25">
      <c r="B235" s="3"/>
      <c r="C235" s="3"/>
      <c r="D235" s="3"/>
      <c r="E235" s="602"/>
      <c r="F235" s="3"/>
      <c r="G235" s="3"/>
      <c r="H235" s="3"/>
      <c r="I235" s="3"/>
      <c r="J235" s="3"/>
      <c r="K235" s="3"/>
      <c r="L235" s="3"/>
      <c r="M235" s="3"/>
      <c r="N235" s="3"/>
      <c r="O235" s="3"/>
      <c r="P235" s="3"/>
      <c r="Q235" s="3"/>
      <c r="R235" s="3"/>
      <c r="S235" s="3"/>
      <c r="T235" s="3"/>
      <c r="U235" s="3"/>
      <c r="V235" s="3"/>
      <c r="W235" s="3"/>
      <c r="X235" s="3"/>
      <c r="Y235" s="3"/>
      <c r="Z235" s="3"/>
    </row>
    <row r="236" spans="2:26" ht="15" x14ac:dyDescent="0.25">
      <c r="B236" s="3"/>
      <c r="C236" s="3"/>
      <c r="D236" s="3"/>
      <c r="E236" s="602"/>
      <c r="F236" s="3"/>
      <c r="G236" s="3"/>
      <c r="H236" s="3"/>
      <c r="I236" s="3"/>
      <c r="J236" s="3"/>
      <c r="K236" s="3"/>
      <c r="L236" s="3"/>
      <c r="M236" s="3"/>
      <c r="N236" s="3"/>
      <c r="O236" s="3"/>
      <c r="P236" s="3"/>
      <c r="Q236" s="3"/>
      <c r="R236" s="3"/>
      <c r="S236" s="3"/>
      <c r="T236" s="3"/>
      <c r="U236" s="3"/>
      <c r="V236" s="3"/>
      <c r="W236" s="3"/>
      <c r="X236" s="3"/>
      <c r="Y236" s="3"/>
      <c r="Z236" s="3"/>
    </row>
    <row r="237" spans="2:26" ht="15" x14ac:dyDescent="0.25">
      <c r="B237" s="3"/>
      <c r="C237" s="3"/>
      <c r="D237" s="3"/>
      <c r="E237" s="602"/>
      <c r="F237" s="3"/>
      <c r="G237" s="3"/>
      <c r="H237" s="3"/>
      <c r="I237" s="3"/>
      <c r="J237" s="3"/>
      <c r="K237" s="3"/>
      <c r="L237" s="3"/>
      <c r="M237" s="3"/>
      <c r="N237" s="3"/>
      <c r="O237" s="3"/>
      <c r="P237" s="3"/>
      <c r="Q237" s="3"/>
      <c r="R237" s="3"/>
      <c r="S237" s="3"/>
      <c r="T237" s="3"/>
      <c r="U237" s="3"/>
      <c r="V237" s="3"/>
      <c r="W237" s="3"/>
      <c r="X237" s="3"/>
      <c r="Y237" s="3"/>
      <c r="Z237" s="3"/>
    </row>
    <row r="238" spans="2:26" ht="15" x14ac:dyDescent="0.25">
      <c r="B238" s="3"/>
      <c r="C238" s="3"/>
      <c r="D238" s="3"/>
      <c r="E238" s="602"/>
      <c r="F238" s="3"/>
      <c r="G238" s="3"/>
      <c r="H238" s="3"/>
      <c r="I238" s="3"/>
      <c r="J238" s="3"/>
      <c r="K238" s="3"/>
      <c r="L238" s="3"/>
      <c r="M238" s="3"/>
      <c r="N238" s="3"/>
      <c r="O238" s="3"/>
      <c r="P238" s="3"/>
      <c r="Q238" s="3"/>
      <c r="R238" s="3"/>
      <c r="S238" s="3"/>
      <c r="T238" s="3"/>
      <c r="U238" s="3"/>
      <c r="V238" s="3"/>
      <c r="W238" s="3"/>
      <c r="X238" s="3"/>
      <c r="Y238" s="3"/>
      <c r="Z238" s="3"/>
    </row>
    <row r="239" spans="2:26" ht="15" x14ac:dyDescent="0.25">
      <c r="B239" s="3"/>
      <c r="C239" s="3"/>
      <c r="D239" s="3"/>
      <c r="E239" s="602"/>
      <c r="F239" s="3"/>
      <c r="G239" s="3"/>
      <c r="H239" s="3"/>
      <c r="I239" s="3"/>
      <c r="J239" s="3"/>
      <c r="K239" s="3"/>
      <c r="L239" s="3"/>
      <c r="M239" s="3"/>
      <c r="N239" s="3"/>
      <c r="O239" s="3"/>
      <c r="P239" s="3"/>
      <c r="Q239" s="3"/>
      <c r="R239" s="3"/>
      <c r="S239" s="3"/>
      <c r="T239" s="3"/>
      <c r="U239" s="3"/>
      <c r="V239" s="3"/>
      <c r="W239" s="3"/>
      <c r="X239" s="3"/>
      <c r="Y239" s="3"/>
      <c r="Z239" s="3"/>
    </row>
    <row r="240" spans="2:26" ht="15" x14ac:dyDescent="0.25">
      <c r="B240" s="3"/>
      <c r="C240" s="3"/>
      <c r="D240" s="3"/>
      <c r="E240" s="602"/>
      <c r="F240" s="3"/>
      <c r="G240" s="3"/>
      <c r="H240" s="3"/>
      <c r="I240" s="3"/>
      <c r="J240" s="3"/>
      <c r="K240" s="3"/>
      <c r="L240" s="3"/>
      <c r="M240" s="3"/>
      <c r="N240" s="3"/>
      <c r="O240" s="3"/>
      <c r="P240" s="3"/>
      <c r="Q240" s="3"/>
      <c r="R240" s="3"/>
      <c r="S240" s="3"/>
      <c r="T240" s="3"/>
      <c r="U240" s="3"/>
      <c r="V240" s="3"/>
      <c r="W240" s="3"/>
      <c r="X240" s="3"/>
      <c r="Y240" s="3"/>
      <c r="Z240" s="3"/>
    </row>
    <row r="241" spans="2:26" ht="15" x14ac:dyDescent="0.25">
      <c r="B241" s="3"/>
      <c r="C241" s="3"/>
      <c r="D241" s="3"/>
      <c r="E241" s="602"/>
      <c r="F241" s="3"/>
      <c r="G241" s="3"/>
      <c r="H241" s="3"/>
      <c r="I241" s="3"/>
      <c r="J241" s="3"/>
      <c r="K241" s="3"/>
      <c r="L241" s="3"/>
      <c r="M241" s="3"/>
      <c r="N241" s="3"/>
      <c r="O241" s="3"/>
      <c r="P241" s="3"/>
      <c r="Q241" s="3"/>
      <c r="R241" s="3"/>
      <c r="S241" s="3"/>
      <c r="T241" s="3"/>
      <c r="U241" s="3"/>
      <c r="V241" s="3"/>
      <c r="W241" s="3"/>
      <c r="X241" s="3"/>
      <c r="Y241" s="3"/>
      <c r="Z241" s="3"/>
    </row>
    <row r="242" spans="2:26" ht="15" x14ac:dyDescent="0.25">
      <c r="B242" s="3"/>
      <c r="C242" s="3"/>
      <c r="D242" s="3"/>
      <c r="E242" s="602"/>
      <c r="F242" s="3"/>
      <c r="G242" s="3"/>
      <c r="H242" s="3"/>
      <c r="I242" s="3"/>
      <c r="J242" s="3"/>
      <c r="K242" s="3"/>
      <c r="L242" s="3"/>
      <c r="M242" s="3"/>
      <c r="N242" s="3"/>
      <c r="O242" s="3"/>
      <c r="P242" s="3"/>
      <c r="Q242" s="3"/>
      <c r="R242" s="3"/>
      <c r="S242" s="3"/>
      <c r="T242" s="3"/>
      <c r="U242" s="3"/>
      <c r="V242" s="3"/>
      <c r="W242" s="3"/>
      <c r="X242" s="3"/>
      <c r="Y242" s="3"/>
      <c r="Z242" s="3"/>
    </row>
    <row r="243" spans="2:26" ht="15" x14ac:dyDescent="0.25">
      <c r="B243" s="3"/>
      <c r="C243" s="3"/>
      <c r="D243" s="3"/>
      <c r="E243" s="602"/>
      <c r="F243" s="3"/>
      <c r="G243" s="3"/>
      <c r="H243" s="3"/>
      <c r="I243" s="3"/>
      <c r="J243" s="3"/>
      <c r="K243" s="3"/>
      <c r="L243" s="3"/>
      <c r="M243" s="3"/>
      <c r="N243" s="3"/>
      <c r="O243" s="3"/>
      <c r="P243" s="3"/>
      <c r="Q243" s="3"/>
      <c r="R243" s="3"/>
      <c r="S243" s="3"/>
      <c r="T243" s="3"/>
      <c r="U243" s="3"/>
      <c r="V243" s="3"/>
      <c r="W243" s="3"/>
      <c r="X243" s="3"/>
      <c r="Y243" s="3"/>
      <c r="Z243" s="3"/>
    </row>
    <row r="244" spans="2:26" ht="15" x14ac:dyDescent="0.25">
      <c r="B244" s="3"/>
      <c r="C244" s="3"/>
      <c r="D244" s="3"/>
      <c r="E244" s="602"/>
      <c r="F244" s="3"/>
      <c r="G244" s="3"/>
      <c r="H244" s="3"/>
      <c r="I244" s="3"/>
      <c r="J244" s="3"/>
      <c r="K244" s="3"/>
      <c r="L244" s="3"/>
      <c r="M244" s="3"/>
      <c r="N244" s="3"/>
      <c r="O244" s="3"/>
      <c r="P244" s="3"/>
      <c r="Q244" s="3"/>
      <c r="R244" s="3"/>
      <c r="S244" s="3"/>
      <c r="T244" s="3"/>
      <c r="U244" s="3"/>
      <c r="V244" s="3"/>
      <c r="W244" s="3"/>
      <c r="X244" s="3"/>
      <c r="Y244" s="3"/>
      <c r="Z244" s="3"/>
    </row>
    <row r="245" spans="2:26" ht="15" x14ac:dyDescent="0.25">
      <c r="B245" s="3"/>
      <c r="C245" s="3"/>
      <c r="D245" s="3"/>
      <c r="E245" s="602"/>
      <c r="F245" s="3"/>
      <c r="G245" s="3"/>
      <c r="H245" s="3"/>
      <c r="I245" s="3"/>
      <c r="J245" s="3"/>
      <c r="K245" s="3"/>
      <c r="L245" s="3"/>
      <c r="M245" s="3"/>
      <c r="N245" s="3"/>
      <c r="O245" s="3"/>
      <c r="P245" s="3"/>
      <c r="Q245" s="3"/>
      <c r="R245" s="3"/>
      <c r="S245" s="3"/>
      <c r="T245" s="3"/>
      <c r="U245" s="3"/>
      <c r="V245" s="3"/>
      <c r="W245" s="3"/>
      <c r="X245" s="3"/>
      <c r="Y245" s="3"/>
      <c r="Z245" s="3"/>
    </row>
    <row r="246" spans="2:26" ht="15" x14ac:dyDescent="0.25">
      <c r="B246" s="3"/>
      <c r="C246" s="3"/>
      <c r="D246" s="3"/>
      <c r="E246" s="602"/>
      <c r="F246" s="3"/>
      <c r="G246" s="3"/>
      <c r="H246" s="3"/>
      <c r="I246" s="3"/>
      <c r="J246" s="3"/>
      <c r="K246" s="3"/>
      <c r="L246" s="3"/>
      <c r="M246" s="3"/>
      <c r="N246" s="3"/>
      <c r="O246" s="3"/>
      <c r="P246" s="3"/>
      <c r="Q246" s="3"/>
      <c r="R246" s="3"/>
      <c r="S246" s="3"/>
      <c r="T246" s="3"/>
      <c r="U246" s="3"/>
      <c r="V246" s="3"/>
      <c r="W246" s="3"/>
      <c r="X246" s="3"/>
      <c r="Y246" s="3"/>
      <c r="Z246" s="3"/>
    </row>
    <row r="247" spans="2:26" ht="15" x14ac:dyDescent="0.25">
      <c r="B247" s="3"/>
      <c r="C247" s="3"/>
      <c r="D247" s="3"/>
      <c r="E247" s="602"/>
      <c r="F247" s="3"/>
      <c r="G247" s="3"/>
      <c r="H247" s="3"/>
      <c r="I247" s="3"/>
      <c r="J247" s="3"/>
      <c r="K247" s="3"/>
      <c r="L247" s="3"/>
      <c r="M247" s="3"/>
      <c r="N247" s="3"/>
      <c r="O247" s="3"/>
      <c r="P247" s="3"/>
      <c r="Q247" s="3"/>
      <c r="R247" s="3"/>
      <c r="S247" s="3"/>
      <c r="T247" s="3"/>
      <c r="U247" s="3"/>
      <c r="V247" s="3"/>
      <c r="W247" s="3"/>
      <c r="X247" s="3"/>
      <c r="Y247" s="3"/>
      <c r="Z247" s="3"/>
    </row>
    <row r="248" spans="2:26" ht="15" x14ac:dyDescent="0.25">
      <c r="B248" s="3"/>
      <c r="C248" s="3"/>
      <c r="D248" s="3"/>
      <c r="E248" s="602"/>
      <c r="F248" s="3"/>
      <c r="G248" s="3"/>
      <c r="H248" s="3"/>
      <c r="I248" s="3"/>
      <c r="J248" s="3"/>
      <c r="K248" s="3"/>
      <c r="L248" s="3"/>
      <c r="M248" s="3"/>
      <c r="N248" s="3"/>
      <c r="O248" s="3"/>
      <c r="P248" s="3"/>
      <c r="Q248" s="3"/>
      <c r="R248" s="3"/>
      <c r="S248" s="3"/>
      <c r="T248" s="3"/>
      <c r="U248" s="3"/>
      <c r="V248" s="3"/>
      <c r="W248" s="3"/>
      <c r="X248" s="3"/>
      <c r="Y248" s="3"/>
      <c r="Z248" s="3"/>
    </row>
    <row r="249" spans="2:26" ht="15" x14ac:dyDescent="0.25">
      <c r="B249" s="3"/>
      <c r="C249" s="3"/>
      <c r="D249" s="3"/>
      <c r="E249" s="602"/>
      <c r="F249" s="3"/>
      <c r="G249" s="3"/>
      <c r="H249" s="3"/>
      <c r="I249" s="3"/>
      <c r="J249" s="3"/>
      <c r="K249" s="3"/>
      <c r="L249" s="3"/>
      <c r="M249" s="3"/>
      <c r="N249" s="3"/>
      <c r="O249" s="3"/>
      <c r="P249" s="3"/>
      <c r="Q249" s="3"/>
      <c r="R249" s="3"/>
      <c r="S249" s="3"/>
      <c r="T249" s="3"/>
      <c r="U249" s="3"/>
      <c r="V249" s="3"/>
      <c r="W249" s="3"/>
      <c r="X249" s="3"/>
      <c r="Y249" s="3"/>
      <c r="Z249" s="3"/>
    </row>
    <row r="250" spans="2:26" ht="15" x14ac:dyDescent="0.25">
      <c r="B250" s="3"/>
      <c r="C250" s="3"/>
      <c r="D250" s="3"/>
      <c r="E250" s="602"/>
      <c r="F250" s="3"/>
      <c r="G250" s="3"/>
      <c r="H250" s="3"/>
      <c r="I250" s="3"/>
      <c r="J250" s="3"/>
      <c r="K250" s="3"/>
      <c r="L250" s="3"/>
      <c r="M250" s="3"/>
      <c r="N250" s="3"/>
      <c r="O250" s="3"/>
      <c r="P250" s="3"/>
      <c r="Q250" s="3"/>
      <c r="R250" s="3"/>
      <c r="S250" s="3"/>
      <c r="T250" s="3"/>
      <c r="U250" s="3"/>
      <c r="V250" s="3"/>
      <c r="W250" s="3"/>
      <c r="X250" s="3"/>
      <c r="Y250" s="3"/>
      <c r="Z250" s="3"/>
    </row>
    <row r="251" spans="2:26" ht="15" x14ac:dyDescent="0.25">
      <c r="B251" s="3"/>
      <c r="C251" s="3"/>
      <c r="D251" s="3"/>
      <c r="E251" s="602"/>
      <c r="F251" s="3"/>
      <c r="G251" s="3"/>
      <c r="H251" s="3"/>
      <c r="I251" s="3"/>
      <c r="J251" s="3"/>
      <c r="K251" s="3"/>
      <c r="L251" s="3"/>
      <c r="M251" s="3"/>
      <c r="N251" s="3"/>
      <c r="O251" s="3"/>
      <c r="P251" s="3"/>
      <c r="Q251" s="3"/>
      <c r="R251" s="3"/>
      <c r="S251" s="3"/>
      <c r="T251" s="3"/>
      <c r="U251" s="3"/>
      <c r="V251" s="3"/>
      <c r="W251" s="3"/>
      <c r="X251" s="3"/>
      <c r="Y251" s="3"/>
      <c r="Z251" s="3"/>
    </row>
    <row r="252" spans="2:26" ht="15" x14ac:dyDescent="0.25">
      <c r="B252" s="3"/>
      <c r="C252" s="3"/>
      <c r="D252" s="3"/>
      <c r="E252" s="602"/>
      <c r="F252" s="3"/>
      <c r="G252" s="3"/>
      <c r="H252" s="3"/>
      <c r="I252" s="3"/>
      <c r="J252" s="3"/>
      <c r="K252" s="3"/>
      <c r="L252" s="3"/>
      <c r="M252" s="3"/>
      <c r="N252" s="3"/>
      <c r="O252" s="3"/>
      <c r="P252" s="3"/>
      <c r="Q252" s="3"/>
      <c r="R252" s="3"/>
      <c r="S252" s="3"/>
      <c r="T252" s="3"/>
      <c r="U252" s="3"/>
      <c r="V252" s="3"/>
      <c r="W252" s="3"/>
      <c r="X252" s="3"/>
      <c r="Y252" s="3"/>
      <c r="Z252" s="3"/>
    </row>
    <row r="253" spans="2:26" ht="15" x14ac:dyDescent="0.25">
      <c r="B253" s="3"/>
      <c r="C253" s="3"/>
      <c r="D253" s="3"/>
      <c r="E253" s="602"/>
      <c r="F253" s="3"/>
      <c r="G253" s="3"/>
      <c r="H253" s="3"/>
      <c r="I253" s="3"/>
      <c r="J253" s="3"/>
      <c r="K253" s="3"/>
      <c r="L253" s="3"/>
      <c r="M253" s="3"/>
      <c r="N253" s="3"/>
      <c r="O253" s="3"/>
      <c r="P253" s="3"/>
      <c r="Q253" s="3"/>
      <c r="R253" s="3"/>
      <c r="S253" s="3"/>
      <c r="T253" s="3"/>
      <c r="U253" s="3"/>
      <c r="V253" s="3"/>
      <c r="W253" s="3"/>
      <c r="X253" s="3"/>
      <c r="Y253" s="3"/>
      <c r="Z253" s="3"/>
    </row>
    <row r="254" spans="2:26" ht="15" x14ac:dyDescent="0.25">
      <c r="B254" s="3"/>
      <c r="C254" s="3"/>
      <c r="D254" s="3"/>
      <c r="E254" s="602"/>
      <c r="F254" s="3"/>
      <c r="G254" s="3"/>
      <c r="H254" s="3"/>
      <c r="I254" s="3"/>
      <c r="J254" s="3"/>
      <c r="K254" s="3"/>
      <c r="L254" s="3"/>
      <c r="M254" s="3"/>
      <c r="N254" s="3"/>
      <c r="O254" s="3"/>
      <c r="P254" s="3"/>
      <c r="Q254" s="3"/>
      <c r="R254" s="3"/>
      <c r="S254" s="3"/>
      <c r="T254" s="3"/>
      <c r="U254" s="3"/>
      <c r="V254" s="3"/>
      <c r="W254" s="3"/>
      <c r="X254" s="3"/>
      <c r="Y254" s="3"/>
      <c r="Z254" s="3"/>
    </row>
    <row r="255" spans="2:26" ht="15" x14ac:dyDescent="0.25">
      <c r="B255" s="3"/>
      <c r="C255" s="3"/>
      <c r="D255" s="3"/>
      <c r="E255" s="602"/>
      <c r="F255" s="3"/>
      <c r="G255" s="3"/>
      <c r="H255" s="3"/>
      <c r="I255" s="3"/>
      <c r="J255" s="3"/>
      <c r="K255" s="3"/>
      <c r="L255" s="3"/>
      <c r="M255" s="3"/>
      <c r="N255" s="3"/>
      <c r="O255" s="3"/>
      <c r="P255" s="3"/>
      <c r="Q255" s="3"/>
      <c r="R255" s="3"/>
      <c r="S255" s="3"/>
      <c r="T255" s="3"/>
      <c r="U255" s="3"/>
      <c r="V255" s="3"/>
      <c r="W255" s="3"/>
      <c r="X255" s="3"/>
      <c r="Y255" s="3"/>
      <c r="Z255" s="3"/>
    </row>
    <row r="256" spans="2:26" ht="15" x14ac:dyDescent="0.25">
      <c r="B256" s="3"/>
      <c r="C256" s="3"/>
      <c r="D256" s="3"/>
      <c r="E256" s="602"/>
      <c r="F256" s="3"/>
      <c r="G256" s="3"/>
      <c r="H256" s="3"/>
      <c r="I256" s="3"/>
      <c r="J256" s="3"/>
      <c r="K256" s="3"/>
      <c r="L256" s="3"/>
      <c r="M256" s="3"/>
      <c r="N256" s="3"/>
      <c r="O256" s="3"/>
      <c r="P256" s="3"/>
      <c r="Q256" s="3"/>
      <c r="R256" s="3"/>
      <c r="S256" s="3"/>
      <c r="T256" s="3"/>
      <c r="U256" s="3"/>
      <c r="V256" s="3"/>
      <c r="W256" s="3"/>
      <c r="X256" s="3"/>
      <c r="Y256" s="3"/>
      <c r="Z256" s="3"/>
    </row>
    <row r="257" spans="2:26" ht="15" x14ac:dyDescent="0.25">
      <c r="B257" s="3"/>
      <c r="C257" s="3"/>
      <c r="D257" s="3"/>
      <c r="E257" s="602"/>
      <c r="F257" s="3"/>
      <c r="G257" s="3"/>
      <c r="H257" s="3"/>
      <c r="I257" s="3"/>
      <c r="J257" s="3"/>
      <c r="K257" s="3"/>
      <c r="L257" s="3"/>
      <c r="M257" s="3"/>
      <c r="N257" s="3"/>
      <c r="O257" s="3"/>
      <c r="P257" s="3"/>
      <c r="Q257" s="3"/>
      <c r="R257" s="3"/>
      <c r="S257" s="3"/>
      <c r="T257" s="3"/>
      <c r="U257" s="3"/>
      <c r="V257" s="3"/>
      <c r="W257" s="3"/>
      <c r="X257" s="3"/>
      <c r="Y257" s="3"/>
      <c r="Z257" s="3"/>
    </row>
    <row r="258" spans="2:26" ht="15" x14ac:dyDescent="0.25">
      <c r="B258" s="3"/>
      <c r="C258" s="3"/>
      <c r="D258" s="3"/>
      <c r="E258" s="602"/>
      <c r="F258" s="3"/>
      <c r="G258" s="3"/>
      <c r="H258" s="3"/>
      <c r="I258" s="3"/>
      <c r="J258" s="3"/>
      <c r="K258" s="3"/>
      <c r="L258" s="3"/>
      <c r="M258" s="3"/>
      <c r="N258" s="3"/>
      <c r="O258" s="3"/>
      <c r="P258" s="3"/>
      <c r="Q258" s="3"/>
      <c r="R258" s="3"/>
      <c r="S258" s="3"/>
      <c r="T258" s="3"/>
      <c r="U258" s="3"/>
      <c r="V258" s="3"/>
      <c r="W258" s="3"/>
      <c r="X258" s="3"/>
      <c r="Y258" s="3"/>
      <c r="Z258" s="3"/>
    </row>
    <row r="259" spans="2:26" ht="15" x14ac:dyDescent="0.25">
      <c r="B259" s="3"/>
      <c r="C259" s="3"/>
      <c r="D259" s="3"/>
      <c r="E259" s="602"/>
      <c r="F259" s="3"/>
      <c r="G259" s="3"/>
      <c r="H259" s="3"/>
      <c r="I259" s="3"/>
      <c r="J259" s="3"/>
      <c r="K259" s="3"/>
      <c r="L259" s="3"/>
      <c r="M259" s="3"/>
      <c r="N259" s="3"/>
      <c r="O259" s="3"/>
      <c r="P259" s="3"/>
      <c r="Q259" s="3"/>
      <c r="R259" s="3"/>
      <c r="S259" s="3"/>
      <c r="T259" s="3"/>
      <c r="U259" s="3"/>
      <c r="V259" s="3"/>
      <c r="W259" s="3"/>
      <c r="X259" s="3"/>
      <c r="Y259" s="3"/>
      <c r="Z259" s="3"/>
    </row>
    <row r="260" spans="2:26" ht="15" x14ac:dyDescent="0.25">
      <c r="B260" s="3"/>
      <c r="C260" s="3"/>
      <c r="D260" s="3"/>
      <c r="E260" s="602"/>
      <c r="F260" s="3"/>
      <c r="G260" s="3"/>
      <c r="H260" s="3"/>
      <c r="I260" s="3"/>
      <c r="J260" s="3"/>
      <c r="K260" s="3"/>
      <c r="L260" s="3"/>
      <c r="M260" s="3"/>
      <c r="N260" s="3"/>
      <c r="O260" s="3"/>
      <c r="P260" s="3"/>
      <c r="Q260" s="3"/>
      <c r="R260" s="3"/>
      <c r="S260" s="3"/>
      <c r="T260" s="3"/>
      <c r="U260" s="3"/>
      <c r="V260" s="3"/>
      <c r="W260" s="3"/>
      <c r="X260" s="3"/>
      <c r="Y260" s="3"/>
      <c r="Z260" s="3"/>
    </row>
    <row r="261" spans="2:26" ht="15" x14ac:dyDescent="0.25">
      <c r="B261" s="3"/>
      <c r="C261" s="3"/>
      <c r="D261" s="3"/>
      <c r="E261" s="602"/>
      <c r="F261" s="3"/>
      <c r="G261" s="3"/>
      <c r="H261" s="3"/>
      <c r="I261" s="3"/>
      <c r="J261" s="3"/>
      <c r="K261" s="3"/>
      <c r="L261" s="3"/>
      <c r="M261" s="3"/>
      <c r="N261" s="3"/>
      <c r="O261" s="3"/>
      <c r="P261" s="3"/>
      <c r="Q261" s="3"/>
      <c r="R261" s="3"/>
      <c r="S261" s="3"/>
      <c r="T261" s="3"/>
      <c r="U261" s="3"/>
      <c r="V261" s="3"/>
      <c r="W261" s="3"/>
      <c r="X261" s="3"/>
      <c r="Y261" s="3"/>
      <c r="Z261" s="3"/>
    </row>
    <row r="262" spans="2:26" ht="15" x14ac:dyDescent="0.25">
      <c r="B262" s="3"/>
      <c r="C262" s="3"/>
      <c r="D262" s="3"/>
      <c r="E262" s="602"/>
      <c r="F262" s="3"/>
      <c r="G262" s="3"/>
      <c r="H262" s="3"/>
      <c r="I262" s="3"/>
      <c r="J262" s="3"/>
      <c r="K262" s="3"/>
      <c r="L262" s="3"/>
      <c r="M262" s="3"/>
      <c r="N262" s="3"/>
      <c r="O262" s="3"/>
      <c r="P262" s="3"/>
      <c r="Q262" s="3"/>
      <c r="R262" s="3"/>
      <c r="S262" s="3"/>
      <c r="T262" s="3"/>
      <c r="U262" s="3"/>
      <c r="V262" s="3"/>
      <c r="W262" s="3"/>
      <c r="X262" s="3"/>
      <c r="Y262" s="3"/>
      <c r="Z262" s="3"/>
    </row>
    <row r="263" spans="2:26" ht="15" x14ac:dyDescent="0.25">
      <c r="B263" s="3"/>
      <c r="C263" s="3"/>
      <c r="D263" s="3"/>
      <c r="E263" s="602"/>
      <c r="F263" s="3"/>
      <c r="G263" s="3"/>
      <c r="H263" s="3"/>
      <c r="I263" s="3"/>
      <c r="J263" s="3"/>
      <c r="K263" s="3"/>
      <c r="L263" s="3"/>
      <c r="M263" s="3"/>
      <c r="N263" s="3"/>
      <c r="O263" s="3"/>
      <c r="P263" s="3"/>
      <c r="Q263" s="3"/>
      <c r="R263" s="3"/>
      <c r="S263" s="3"/>
      <c r="T263" s="3"/>
      <c r="U263" s="3"/>
      <c r="V263" s="3"/>
      <c r="W263" s="3"/>
      <c r="X263" s="3"/>
      <c r="Y263" s="3"/>
      <c r="Z263" s="3"/>
    </row>
    <row r="264" spans="2:26" ht="15" x14ac:dyDescent="0.25">
      <c r="B264" s="3"/>
      <c r="C264" s="3"/>
      <c r="D264" s="3"/>
      <c r="E264" s="602"/>
      <c r="F264" s="3"/>
      <c r="G264" s="3"/>
      <c r="H264" s="3"/>
      <c r="I264" s="3"/>
      <c r="J264" s="3"/>
      <c r="K264" s="3"/>
      <c r="L264" s="3"/>
      <c r="M264" s="3"/>
      <c r="N264" s="3"/>
      <c r="O264" s="3"/>
      <c r="P264" s="3"/>
      <c r="Q264" s="3"/>
      <c r="R264" s="3"/>
      <c r="S264" s="3"/>
      <c r="T264" s="3"/>
      <c r="U264" s="3"/>
      <c r="V264" s="3"/>
      <c r="W264" s="3"/>
      <c r="X264" s="3"/>
      <c r="Y264" s="3"/>
      <c r="Z264" s="3"/>
    </row>
    <row r="265" spans="2:26" ht="15" x14ac:dyDescent="0.25">
      <c r="B265" s="3"/>
      <c r="C265" s="3"/>
      <c r="D265" s="3"/>
      <c r="E265" s="602"/>
      <c r="F265" s="3"/>
      <c r="G265" s="3"/>
      <c r="H265" s="3"/>
      <c r="I265" s="3"/>
      <c r="J265" s="3"/>
      <c r="K265" s="3"/>
      <c r="L265" s="3"/>
      <c r="M265" s="3"/>
      <c r="N265" s="3"/>
      <c r="O265" s="3"/>
      <c r="P265" s="3"/>
      <c r="Q265" s="3"/>
      <c r="R265" s="3"/>
      <c r="S265" s="3"/>
      <c r="T265" s="3"/>
      <c r="U265" s="3"/>
      <c r="V265" s="3"/>
      <c r="W265" s="3"/>
      <c r="X265" s="3"/>
      <c r="Y265" s="3"/>
      <c r="Z265" s="3"/>
    </row>
    <row r="266" spans="2:26" ht="15" x14ac:dyDescent="0.25">
      <c r="B266" s="3"/>
      <c r="C266" s="3"/>
      <c r="D266" s="3"/>
      <c r="E266" s="602"/>
      <c r="F266" s="3"/>
      <c r="G266" s="3"/>
      <c r="H266" s="3"/>
      <c r="I266" s="3"/>
      <c r="J266" s="3"/>
      <c r="K266" s="3"/>
      <c r="L266" s="3"/>
      <c r="M266" s="3"/>
      <c r="N266" s="3"/>
      <c r="O266" s="3"/>
      <c r="P266" s="3"/>
      <c r="Q266" s="3"/>
      <c r="R266" s="3"/>
      <c r="S266" s="3"/>
      <c r="T266" s="3"/>
      <c r="U266" s="3"/>
      <c r="V266" s="3"/>
      <c r="W266" s="3"/>
      <c r="X266" s="3"/>
      <c r="Y266" s="3"/>
      <c r="Z266" s="3"/>
    </row>
    <row r="267" spans="2:26" ht="15" x14ac:dyDescent="0.25">
      <c r="B267" s="3"/>
      <c r="C267" s="3"/>
      <c r="D267" s="3"/>
      <c r="E267" s="602"/>
      <c r="F267" s="3"/>
      <c r="G267" s="3"/>
      <c r="H267" s="3"/>
      <c r="I267" s="3"/>
      <c r="J267" s="3"/>
      <c r="K267" s="3"/>
      <c r="L267" s="3"/>
      <c r="M267" s="3"/>
      <c r="N267" s="3"/>
      <c r="O267" s="3"/>
      <c r="P267" s="3"/>
      <c r="Q267" s="3"/>
      <c r="R267" s="3"/>
      <c r="S267" s="3"/>
      <c r="T267" s="3"/>
      <c r="U267" s="3"/>
      <c r="V267" s="3"/>
      <c r="W267" s="3"/>
      <c r="X267" s="3"/>
      <c r="Y267" s="3"/>
      <c r="Z267" s="3"/>
    </row>
    <row r="268" spans="2:26" ht="15" x14ac:dyDescent="0.25">
      <c r="B268" s="3"/>
      <c r="C268" s="3"/>
      <c r="D268" s="3"/>
      <c r="E268" s="602"/>
      <c r="F268" s="3"/>
      <c r="G268" s="3"/>
      <c r="H268" s="3"/>
      <c r="I268" s="3"/>
      <c r="J268" s="3"/>
      <c r="K268" s="3"/>
      <c r="L268" s="3"/>
      <c r="M268" s="3"/>
      <c r="N268" s="3"/>
      <c r="O268" s="3"/>
      <c r="P268" s="3"/>
      <c r="Q268" s="3"/>
      <c r="R268" s="3"/>
      <c r="S268" s="3"/>
      <c r="T268" s="3"/>
      <c r="U268" s="3"/>
      <c r="V268" s="3"/>
      <c r="W268" s="3"/>
      <c r="X268" s="3"/>
      <c r="Y268" s="3"/>
      <c r="Z268" s="3"/>
    </row>
    <row r="269" spans="2:26" ht="15" x14ac:dyDescent="0.25">
      <c r="B269" s="3"/>
      <c r="C269" s="3"/>
      <c r="D269" s="3"/>
      <c r="E269" s="602"/>
      <c r="F269" s="3"/>
      <c r="G269" s="3"/>
      <c r="H269" s="3"/>
      <c r="I269" s="3"/>
      <c r="J269" s="3"/>
      <c r="K269" s="3"/>
      <c r="L269" s="3"/>
      <c r="M269" s="3"/>
      <c r="N269" s="3"/>
      <c r="O269" s="3"/>
      <c r="P269" s="3"/>
      <c r="Q269" s="3"/>
      <c r="R269" s="3"/>
      <c r="S269" s="3"/>
      <c r="T269" s="3"/>
      <c r="U269" s="3"/>
      <c r="V269" s="3"/>
      <c r="W269" s="3"/>
      <c r="X269" s="3"/>
      <c r="Y269" s="3"/>
      <c r="Z269" s="3"/>
    </row>
    <row r="270" spans="2:26" ht="15" x14ac:dyDescent="0.25">
      <c r="B270" s="3"/>
      <c r="C270" s="3"/>
      <c r="D270" s="3"/>
      <c r="E270" s="602"/>
      <c r="F270" s="3"/>
      <c r="G270" s="3"/>
      <c r="H270" s="3"/>
      <c r="I270" s="3"/>
      <c r="J270" s="3"/>
      <c r="K270" s="3"/>
      <c r="L270" s="3"/>
      <c r="M270" s="3"/>
      <c r="N270" s="3"/>
      <c r="O270" s="3"/>
      <c r="P270" s="3"/>
      <c r="Q270" s="3"/>
      <c r="R270" s="3"/>
      <c r="S270" s="3"/>
      <c r="T270" s="3"/>
      <c r="U270" s="3"/>
      <c r="V270" s="3"/>
      <c r="W270" s="3"/>
      <c r="X270" s="3"/>
      <c r="Y270" s="3"/>
      <c r="Z270" s="3"/>
    </row>
    <row r="271" spans="2:26" ht="15" x14ac:dyDescent="0.25">
      <c r="B271" s="3"/>
      <c r="C271" s="3"/>
      <c r="D271" s="3"/>
      <c r="E271" s="602"/>
      <c r="F271" s="3"/>
      <c r="G271" s="3"/>
      <c r="H271" s="3"/>
      <c r="I271" s="3"/>
      <c r="J271" s="3"/>
      <c r="K271" s="3"/>
      <c r="L271" s="3"/>
      <c r="M271" s="3"/>
      <c r="N271" s="3"/>
      <c r="O271" s="3"/>
      <c r="P271" s="3"/>
      <c r="Q271" s="3"/>
      <c r="R271" s="3"/>
      <c r="S271" s="3"/>
      <c r="T271" s="3"/>
      <c r="U271" s="3"/>
      <c r="V271" s="3"/>
      <c r="W271" s="3"/>
      <c r="X271" s="3"/>
      <c r="Y271" s="3"/>
      <c r="Z271" s="3"/>
    </row>
    <row r="272" spans="2:26" ht="15" x14ac:dyDescent="0.25">
      <c r="B272" s="3"/>
      <c r="C272" s="3"/>
      <c r="D272" s="3"/>
      <c r="E272" s="602"/>
      <c r="F272" s="3"/>
      <c r="G272" s="3"/>
      <c r="H272" s="3"/>
      <c r="I272" s="3"/>
      <c r="J272" s="3"/>
      <c r="K272" s="3"/>
      <c r="L272" s="3"/>
      <c r="M272" s="3"/>
      <c r="N272" s="3"/>
      <c r="O272" s="3"/>
      <c r="P272" s="3"/>
      <c r="Q272" s="3"/>
      <c r="R272" s="3"/>
      <c r="S272" s="3"/>
      <c r="T272" s="3"/>
      <c r="U272" s="3"/>
      <c r="V272" s="3"/>
      <c r="W272" s="3"/>
      <c r="X272" s="3"/>
      <c r="Y272" s="3"/>
      <c r="Z272" s="3"/>
    </row>
    <row r="273" spans="2:26" ht="15" x14ac:dyDescent="0.25">
      <c r="B273" s="3"/>
      <c r="C273" s="3"/>
      <c r="D273" s="3"/>
      <c r="E273" s="602"/>
      <c r="F273" s="3"/>
      <c r="G273" s="3"/>
      <c r="H273" s="3"/>
      <c r="I273" s="3"/>
      <c r="J273" s="3"/>
      <c r="K273" s="3"/>
      <c r="L273" s="3"/>
      <c r="M273" s="3"/>
      <c r="N273" s="3"/>
      <c r="O273" s="3"/>
      <c r="P273" s="3"/>
      <c r="Q273" s="3"/>
      <c r="R273" s="3"/>
      <c r="S273" s="3"/>
      <c r="T273" s="3"/>
      <c r="U273" s="3"/>
      <c r="V273" s="3"/>
      <c r="W273" s="3"/>
      <c r="X273" s="3"/>
      <c r="Y273" s="3"/>
      <c r="Z273" s="3"/>
    </row>
    <row r="274" spans="2:26" ht="15" x14ac:dyDescent="0.25">
      <c r="B274" s="3"/>
      <c r="C274" s="3"/>
      <c r="D274" s="3"/>
      <c r="E274" s="602"/>
      <c r="F274" s="3"/>
      <c r="G274" s="3"/>
      <c r="H274" s="3"/>
      <c r="I274" s="3"/>
      <c r="J274" s="3"/>
      <c r="K274" s="3"/>
      <c r="L274" s="3"/>
      <c r="M274" s="3"/>
      <c r="N274" s="3"/>
      <c r="O274" s="3"/>
      <c r="P274" s="3"/>
      <c r="Q274" s="3"/>
      <c r="R274" s="3"/>
      <c r="S274" s="3"/>
      <c r="T274" s="3"/>
      <c r="U274" s="3"/>
      <c r="V274" s="3"/>
      <c r="W274" s="3"/>
      <c r="X274" s="3"/>
      <c r="Y274" s="3"/>
      <c r="Z274" s="3"/>
    </row>
    <row r="275" spans="2:26" ht="15" x14ac:dyDescent="0.25">
      <c r="B275" s="3"/>
      <c r="C275" s="3"/>
      <c r="D275" s="3"/>
      <c r="E275" s="602"/>
      <c r="F275" s="3"/>
      <c r="G275" s="3"/>
      <c r="H275" s="3"/>
      <c r="I275" s="3"/>
      <c r="J275" s="3"/>
      <c r="K275" s="3"/>
      <c r="L275" s="3"/>
      <c r="M275" s="3"/>
      <c r="N275" s="3"/>
      <c r="O275" s="3"/>
      <c r="P275" s="3"/>
      <c r="Q275" s="3"/>
      <c r="R275" s="3"/>
      <c r="S275" s="3"/>
      <c r="T275" s="3"/>
      <c r="U275" s="3"/>
      <c r="V275" s="3"/>
      <c r="W275" s="3"/>
      <c r="X275" s="3"/>
      <c r="Y275" s="3"/>
      <c r="Z275" s="3"/>
    </row>
    <row r="276" spans="2:26" ht="15" x14ac:dyDescent="0.25">
      <c r="B276" s="3"/>
      <c r="C276" s="3"/>
      <c r="D276" s="3"/>
      <c r="E276" s="602"/>
      <c r="F276" s="3"/>
      <c r="G276" s="3"/>
      <c r="H276" s="3"/>
      <c r="I276" s="3"/>
      <c r="J276" s="3"/>
      <c r="K276" s="3"/>
      <c r="L276" s="3"/>
      <c r="M276" s="3"/>
      <c r="N276" s="3"/>
      <c r="O276" s="3"/>
      <c r="P276" s="3"/>
      <c r="Q276" s="3"/>
      <c r="R276" s="3"/>
      <c r="S276" s="3"/>
      <c r="T276" s="3"/>
      <c r="U276" s="3"/>
      <c r="V276" s="3"/>
      <c r="W276" s="3"/>
      <c r="X276" s="3"/>
      <c r="Y276" s="3"/>
      <c r="Z276" s="3"/>
    </row>
    <row r="277" spans="2:26" ht="15" x14ac:dyDescent="0.25">
      <c r="B277" s="3"/>
      <c r="C277" s="3"/>
      <c r="D277" s="3"/>
      <c r="E277" s="602"/>
      <c r="F277" s="3"/>
      <c r="G277" s="3"/>
      <c r="H277" s="3"/>
      <c r="I277" s="3"/>
      <c r="J277" s="3"/>
      <c r="K277" s="3"/>
      <c r="L277" s="3"/>
      <c r="M277" s="3"/>
      <c r="N277" s="3"/>
      <c r="O277" s="3"/>
      <c r="P277" s="3"/>
      <c r="Q277" s="3"/>
      <c r="R277" s="3"/>
      <c r="S277" s="3"/>
      <c r="T277" s="3"/>
      <c r="U277" s="3"/>
      <c r="V277" s="3"/>
      <c r="W277" s="3"/>
      <c r="X277" s="3"/>
      <c r="Y277" s="3"/>
      <c r="Z277" s="3"/>
    </row>
    <row r="278" spans="2:26" ht="15" x14ac:dyDescent="0.25">
      <c r="B278" s="3"/>
      <c r="C278" s="3"/>
      <c r="D278" s="3"/>
      <c r="E278" s="602"/>
      <c r="F278" s="3"/>
      <c r="G278" s="3"/>
      <c r="H278" s="3"/>
      <c r="I278" s="3"/>
      <c r="J278" s="3"/>
      <c r="K278" s="3"/>
      <c r="L278" s="3"/>
      <c r="M278" s="3"/>
      <c r="N278" s="3"/>
      <c r="O278" s="3"/>
      <c r="P278" s="3"/>
      <c r="Q278" s="3"/>
      <c r="R278" s="3"/>
      <c r="S278" s="3"/>
      <c r="T278" s="3"/>
      <c r="U278" s="3"/>
      <c r="V278" s="3"/>
      <c r="W278" s="3"/>
      <c r="X278" s="3"/>
      <c r="Y278" s="3"/>
      <c r="Z278" s="3"/>
    </row>
    <row r="279" spans="2:26" ht="15" x14ac:dyDescent="0.25">
      <c r="B279" s="3"/>
      <c r="C279" s="3"/>
      <c r="D279" s="3"/>
      <c r="E279" s="602"/>
      <c r="F279" s="3"/>
      <c r="G279" s="3"/>
      <c r="H279" s="3"/>
      <c r="I279" s="3"/>
      <c r="J279" s="3"/>
      <c r="K279" s="3"/>
      <c r="L279" s="3"/>
      <c r="M279" s="3"/>
      <c r="N279" s="3"/>
      <c r="O279" s="3"/>
      <c r="P279" s="3"/>
      <c r="Q279" s="3"/>
      <c r="R279" s="3"/>
      <c r="S279" s="3"/>
      <c r="T279" s="3"/>
      <c r="U279" s="3"/>
      <c r="V279" s="3"/>
      <c r="W279" s="3"/>
      <c r="X279" s="3"/>
      <c r="Y279" s="3"/>
      <c r="Z279" s="3"/>
    </row>
    <row r="280" spans="2:26" ht="15" x14ac:dyDescent="0.25">
      <c r="B280" s="3"/>
      <c r="C280" s="3"/>
      <c r="D280" s="3"/>
      <c r="E280" s="602"/>
      <c r="F280" s="3"/>
      <c r="G280" s="3"/>
      <c r="H280" s="3"/>
      <c r="I280" s="3"/>
      <c r="J280" s="3"/>
      <c r="K280" s="3"/>
      <c r="L280" s="3"/>
      <c r="M280" s="3"/>
      <c r="N280" s="3"/>
      <c r="O280" s="3"/>
      <c r="P280" s="3"/>
      <c r="Q280" s="3"/>
      <c r="R280" s="3"/>
      <c r="S280" s="3"/>
      <c r="T280" s="3"/>
      <c r="U280" s="3"/>
      <c r="V280" s="3"/>
      <c r="W280" s="3"/>
      <c r="X280" s="3"/>
      <c r="Y280" s="3"/>
      <c r="Z280" s="3"/>
    </row>
    <row r="281" spans="2:26" ht="15" x14ac:dyDescent="0.25">
      <c r="B281" s="3"/>
      <c r="C281" s="3"/>
      <c r="D281" s="3"/>
      <c r="E281" s="602"/>
      <c r="F281" s="3"/>
      <c r="G281" s="3"/>
      <c r="H281" s="3"/>
      <c r="I281" s="3"/>
      <c r="J281" s="3"/>
      <c r="K281" s="3"/>
      <c r="L281" s="3"/>
      <c r="M281" s="3"/>
      <c r="N281" s="3"/>
      <c r="O281" s="3"/>
      <c r="P281" s="3"/>
      <c r="Q281" s="3"/>
      <c r="R281" s="3"/>
      <c r="S281" s="3"/>
      <c r="T281" s="3"/>
      <c r="U281" s="3"/>
      <c r="V281" s="3"/>
      <c r="W281" s="3"/>
      <c r="X281" s="3"/>
      <c r="Y281" s="3"/>
      <c r="Z281" s="3"/>
    </row>
    <row r="282" spans="2:26" ht="15" x14ac:dyDescent="0.25">
      <c r="B282" s="3"/>
      <c r="C282" s="3"/>
      <c r="D282" s="3"/>
      <c r="E282" s="602"/>
      <c r="F282" s="3"/>
      <c r="G282" s="3"/>
      <c r="H282" s="3"/>
      <c r="I282" s="3"/>
      <c r="J282" s="3"/>
      <c r="K282" s="3"/>
      <c r="L282" s="3"/>
      <c r="M282" s="3"/>
      <c r="N282" s="3"/>
      <c r="O282" s="3"/>
      <c r="P282" s="3"/>
      <c r="Q282" s="3"/>
      <c r="R282" s="3"/>
      <c r="S282" s="3"/>
      <c r="T282" s="3"/>
      <c r="U282" s="3"/>
      <c r="V282" s="3"/>
      <c r="W282" s="3"/>
      <c r="X282" s="3"/>
      <c r="Y282" s="3"/>
      <c r="Z282" s="3"/>
    </row>
    <row r="283" spans="2:26" ht="15" x14ac:dyDescent="0.25">
      <c r="B283" s="3"/>
      <c r="C283" s="3"/>
      <c r="D283" s="3"/>
      <c r="E283" s="602"/>
      <c r="F283" s="3"/>
      <c r="G283" s="3"/>
      <c r="H283" s="3"/>
      <c r="I283" s="3"/>
      <c r="J283" s="3"/>
      <c r="K283" s="3"/>
      <c r="L283" s="3"/>
      <c r="M283" s="3"/>
      <c r="N283" s="3"/>
      <c r="O283" s="3"/>
      <c r="P283" s="3"/>
      <c r="Q283" s="3"/>
      <c r="R283" s="3"/>
      <c r="S283" s="3"/>
      <c r="T283" s="3"/>
      <c r="U283" s="3"/>
      <c r="V283" s="3"/>
      <c r="W283" s="3"/>
      <c r="X283" s="3"/>
      <c r="Y283" s="3"/>
      <c r="Z283" s="3"/>
    </row>
    <row r="284" spans="2:26" ht="15" x14ac:dyDescent="0.25">
      <c r="B284" s="3"/>
      <c r="C284" s="3"/>
      <c r="D284" s="3"/>
      <c r="E284" s="602"/>
      <c r="F284" s="3"/>
      <c r="G284" s="3"/>
      <c r="H284" s="3"/>
      <c r="I284" s="3"/>
      <c r="J284" s="3"/>
      <c r="K284" s="3"/>
      <c r="L284" s="3"/>
      <c r="M284" s="3"/>
      <c r="N284" s="3"/>
      <c r="O284" s="3"/>
      <c r="P284" s="3"/>
      <c r="Q284" s="3"/>
      <c r="R284" s="3"/>
      <c r="S284" s="3"/>
      <c r="T284" s="3"/>
      <c r="U284" s="3"/>
      <c r="V284" s="3"/>
      <c r="W284" s="3"/>
      <c r="X284" s="3"/>
      <c r="Y284" s="3"/>
      <c r="Z284" s="3"/>
    </row>
    <row r="285" spans="2:26" ht="15" x14ac:dyDescent="0.25">
      <c r="B285" s="3"/>
      <c r="C285" s="3"/>
      <c r="D285" s="3"/>
      <c r="E285" s="602"/>
      <c r="F285" s="3"/>
      <c r="G285" s="3"/>
      <c r="H285" s="3"/>
      <c r="I285" s="3"/>
      <c r="J285" s="3"/>
      <c r="K285" s="3"/>
      <c r="L285" s="3"/>
      <c r="M285" s="3"/>
      <c r="N285" s="3"/>
      <c r="O285" s="3"/>
      <c r="P285" s="3"/>
      <c r="Q285" s="3"/>
      <c r="R285" s="3"/>
      <c r="S285" s="3"/>
      <c r="T285" s="3"/>
      <c r="U285" s="3"/>
      <c r="V285" s="3"/>
      <c r="W285" s="3"/>
      <c r="X285" s="3"/>
      <c r="Y285" s="3"/>
      <c r="Z285" s="3"/>
    </row>
    <row r="286" spans="2:26" ht="15" x14ac:dyDescent="0.25">
      <c r="B286" s="3"/>
      <c r="C286" s="3"/>
      <c r="D286" s="3"/>
      <c r="E286" s="602"/>
      <c r="F286" s="3"/>
      <c r="G286" s="3"/>
      <c r="H286" s="3"/>
      <c r="I286" s="3"/>
      <c r="J286" s="3"/>
      <c r="K286" s="3"/>
      <c r="L286" s="3"/>
      <c r="M286" s="3"/>
      <c r="N286" s="3"/>
      <c r="O286" s="3"/>
      <c r="P286" s="3"/>
      <c r="Q286" s="3"/>
      <c r="R286" s="3"/>
      <c r="S286" s="3"/>
      <c r="T286" s="3"/>
      <c r="U286" s="3"/>
      <c r="V286" s="3"/>
      <c r="W286" s="3"/>
      <c r="X286" s="3"/>
      <c r="Y286" s="3"/>
      <c r="Z286" s="3"/>
    </row>
    <row r="287" spans="2:26" ht="15" x14ac:dyDescent="0.25">
      <c r="B287" s="3"/>
      <c r="C287" s="3"/>
      <c r="D287" s="3"/>
      <c r="E287" s="602"/>
      <c r="F287" s="3"/>
      <c r="G287" s="3"/>
      <c r="H287" s="3"/>
      <c r="I287" s="3"/>
      <c r="J287" s="3"/>
      <c r="K287" s="3"/>
      <c r="L287" s="3"/>
      <c r="M287" s="3"/>
      <c r="N287" s="3"/>
      <c r="O287" s="3"/>
      <c r="P287" s="3"/>
      <c r="Q287" s="3"/>
      <c r="R287" s="3"/>
      <c r="S287" s="3"/>
      <c r="T287" s="3"/>
      <c r="U287" s="3"/>
      <c r="V287" s="3"/>
      <c r="W287" s="3"/>
      <c r="X287" s="3"/>
      <c r="Y287" s="3"/>
      <c r="Z287" s="3"/>
    </row>
    <row r="288" spans="2:26" ht="15" x14ac:dyDescent="0.25">
      <c r="B288" s="3"/>
      <c r="C288" s="3"/>
      <c r="D288" s="3"/>
      <c r="E288" s="602"/>
      <c r="F288" s="3"/>
      <c r="G288" s="3"/>
      <c r="H288" s="3"/>
      <c r="I288" s="3"/>
      <c r="J288" s="3"/>
      <c r="K288" s="3"/>
      <c r="L288" s="3"/>
      <c r="M288" s="3"/>
      <c r="N288" s="3"/>
      <c r="O288" s="3"/>
      <c r="P288" s="3"/>
      <c r="Q288" s="3"/>
      <c r="R288" s="3"/>
      <c r="S288" s="3"/>
      <c r="T288" s="3"/>
      <c r="U288" s="3"/>
      <c r="V288" s="3"/>
      <c r="W288" s="3"/>
      <c r="X288" s="3"/>
      <c r="Y288" s="3"/>
      <c r="Z288" s="3"/>
    </row>
    <row r="289" spans="2:26" ht="15" x14ac:dyDescent="0.25">
      <c r="B289" s="3"/>
      <c r="C289" s="3"/>
      <c r="D289" s="3"/>
      <c r="E289" s="602"/>
      <c r="F289" s="3"/>
      <c r="G289" s="3"/>
      <c r="H289" s="3"/>
      <c r="I289" s="3"/>
      <c r="J289" s="3"/>
      <c r="K289" s="3"/>
      <c r="L289" s="3"/>
      <c r="M289" s="3"/>
      <c r="N289" s="3"/>
      <c r="O289" s="3"/>
      <c r="P289" s="3"/>
      <c r="Q289" s="3"/>
      <c r="R289" s="3"/>
      <c r="S289" s="3"/>
      <c r="T289" s="3"/>
      <c r="U289" s="3"/>
      <c r="V289" s="3"/>
      <c r="W289" s="3"/>
      <c r="X289" s="3"/>
      <c r="Y289" s="3"/>
      <c r="Z289" s="3"/>
    </row>
    <row r="290" spans="2:26" ht="15" x14ac:dyDescent="0.25">
      <c r="B290" s="3"/>
      <c r="C290" s="3"/>
      <c r="D290" s="3"/>
      <c r="E290" s="602"/>
      <c r="F290" s="3"/>
      <c r="G290" s="3"/>
      <c r="H290" s="3"/>
      <c r="I290" s="3"/>
      <c r="J290" s="3"/>
      <c r="K290" s="3"/>
      <c r="L290" s="3"/>
      <c r="M290" s="3"/>
      <c r="N290" s="3"/>
      <c r="O290" s="3"/>
      <c r="P290" s="3"/>
      <c r="Q290" s="3"/>
      <c r="R290" s="3"/>
      <c r="S290" s="3"/>
      <c r="T290" s="3"/>
      <c r="U290" s="3"/>
      <c r="V290" s="3"/>
      <c r="W290" s="3"/>
      <c r="X290" s="3"/>
      <c r="Y290" s="3"/>
      <c r="Z290" s="3"/>
    </row>
    <row r="291" spans="2:26" ht="15" x14ac:dyDescent="0.25">
      <c r="B291" s="3"/>
      <c r="C291" s="3"/>
      <c r="D291" s="3"/>
      <c r="E291" s="602"/>
      <c r="F291" s="3"/>
      <c r="G291" s="3"/>
      <c r="H291" s="3"/>
      <c r="I291" s="3"/>
      <c r="J291" s="3"/>
      <c r="K291" s="3"/>
      <c r="L291" s="3"/>
      <c r="M291" s="3"/>
      <c r="N291" s="3"/>
      <c r="O291" s="3"/>
      <c r="P291" s="3"/>
      <c r="Q291" s="3"/>
      <c r="R291" s="3"/>
      <c r="S291" s="3"/>
      <c r="T291" s="3"/>
      <c r="U291" s="3"/>
      <c r="V291" s="3"/>
      <c r="W291" s="3"/>
      <c r="X291" s="3"/>
      <c r="Y291" s="3"/>
      <c r="Z291" s="3"/>
    </row>
    <row r="292" spans="2:26" ht="15" x14ac:dyDescent="0.25">
      <c r="B292" s="3"/>
      <c r="C292" s="3"/>
      <c r="D292" s="3"/>
      <c r="E292" s="602"/>
      <c r="F292" s="3"/>
      <c r="G292" s="3"/>
      <c r="H292" s="3"/>
      <c r="I292" s="3"/>
      <c r="J292" s="3"/>
      <c r="K292" s="3"/>
      <c r="L292" s="3"/>
      <c r="M292" s="3"/>
      <c r="N292" s="3"/>
      <c r="O292" s="3"/>
      <c r="P292" s="3"/>
      <c r="Q292" s="3"/>
      <c r="R292" s="3"/>
      <c r="S292" s="3"/>
      <c r="T292" s="3"/>
      <c r="U292" s="3"/>
      <c r="V292" s="3"/>
      <c r="W292" s="3"/>
      <c r="X292" s="3"/>
      <c r="Y292" s="3"/>
      <c r="Z292" s="3"/>
    </row>
    <row r="293" spans="2:26" ht="15" x14ac:dyDescent="0.25">
      <c r="B293" s="3"/>
      <c r="C293" s="3"/>
      <c r="D293" s="3"/>
      <c r="E293" s="602"/>
      <c r="F293" s="3"/>
      <c r="G293" s="3"/>
      <c r="H293" s="3"/>
      <c r="I293" s="3"/>
      <c r="J293" s="3"/>
      <c r="K293" s="3"/>
      <c r="L293" s="3"/>
      <c r="M293" s="3"/>
      <c r="N293" s="3"/>
      <c r="O293" s="3"/>
      <c r="P293" s="3"/>
      <c r="Q293" s="3"/>
      <c r="R293" s="3"/>
      <c r="S293" s="3"/>
      <c r="T293" s="3"/>
      <c r="U293" s="3"/>
      <c r="V293" s="3"/>
      <c r="W293" s="3"/>
      <c r="X293" s="3"/>
      <c r="Y293" s="3"/>
      <c r="Z293" s="3"/>
    </row>
    <row r="294" spans="2:26" ht="15" x14ac:dyDescent="0.25">
      <c r="B294" s="3"/>
      <c r="C294" s="3"/>
      <c r="D294" s="3"/>
      <c r="E294" s="602"/>
      <c r="F294" s="3"/>
      <c r="G294" s="3"/>
      <c r="H294" s="3"/>
      <c r="I294" s="3"/>
      <c r="J294" s="3"/>
      <c r="K294" s="3"/>
      <c r="L294" s="3"/>
      <c r="M294" s="3"/>
      <c r="N294" s="3"/>
      <c r="O294" s="3"/>
      <c r="P294" s="3"/>
      <c r="Q294" s="3"/>
      <c r="R294" s="3"/>
      <c r="S294" s="3"/>
      <c r="T294" s="3"/>
      <c r="U294" s="3"/>
      <c r="V294" s="3"/>
      <c r="W294" s="3"/>
      <c r="X294" s="3"/>
      <c r="Y294" s="3"/>
      <c r="Z294" s="3"/>
    </row>
    <row r="295" spans="2:26" ht="15" x14ac:dyDescent="0.25">
      <c r="B295" s="3"/>
      <c r="C295" s="3"/>
      <c r="D295" s="3"/>
      <c r="E295" s="602"/>
      <c r="F295" s="3"/>
      <c r="G295" s="3"/>
      <c r="H295" s="3"/>
      <c r="I295" s="3"/>
      <c r="J295" s="3"/>
      <c r="K295" s="3"/>
      <c r="L295" s="3"/>
      <c r="M295" s="3"/>
      <c r="N295" s="3"/>
      <c r="O295" s="3"/>
      <c r="P295" s="3"/>
      <c r="Q295" s="3"/>
      <c r="R295" s="3"/>
      <c r="S295" s="3"/>
      <c r="T295" s="3"/>
      <c r="U295" s="3"/>
      <c r="V295" s="3"/>
      <c r="W295" s="3"/>
      <c r="X295" s="3"/>
      <c r="Y295" s="3"/>
      <c r="Z295" s="3"/>
    </row>
    <row r="296" spans="2:26" ht="15" x14ac:dyDescent="0.25">
      <c r="B296" s="3"/>
      <c r="C296" s="3"/>
      <c r="D296" s="3"/>
      <c r="E296" s="602"/>
      <c r="F296" s="3"/>
      <c r="G296" s="3"/>
      <c r="H296" s="3"/>
      <c r="I296" s="3"/>
      <c r="J296" s="3"/>
      <c r="K296" s="3"/>
      <c r="L296" s="3"/>
      <c r="M296" s="3"/>
      <c r="N296" s="3"/>
      <c r="O296" s="3"/>
      <c r="P296" s="3"/>
      <c r="Q296" s="3"/>
      <c r="R296" s="3"/>
      <c r="S296" s="3"/>
      <c r="T296" s="3"/>
      <c r="U296" s="3"/>
      <c r="V296" s="3"/>
      <c r="W296" s="3"/>
      <c r="X296" s="3"/>
      <c r="Y296" s="3"/>
      <c r="Z296" s="3"/>
    </row>
    <row r="297" spans="2:26" ht="15" x14ac:dyDescent="0.25">
      <c r="B297" s="3"/>
      <c r="C297" s="3"/>
      <c r="D297" s="3"/>
      <c r="E297" s="602"/>
      <c r="F297" s="3"/>
      <c r="G297" s="3"/>
      <c r="H297" s="3"/>
      <c r="I297" s="3"/>
      <c r="J297" s="3"/>
      <c r="K297" s="3"/>
      <c r="L297" s="3"/>
      <c r="M297" s="3"/>
      <c r="N297" s="3"/>
      <c r="O297" s="3"/>
      <c r="P297" s="3"/>
      <c r="Q297" s="3"/>
      <c r="R297" s="3"/>
      <c r="S297" s="3"/>
      <c r="T297" s="3"/>
      <c r="U297" s="3"/>
      <c r="V297" s="3"/>
      <c r="W297" s="3"/>
      <c r="X297" s="3"/>
      <c r="Y297" s="3"/>
      <c r="Z297" s="3"/>
    </row>
    <row r="298" spans="2:26" ht="15" x14ac:dyDescent="0.25">
      <c r="B298" s="3"/>
      <c r="C298" s="3"/>
      <c r="D298" s="3"/>
      <c r="E298" s="602"/>
      <c r="F298" s="3"/>
      <c r="G298" s="3"/>
      <c r="H298" s="3"/>
      <c r="I298" s="3"/>
      <c r="J298" s="3"/>
      <c r="K298" s="3"/>
      <c r="L298" s="3"/>
      <c r="M298" s="3"/>
      <c r="N298" s="3"/>
      <c r="O298" s="3"/>
      <c r="P298" s="3"/>
      <c r="Q298" s="3"/>
      <c r="R298" s="3"/>
      <c r="S298" s="3"/>
      <c r="T298" s="3"/>
      <c r="U298" s="3"/>
      <c r="V298" s="3"/>
      <c r="W298" s="3"/>
      <c r="X298" s="3"/>
      <c r="Y298" s="3"/>
      <c r="Z298" s="3"/>
    </row>
    <row r="299" spans="2:26" ht="15" x14ac:dyDescent="0.25">
      <c r="B299" s="3"/>
      <c r="C299" s="3"/>
      <c r="D299" s="3"/>
      <c r="E299" s="602"/>
      <c r="F299" s="3"/>
      <c r="G299" s="3"/>
      <c r="H299" s="3"/>
      <c r="I299" s="3"/>
      <c r="J299" s="3"/>
      <c r="K299" s="3"/>
      <c r="L299" s="3"/>
      <c r="M299" s="3"/>
      <c r="N299" s="3"/>
      <c r="O299" s="3"/>
      <c r="P299" s="3"/>
      <c r="Q299" s="3"/>
      <c r="R299" s="3"/>
      <c r="S299" s="3"/>
      <c r="T299" s="3"/>
      <c r="U299" s="3"/>
      <c r="V299" s="3"/>
      <c r="W299" s="3"/>
      <c r="X299" s="3"/>
      <c r="Y299" s="3"/>
      <c r="Z299" s="3"/>
    </row>
    <row r="300" spans="2:26" ht="15" x14ac:dyDescent="0.25">
      <c r="B300" s="3"/>
      <c r="C300" s="3"/>
      <c r="D300" s="3"/>
      <c r="E300" s="602"/>
      <c r="F300" s="3"/>
      <c r="G300" s="3"/>
      <c r="H300" s="3"/>
      <c r="I300" s="3"/>
      <c r="J300" s="3"/>
      <c r="K300" s="3"/>
      <c r="L300" s="3"/>
      <c r="M300" s="3"/>
      <c r="N300" s="3"/>
      <c r="O300" s="3"/>
      <c r="P300" s="3"/>
      <c r="Q300" s="3"/>
      <c r="R300" s="3"/>
      <c r="S300" s="3"/>
      <c r="T300" s="3"/>
      <c r="U300" s="3"/>
      <c r="V300" s="3"/>
      <c r="W300" s="3"/>
      <c r="X300" s="3"/>
      <c r="Y300" s="3"/>
      <c r="Z300" s="3"/>
    </row>
    <row r="301" spans="2:26" ht="15" x14ac:dyDescent="0.25">
      <c r="B301" s="3"/>
      <c r="C301" s="3"/>
      <c r="D301" s="3"/>
      <c r="E301" s="602"/>
      <c r="F301" s="3"/>
      <c r="G301" s="3"/>
      <c r="H301" s="3"/>
      <c r="I301" s="3"/>
      <c r="J301" s="3"/>
      <c r="K301" s="3"/>
      <c r="L301" s="3"/>
      <c r="M301" s="3"/>
      <c r="N301" s="3"/>
      <c r="O301" s="3"/>
      <c r="P301" s="3"/>
      <c r="Q301" s="3"/>
      <c r="R301" s="3"/>
      <c r="S301" s="3"/>
      <c r="T301" s="3"/>
      <c r="U301" s="3"/>
      <c r="V301" s="3"/>
      <c r="W301" s="3"/>
      <c r="X301" s="3"/>
      <c r="Y301" s="3"/>
      <c r="Z301" s="3"/>
    </row>
    <row r="302" spans="2:26" ht="15" x14ac:dyDescent="0.25">
      <c r="B302" s="3"/>
      <c r="C302" s="3"/>
      <c r="D302" s="3"/>
      <c r="E302" s="602"/>
      <c r="F302" s="3"/>
      <c r="G302" s="3"/>
      <c r="H302" s="3"/>
      <c r="I302" s="3"/>
      <c r="J302" s="3"/>
      <c r="K302" s="3"/>
      <c r="L302" s="3"/>
      <c r="M302" s="3"/>
      <c r="N302" s="3"/>
      <c r="O302" s="3"/>
      <c r="P302" s="3"/>
      <c r="Q302" s="3"/>
      <c r="R302" s="3"/>
      <c r="S302" s="3"/>
      <c r="T302" s="3"/>
      <c r="U302" s="3"/>
      <c r="V302" s="3"/>
      <c r="W302" s="3"/>
      <c r="X302" s="3"/>
      <c r="Y302" s="3"/>
      <c r="Z302" s="3"/>
    </row>
    <row r="303" spans="2:26" ht="15" x14ac:dyDescent="0.25">
      <c r="B303" s="3"/>
      <c r="C303" s="3"/>
      <c r="D303" s="3"/>
      <c r="E303" s="602"/>
      <c r="F303" s="3"/>
      <c r="G303" s="3"/>
      <c r="H303" s="3"/>
      <c r="I303" s="3"/>
      <c r="J303" s="3"/>
      <c r="K303" s="3"/>
      <c r="L303" s="3"/>
      <c r="M303" s="3"/>
      <c r="N303" s="3"/>
      <c r="O303" s="3"/>
      <c r="P303" s="3"/>
      <c r="Q303" s="3"/>
      <c r="R303" s="3"/>
      <c r="S303" s="3"/>
      <c r="T303" s="3"/>
      <c r="U303" s="3"/>
      <c r="V303" s="3"/>
      <c r="W303" s="3"/>
      <c r="X303" s="3"/>
      <c r="Y303" s="3"/>
      <c r="Z303" s="3"/>
    </row>
    <row r="304" spans="2:26" ht="15" x14ac:dyDescent="0.25">
      <c r="B304" s="3"/>
      <c r="C304" s="3"/>
      <c r="D304" s="3"/>
      <c r="E304" s="602"/>
      <c r="F304" s="3"/>
      <c r="G304" s="3"/>
      <c r="H304" s="3"/>
      <c r="I304" s="3"/>
      <c r="J304" s="3"/>
      <c r="K304" s="3"/>
      <c r="L304" s="3"/>
      <c r="M304" s="3"/>
      <c r="N304" s="3"/>
      <c r="O304" s="3"/>
      <c r="P304" s="3"/>
      <c r="Q304" s="3"/>
      <c r="R304" s="3"/>
      <c r="S304" s="3"/>
      <c r="T304" s="3"/>
      <c r="U304" s="3"/>
      <c r="V304" s="3"/>
      <c r="W304" s="3"/>
      <c r="X304" s="3"/>
      <c r="Y304" s="3"/>
      <c r="Z304" s="3"/>
    </row>
    <row r="305" spans="2:26" ht="15" x14ac:dyDescent="0.25">
      <c r="B305" s="3"/>
      <c r="C305" s="3"/>
      <c r="D305" s="3"/>
      <c r="E305" s="602"/>
      <c r="F305" s="3"/>
      <c r="G305" s="3"/>
      <c r="H305" s="3"/>
      <c r="I305" s="3"/>
      <c r="J305" s="3"/>
      <c r="K305" s="3"/>
      <c r="L305" s="3"/>
      <c r="M305" s="3"/>
      <c r="N305" s="3"/>
      <c r="O305" s="3"/>
      <c r="P305" s="3"/>
      <c r="Q305" s="3"/>
      <c r="R305" s="3"/>
      <c r="S305" s="3"/>
      <c r="T305" s="3"/>
      <c r="U305" s="3"/>
      <c r="V305" s="3"/>
      <c r="W305" s="3"/>
      <c r="X305" s="3"/>
      <c r="Y305" s="3"/>
      <c r="Z305" s="3"/>
    </row>
    <row r="306" spans="2:26" ht="15" x14ac:dyDescent="0.25">
      <c r="B306" s="3"/>
      <c r="C306" s="3"/>
      <c r="D306" s="3"/>
      <c r="E306" s="602"/>
      <c r="F306" s="3"/>
      <c r="G306" s="3"/>
      <c r="H306" s="3"/>
      <c r="I306" s="3"/>
      <c r="J306" s="3"/>
      <c r="K306" s="3"/>
      <c r="L306" s="3"/>
      <c r="M306" s="3"/>
      <c r="N306" s="3"/>
      <c r="O306" s="3"/>
      <c r="P306" s="3"/>
      <c r="Q306" s="3"/>
      <c r="R306" s="3"/>
      <c r="S306" s="3"/>
      <c r="T306" s="3"/>
      <c r="U306" s="3"/>
      <c r="V306" s="3"/>
      <c r="W306" s="3"/>
      <c r="X306" s="3"/>
      <c r="Y306" s="3"/>
      <c r="Z306" s="3"/>
    </row>
    <row r="307" spans="2:26" ht="15" x14ac:dyDescent="0.25">
      <c r="B307" s="3"/>
      <c r="C307" s="3"/>
      <c r="D307" s="3"/>
      <c r="E307" s="602"/>
      <c r="F307" s="3"/>
      <c r="G307" s="3"/>
      <c r="H307" s="3"/>
      <c r="I307" s="3"/>
      <c r="J307" s="3"/>
      <c r="K307" s="3"/>
      <c r="L307" s="3"/>
      <c r="M307" s="3"/>
      <c r="N307" s="3"/>
      <c r="O307" s="3"/>
      <c r="P307" s="3"/>
      <c r="Q307" s="3"/>
      <c r="R307" s="3"/>
      <c r="S307" s="3"/>
      <c r="T307" s="3"/>
      <c r="U307" s="3"/>
      <c r="V307" s="3"/>
      <c r="W307" s="3"/>
      <c r="X307" s="3"/>
      <c r="Y307" s="3"/>
      <c r="Z307" s="3"/>
    </row>
    <row r="308" spans="2:26" ht="15" x14ac:dyDescent="0.25">
      <c r="B308" s="3"/>
      <c r="C308" s="3"/>
      <c r="D308" s="3"/>
      <c r="E308" s="602"/>
      <c r="F308" s="3"/>
      <c r="G308" s="3"/>
      <c r="H308" s="3"/>
      <c r="I308" s="3"/>
      <c r="J308" s="3"/>
      <c r="K308" s="3"/>
      <c r="L308" s="3"/>
      <c r="M308" s="3"/>
      <c r="N308" s="3"/>
      <c r="O308" s="3"/>
      <c r="P308" s="3"/>
      <c r="Q308" s="3"/>
      <c r="R308" s="3"/>
      <c r="S308" s="3"/>
      <c r="T308" s="3"/>
      <c r="U308" s="3"/>
      <c r="V308" s="3"/>
      <c r="W308" s="3"/>
      <c r="X308" s="3"/>
      <c r="Y308" s="3"/>
      <c r="Z308" s="3"/>
    </row>
    <row r="309" spans="2:26" ht="15" x14ac:dyDescent="0.25">
      <c r="B309" s="3"/>
      <c r="C309" s="3"/>
      <c r="D309" s="3"/>
      <c r="E309" s="602"/>
      <c r="F309" s="3"/>
      <c r="G309" s="3"/>
      <c r="H309" s="3"/>
      <c r="I309" s="3"/>
      <c r="J309" s="3"/>
      <c r="K309" s="3"/>
      <c r="L309" s="3"/>
      <c r="M309" s="3"/>
      <c r="N309" s="3"/>
      <c r="O309" s="3"/>
      <c r="P309" s="3"/>
      <c r="Q309" s="3"/>
      <c r="R309" s="3"/>
      <c r="S309" s="3"/>
      <c r="T309" s="3"/>
      <c r="U309" s="3"/>
      <c r="V309" s="3"/>
      <c r="W309" s="3"/>
      <c r="X309" s="3"/>
      <c r="Y309" s="3"/>
      <c r="Z309" s="3"/>
    </row>
    <row r="310" spans="2:26" ht="15" x14ac:dyDescent="0.25">
      <c r="B310" s="3"/>
      <c r="C310" s="3"/>
      <c r="D310" s="3"/>
      <c r="E310" s="602"/>
      <c r="F310" s="3"/>
      <c r="G310" s="3"/>
      <c r="H310" s="3"/>
      <c r="I310" s="3"/>
      <c r="J310" s="3"/>
      <c r="K310" s="3"/>
      <c r="L310" s="3"/>
      <c r="M310" s="3"/>
      <c r="N310" s="3"/>
      <c r="O310" s="3"/>
      <c r="P310" s="3"/>
      <c r="Q310" s="3"/>
      <c r="R310" s="3"/>
      <c r="S310" s="3"/>
      <c r="T310" s="3"/>
      <c r="U310" s="3"/>
      <c r="V310" s="3"/>
      <c r="W310" s="3"/>
      <c r="X310" s="3"/>
      <c r="Y310" s="3"/>
      <c r="Z310" s="3"/>
    </row>
    <row r="311" spans="2:26" ht="15" x14ac:dyDescent="0.25">
      <c r="B311" s="3"/>
      <c r="C311" s="3"/>
      <c r="D311" s="3"/>
      <c r="E311" s="602"/>
      <c r="F311" s="3"/>
      <c r="G311" s="3"/>
      <c r="H311" s="3"/>
      <c r="I311" s="3"/>
      <c r="J311" s="3"/>
      <c r="K311" s="3"/>
      <c r="L311" s="3"/>
      <c r="M311" s="3"/>
      <c r="N311" s="3"/>
      <c r="O311" s="3"/>
      <c r="P311" s="3"/>
      <c r="Q311" s="3"/>
      <c r="R311" s="3"/>
      <c r="S311" s="3"/>
      <c r="T311" s="3"/>
      <c r="U311" s="3"/>
      <c r="V311" s="3"/>
      <c r="W311" s="3"/>
      <c r="X311" s="3"/>
      <c r="Y311" s="3"/>
      <c r="Z311" s="3"/>
    </row>
    <row r="312" spans="2:26" ht="15" x14ac:dyDescent="0.25">
      <c r="B312" s="3"/>
      <c r="C312" s="3"/>
      <c r="D312" s="3"/>
      <c r="E312" s="602"/>
      <c r="F312" s="3"/>
      <c r="G312" s="3"/>
      <c r="H312" s="3"/>
      <c r="I312" s="3"/>
      <c r="J312" s="3"/>
      <c r="K312" s="3"/>
      <c r="L312" s="3"/>
      <c r="M312" s="3"/>
      <c r="N312" s="3"/>
      <c r="O312" s="3"/>
      <c r="P312" s="3"/>
      <c r="Q312" s="3"/>
      <c r="R312" s="3"/>
      <c r="S312" s="3"/>
      <c r="T312" s="3"/>
      <c r="U312" s="3"/>
      <c r="V312" s="3"/>
      <c r="W312" s="3"/>
      <c r="X312" s="3"/>
      <c r="Y312" s="3"/>
      <c r="Z312" s="3"/>
    </row>
    <row r="313" spans="2:26" ht="15" x14ac:dyDescent="0.25">
      <c r="B313" s="3"/>
      <c r="C313" s="3"/>
      <c r="D313" s="3"/>
      <c r="E313" s="602"/>
      <c r="F313" s="3"/>
      <c r="G313" s="3"/>
      <c r="H313" s="3"/>
      <c r="I313" s="3"/>
      <c r="J313" s="3"/>
      <c r="K313" s="3"/>
      <c r="L313" s="3"/>
      <c r="M313" s="3"/>
      <c r="N313" s="3"/>
      <c r="O313" s="3"/>
      <c r="P313" s="3"/>
      <c r="Q313" s="3"/>
      <c r="R313" s="3"/>
      <c r="S313" s="3"/>
      <c r="T313" s="3"/>
      <c r="U313" s="3"/>
      <c r="V313" s="3"/>
      <c r="W313" s="3"/>
      <c r="X313" s="3"/>
      <c r="Y313" s="3"/>
      <c r="Z313" s="3"/>
    </row>
    <row r="314" spans="2:26" ht="15" x14ac:dyDescent="0.25">
      <c r="B314" s="3"/>
      <c r="C314" s="3"/>
      <c r="D314" s="3"/>
      <c r="E314" s="602"/>
      <c r="F314" s="3"/>
      <c r="G314" s="3"/>
      <c r="H314" s="3"/>
      <c r="I314" s="3"/>
      <c r="J314" s="3"/>
      <c r="K314" s="3"/>
      <c r="L314" s="3"/>
      <c r="M314" s="3"/>
      <c r="N314" s="3"/>
      <c r="O314" s="3"/>
      <c r="P314" s="3"/>
      <c r="Q314" s="3"/>
      <c r="R314" s="3"/>
      <c r="S314" s="3"/>
      <c r="T314" s="3"/>
      <c r="U314" s="3"/>
      <c r="V314" s="3"/>
      <c r="W314" s="3"/>
      <c r="X314" s="3"/>
      <c r="Y314" s="3"/>
      <c r="Z314" s="3"/>
    </row>
    <row r="315" spans="2:26" ht="15" x14ac:dyDescent="0.25">
      <c r="B315" s="3"/>
      <c r="C315" s="3"/>
      <c r="D315" s="3"/>
      <c r="E315" s="602"/>
      <c r="F315" s="3"/>
      <c r="G315" s="3"/>
      <c r="H315" s="3"/>
      <c r="I315" s="3"/>
      <c r="J315" s="3"/>
      <c r="K315" s="3"/>
      <c r="L315" s="3"/>
      <c r="M315" s="3"/>
      <c r="N315" s="3"/>
      <c r="O315" s="3"/>
      <c r="P315" s="3"/>
      <c r="Q315" s="3"/>
      <c r="R315" s="3"/>
      <c r="S315" s="3"/>
      <c r="T315" s="3"/>
      <c r="U315" s="3"/>
      <c r="V315" s="3"/>
      <c r="W315" s="3"/>
      <c r="X315" s="3"/>
      <c r="Y315" s="3"/>
      <c r="Z315" s="3"/>
    </row>
    <row r="316" spans="2:26" ht="15" x14ac:dyDescent="0.25">
      <c r="B316" s="3"/>
      <c r="C316" s="3"/>
      <c r="D316" s="3"/>
      <c r="E316" s="602"/>
      <c r="F316" s="3"/>
      <c r="G316" s="3"/>
      <c r="H316" s="3"/>
      <c r="I316" s="3"/>
      <c r="J316" s="3"/>
      <c r="K316" s="3"/>
      <c r="L316" s="3"/>
      <c r="M316" s="3"/>
      <c r="N316" s="3"/>
      <c r="O316" s="3"/>
      <c r="P316" s="3"/>
      <c r="Q316" s="3"/>
      <c r="R316" s="3"/>
      <c r="S316" s="3"/>
      <c r="T316" s="3"/>
      <c r="U316" s="3"/>
      <c r="V316" s="3"/>
      <c r="W316" s="3"/>
      <c r="X316" s="3"/>
      <c r="Y316" s="3"/>
      <c r="Z316" s="3"/>
    </row>
    <row r="317" spans="2:26" ht="15" x14ac:dyDescent="0.25">
      <c r="B317" s="3"/>
      <c r="C317" s="3"/>
      <c r="D317" s="3"/>
      <c r="E317" s="602"/>
      <c r="F317" s="3"/>
      <c r="G317" s="3"/>
      <c r="H317" s="3"/>
      <c r="I317" s="3"/>
      <c r="J317" s="3"/>
      <c r="K317" s="3"/>
      <c r="L317" s="3"/>
      <c r="M317" s="3"/>
      <c r="N317" s="3"/>
      <c r="O317" s="3"/>
      <c r="P317" s="3"/>
      <c r="Q317" s="3"/>
      <c r="R317" s="3"/>
      <c r="S317" s="3"/>
      <c r="T317" s="3"/>
      <c r="U317" s="3"/>
      <c r="V317" s="3"/>
      <c r="W317" s="3"/>
      <c r="X317" s="3"/>
      <c r="Y317" s="3"/>
      <c r="Z317" s="3"/>
    </row>
    <row r="318" spans="2:26" ht="15" x14ac:dyDescent="0.25">
      <c r="B318" s="3"/>
      <c r="C318" s="3"/>
      <c r="D318" s="3"/>
      <c r="E318" s="602"/>
      <c r="F318" s="3"/>
      <c r="G318" s="3"/>
      <c r="H318" s="3"/>
      <c r="I318" s="3"/>
      <c r="J318" s="3"/>
      <c r="K318" s="3"/>
      <c r="L318" s="3"/>
      <c r="M318" s="3"/>
      <c r="N318" s="3"/>
      <c r="O318" s="3"/>
      <c r="P318" s="3"/>
      <c r="Q318" s="3"/>
      <c r="R318" s="3"/>
      <c r="S318" s="3"/>
      <c r="T318" s="3"/>
      <c r="U318" s="3"/>
      <c r="V318" s="3"/>
      <c r="W318" s="3"/>
      <c r="X318" s="3"/>
      <c r="Y318" s="3"/>
      <c r="Z318" s="3"/>
    </row>
    <row r="319" spans="2:26" ht="15" x14ac:dyDescent="0.25">
      <c r="B319" s="3"/>
      <c r="C319" s="3"/>
      <c r="D319" s="3"/>
      <c r="E319" s="602"/>
      <c r="F319" s="3"/>
      <c r="G319" s="3"/>
      <c r="H319" s="3"/>
      <c r="I319" s="3"/>
      <c r="J319" s="3"/>
      <c r="K319" s="3"/>
      <c r="L319" s="3"/>
      <c r="M319" s="3"/>
      <c r="N319" s="3"/>
      <c r="O319" s="3"/>
      <c r="P319" s="3"/>
      <c r="Q319" s="3"/>
      <c r="R319" s="3"/>
      <c r="S319" s="3"/>
      <c r="T319" s="3"/>
      <c r="U319" s="3"/>
      <c r="V319" s="3"/>
      <c r="W319" s="3"/>
      <c r="X319" s="3"/>
      <c r="Y319" s="3"/>
      <c r="Z319" s="3"/>
    </row>
    <row r="320" spans="2:26" ht="15" x14ac:dyDescent="0.25">
      <c r="B320" s="3"/>
      <c r="C320" s="3"/>
      <c r="D320" s="3"/>
      <c r="E320" s="602"/>
      <c r="F320" s="3"/>
      <c r="G320" s="3"/>
      <c r="H320" s="3"/>
      <c r="I320" s="3"/>
      <c r="J320" s="3"/>
      <c r="K320" s="3"/>
      <c r="L320" s="3"/>
      <c r="M320" s="3"/>
      <c r="N320" s="3"/>
      <c r="O320" s="3"/>
      <c r="P320" s="3"/>
      <c r="Q320" s="3"/>
      <c r="R320" s="3"/>
      <c r="S320" s="3"/>
      <c r="T320" s="3"/>
      <c r="U320" s="3"/>
      <c r="V320" s="3"/>
      <c r="W320" s="3"/>
      <c r="X320" s="3"/>
      <c r="Y320" s="3"/>
      <c r="Z320" s="3"/>
    </row>
    <row r="321" spans="2:26" ht="15" x14ac:dyDescent="0.25">
      <c r="B321" s="3"/>
      <c r="C321" s="3"/>
      <c r="D321" s="3"/>
      <c r="E321" s="602"/>
      <c r="F321" s="3"/>
      <c r="G321" s="3"/>
      <c r="H321" s="3"/>
      <c r="I321" s="3"/>
      <c r="J321" s="3"/>
      <c r="K321" s="3"/>
      <c r="L321" s="3"/>
      <c r="M321" s="3"/>
      <c r="N321" s="3"/>
      <c r="O321" s="3"/>
      <c r="P321" s="3"/>
      <c r="Q321" s="3"/>
      <c r="R321" s="3"/>
      <c r="S321" s="3"/>
      <c r="T321" s="3"/>
      <c r="U321" s="3"/>
      <c r="V321" s="3"/>
      <c r="W321" s="3"/>
      <c r="X321" s="3"/>
      <c r="Y321" s="3"/>
      <c r="Z321" s="3"/>
    </row>
    <row r="322" spans="2:26" ht="15" x14ac:dyDescent="0.25">
      <c r="B322" s="3"/>
      <c r="C322" s="3"/>
      <c r="D322" s="3"/>
      <c r="E322" s="602"/>
      <c r="F322" s="3"/>
      <c r="G322" s="3"/>
      <c r="H322" s="3"/>
      <c r="I322" s="3"/>
      <c r="J322" s="3"/>
      <c r="K322" s="3"/>
      <c r="L322" s="3"/>
      <c r="M322" s="3"/>
      <c r="N322" s="3"/>
      <c r="O322" s="3"/>
      <c r="P322" s="3"/>
      <c r="Q322" s="3"/>
      <c r="R322" s="3"/>
      <c r="S322" s="3"/>
      <c r="T322" s="3"/>
      <c r="U322" s="3"/>
      <c r="V322" s="3"/>
      <c r="W322" s="3"/>
      <c r="X322" s="3"/>
      <c r="Y322" s="3"/>
      <c r="Z322" s="3"/>
    </row>
    <row r="323" spans="2:26" ht="15" x14ac:dyDescent="0.25">
      <c r="B323" s="3"/>
      <c r="C323" s="3"/>
      <c r="D323" s="3"/>
      <c r="E323" s="602"/>
      <c r="F323" s="3"/>
      <c r="G323" s="3"/>
      <c r="H323" s="3"/>
      <c r="I323" s="3"/>
      <c r="J323" s="3"/>
      <c r="K323" s="3"/>
      <c r="L323" s="3"/>
      <c r="M323" s="3"/>
      <c r="N323" s="3"/>
      <c r="O323" s="3"/>
      <c r="P323" s="3"/>
      <c r="Q323" s="3"/>
      <c r="R323" s="3"/>
      <c r="S323" s="3"/>
      <c r="T323" s="3"/>
      <c r="U323" s="3"/>
      <c r="V323" s="3"/>
      <c r="W323" s="3"/>
      <c r="X323" s="3"/>
      <c r="Y323" s="3"/>
      <c r="Z323" s="3"/>
    </row>
    <row r="324" spans="2:26" ht="15" x14ac:dyDescent="0.25">
      <c r="B324" s="3"/>
      <c r="C324" s="3"/>
      <c r="D324" s="3"/>
      <c r="E324" s="602"/>
      <c r="F324" s="3"/>
      <c r="G324" s="3"/>
      <c r="H324" s="3"/>
      <c r="I324" s="3"/>
      <c r="J324" s="3"/>
      <c r="K324" s="3"/>
      <c r="L324" s="3"/>
      <c r="M324" s="3"/>
      <c r="N324" s="3"/>
      <c r="O324" s="3"/>
      <c r="P324" s="3"/>
      <c r="Q324" s="3"/>
      <c r="R324" s="3"/>
      <c r="S324" s="3"/>
      <c r="T324" s="3"/>
      <c r="U324" s="3"/>
      <c r="V324" s="3"/>
      <c r="W324" s="3"/>
      <c r="X324" s="3"/>
      <c r="Y324" s="3"/>
      <c r="Z324" s="3"/>
    </row>
    <row r="325" spans="2:26" ht="15" x14ac:dyDescent="0.25">
      <c r="B325" s="3"/>
      <c r="C325" s="3"/>
      <c r="D325" s="3"/>
      <c r="E325" s="602"/>
      <c r="F325" s="3"/>
      <c r="G325" s="3"/>
      <c r="H325" s="3"/>
      <c r="I325" s="3"/>
      <c r="J325" s="3"/>
      <c r="K325" s="3"/>
      <c r="L325" s="3"/>
      <c r="M325" s="3"/>
      <c r="N325" s="3"/>
      <c r="O325" s="3"/>
      <c r="P325" s="3"/>
      <c r="Q325" s="3"/>
      <c r="R325" s="3"/>
      <c r="S325" s="3"/>
      <c r="T325" s="3"/>
      <c r="U325" s="3"/>
      <c r="V325" s="3"/>
      <c r="W325" s="3"/>
      <c r="X325" s="3"/>
      <c r="Y325" s="3"/>
      <c r="Z325" s="3"/>
    </row>
    <row r="326" spans="2:26" ht="15" x14ac:dyDescent="0.25">
      <c r="B326" s="3"/>
      <c r="C326" s="3"/>
      <c r="D326" s="3"/>
      <c r="E326" s="602"/>
      <c r="F326" s="3"/>
      <c r="G326" s="3"/>
      <c r="H326" s="3"/>
      <c r="I326" s="3"/>
      <c r="J326" s="3"/>
      <c r="K326" s="3"/>
      <c r="L326" s="3"/>
      <c r="M326" s="3"/>
      <c r="N326" s="3"/>
      <c r="O326" s="3"/>
      <c r="P326" s="3"/>
      <c r="Q326" s="3"/>
      <c r="R326" s="3"/>
      <c r="S326" s="3"/>
      <c r="T326" s="3"/>
      <c r="U326" s="3"/>
      <c r="V326" s="3"/>
      <c r="W326" s="3"/>
      <c r="X326" s="3"/>
      <c r="Y326" s="3"/>
      <c r="Z326" s="3"/>
    </row>
    <row r="327" spans="2:26" ht="15" x14ac:dyDescent="0.25">
      <c r="B327" s="3"/>
      <c r="C327" s="3"/>
      <c r="D327" s="3"/>
      <c r="E327" s="602"/>
      <c r="F327" s="3"/>
      <c r="G327" s="3"/>
      <c r="H327" s="3"/>
      <c r="I327" s="3"/>
      <c r="J327" s="3"/>
      <c r="K327" s="3"/>
      <c r="L327" s="3"/>
      <c r="M327" s="3"/>
      <c r="N327" s="3"/>
      <c r="O327" s="3"/>
      <c r="P327" s="3"/>
      <c r="Q327" s="3"/>
      <c r="R327" s="3"/>
      <c r="S327" s="3"/>
      <c r="T327" s="3"/>
      <c r="U327" s="3"/>
      <c r="V327" s="3"/>
      <c r="W327" s="3"/>
      <c r="X327" s="3"/>
      <c r="Y327" s="3"/>
      <c r="Z327" s="3"/>
    </row>
    <row r="328" spans="2:26" ht="15" x14ac:dyDescent="0.25">
      <c r="B328" s="3"/>
      <c r="C328" s="3"/>
      <c r="D328" s="3"/>
      <c r="E328" s="602"/>
      <c r="F328" s="3"/>
      <c r="G328" s="3"/>
      <c r="H328" s="3"/>
      <c r="I328" s="3"/>
      <c r="J328" s="3"/>
      <c r="K328" s="3"/>
      <c r="L328" s="3"/>
      <c r="M328" s="3"/>
      <c r="N328" s="3"/>
      <c r="O328" s="3"/>
      <c r="P328" s="3"/>
      <c r="Q328" s="3"/>
      <c r="R328" s="3"/>
      <c r="S328" s="3"/>
      <c r="T328" s="3"/>
      <c r="U328" s="3"/>
      <c r="V328" s="3"/>
      <c r="W328" s="3"/>
      <c r="X328" s="3"/>
      <c r="Y328" s="3"/>
      <c r="Z328" s="3"/>
    </row>
    <row r="329" spans="2:26" ht="15" x14ac:dyDescent="0.25">
      <c r="B329" s="3"/>
      <c r="C329" s="3"/>
      <c r="D329" s="3"/>
      <c r="E329" s="602"/>
      <c r="F329" s="3"/>
      <c r="G329" s="3"/>
      <c r="H329" s="3"/>
      <c r="I329" s="3"/>
      <c r="J329" s="3"/>
      <c r="K329" s="3"/>
      <c r="L329" s="3"/>
      <c r="M329" s="3"/>
      <c r="N329" s="3"/>
      <c r="O329" s="3"/>
      <c r="P329" s="3"/>
      <c r="Q329" s="3"/>
      <c r="R329" s="3"/>
      <c r="S329" s="3"/>
      <c r="T329" s="3"/>
      <c r="U329" s="3"/>
      <c r="V329" s="3"/>
      <c r="W329" s="3"/>
      <c r="X329" s="3"/>
      <c r="Y329" s="3"/>
      <c r="Z329" s="3"/>
    </row>
    <row r="330" spans="2:26" ht="15" x14ac:dyDescent="0.25">
      <c r="B330" s="3"/>
      <c r="C330" s="3"/>
      <c r="D330" s="3"/>
      <c r="E330" s="602"/>
      <c r="F330" s="3"/>
      <c r="G330" s="3"/>
      <c r="H330" s="3"/>
      <c r="I330" s="3"/>
      <c r="J330" s="3"/>
      <c r="K330" s="3"/>
      <c r="L330" s="3"/>
      <c r="M330" s="3"/>
      <c r="N330" s="3"/>
      <c r="O330" s="3"/>
      <c r="P330" s="3"/>
      <c r="Q330" s="3"/>
      <c r="R330" s="3"/>
      <c r="S330" s="3"/>
      <c r="T330" s="3"/>
      <c r="U330" s="3"/>
      <c r="V330" s="3"/>
      <c r="W330" s="3"/>
      <c r="X330" s="3"/>
      <c r="Y330" s="3"/>
      <c r="Z330" s="3"/>
    </row>
    <row r="331" spans="2:26" ht="15" x14ac:dyDescent="0.25">
      <c r="B331" s="3"/>
      <c r="C331" s="3"/>
      <c r="D331" s="3"/>
      <c r="E331" s="602"/>
      <c r="F331" s="3"/>
      <c r="G331" s="3"/>
      <c r="H331" s="3"/>
      <c r="I331" s="3"/>
      <c r="J331" s="3"/>
      <c r="K331" s="3"/>
      <c r="L331" s="3"/>
      <c r="M331" s="3"/>
      <c r="N331" s="3"/>
      <c r="O331" s="3"/>
      <c r="P331" s="3"/>
      <c r="Q331" s="3"/>
      <c r="R331" s="3"/>
      <c r="S331" s="3"/>
      <c r="T331" s="3"/>
      <c r="U331" s="3"/>
      <c r="V331" s="3"/>
      <c r="W331" s="3"/>
      <c r="X331" s="3"/>
      <c r="Y331" s="3"/>
      <c r="Z331" s="3"/>
    </row>
    <row r="332" spans="2:26" ht="15" x14ac:dyDescent="0.25">
      <c r="B332" s="3"/>
      <c r="C332" s="3"/>
      <c r="D332" s="3"/>
      <c r="E332" s="602"/>
      <c r="F332" s="3"/>
      <c r="G332" s="3"/>
      <c r="H332" s="3"/>
      <c r="I332" s="3"/>
      <c r="J332" s="3"/>
      <c r="K332" s="3"/>
      <c r="L332" s="3"/>
      <c r="M332" s="3"/>
      <c r="N332" s="3"/>
      <c r="O332" s="3"/>
      <c r="P332" s="3"/>
      <c r="Q332" s="3"/>
      <c r="R332" s="3"/>
      <c r="S332" s="3"/>
      <c r="T332" s="3"/>
      <c r="U332" s="3"/>
      <c r="V332" s="3"/>
      <c r="W332" s="3"/>
      <c r="X332" s="3"/>
      <c r="Y332" s="3"/>
      <c r="Z332" s="3"/>
    </row>
    <row r="333" spans="2:26" ht="15" x14ac:dyDescent="0.25">
      <c r="B333" s="3"/>
      <c r="C333" s="3"/>
      <c r="D333" s="3"/>
      <c r="E333" s="602"/>
      <c r="F333" s="3"/>
      <c r="G333" s="3"/>
      <c r="H333" s="3"/>
      <c r="I333" s="3"/>
      <c r="J333" s="3"/>
      <c r="K333" s="3"/>
      <c r="L333" s="3"/>
      <c r="M333" s="3"/>
      <c r="N333" s="3"/>
      <c r="O333" s="3"/>
      <c r="P333" s="3"/>
      <c r="Q333" s="3"/>
      <c r="R333" s="3"/>
      <c r="S333" s="3"/>
      <c r="T333" s="3"/>
      <c r="U333" s="3"/>
      <c r="V333" s="3"/>
      <c r="W333" s="3"/>
      <c r="X333" s="3"/>
      <c r="Y333" s="3"/>
      <c r="Z333" s="3"/>
    </row>
    <row r="334" spans="2:26" ht="15" x14ac:dyDescent="0.25">
      <c r="B334" s="3"/>
      <c r="C334" s="3"/>
      <c r="D334" s="3"/>
      <c r="E334" s="602"/>
      <c r="F334" s="3"/>
      <c r="G334" s="3"/>
      <c r="H334" s="3"/>
      <c r="I334" s="3"/>
      <c r="J334" s="3"/>
      <c r="K334" s="3"/>
      <c r="L334" s="3"/>
      <c r="M334" s="3"/>
      <c r="N334" s="3"/>
      <c r="O334" s="3"/>
      <c r="P334" s="3"/>
      <c r="Q334" s="3"/>
      <c r="R334" s="3"/>
      <c r="S334" s="3"/>
      <c r="T334" s="3"/>
      <c r="U334" s="3"/>
      <c r="V334" s="3"/>
      <c r="W334" s="3"/>
      <c r="X334" s="3"/>
      <c r="Y334" s="3"/>
      <c r="Z334" s="3"/>
    </row>
    <row r="335" spans="2:26" ht="15" x14ac:dyDescent="0.25">
      <c r="B335" s="3"/>
      <c r="C335" s="3"/>
      <c r="D335" s="3"/>
      <c r="E335" s="602"/>
      <c r="F335" s="3"/>
      <c r="G335" s="3"/>
      <c r="H335" s="3"/>
      <c r="I335" s="3"/>
      <c r="J335" s="3"/>
      <c r="K335" s="3"/>
      <c r="L335" s="3"/>
      <c r="M335" s="3"/>
      <c r="N335" s="3"/>
      <c r="O335" s="3"/>
      <c r="P335" s="3"/>
      <c r="Q335" s="3"/>
      <c r="R335" s="3"/>
      <c r="S335" s="3"/>
      <c r="T335" s="3"/>
      <c r="U335" s="3"/>
      <c r="V335" s="3"/>
      <c r="W335" s="3"/>
      <c r="X335" s="3"/>
      <c r="Y335" s="3"/>
      <c r="Z335" s="3"/>
    </row>
    <row r="336" spans="2:26" ht="15" x14ac:dyDescent="0.25">
      <c r="B336" s="3"/>
      <c r="C336" s="3"/>
      <c r="D336" s="3"/>
      <c r="E336" s="602"/>
      <c r="F336" s="3"/>
      <c r="G336" s="3"/>
      <c r="H336" s="3"/>
      <c r="I336" s="3"/>
      <c r="J336" s="3"/>
      <c r="K336" s="3"/>
      <c r="L336" s="3"/>
      <c r="M336" s="3"/>
      <c r="N336" s="3"/>
      <c r="O336" s="3"/>
      <c r="P336" s="3"/>
      <c r="Q336" s="3"/>
      <c r="R336" s="3"/>
      <c r="S336" s="3"/>
      <c r="T336" s="3"/>
      <c r="U336" s="3"/>
      <c r="V336" s="3"/>
      <c r="W336" s="3"/>
      <c r="X336" s="3"/>
      <c r="Y336" s="3"/>
      <c r="Z336" s="3"/>
    </row>
    <row r="337" spans="2:26" ht="15" x14ac:dyDescent="0.25">
      <c r="B337" s="3"/>
      <c r="C337" s="3"/>
      <c r="D337" s="3"/>
      <c r="E337" s="602"/>
      <c r="F337" s="3"/>
      <c r="G337" s="3"/>
      <c r="H337" s="3"/>
      <c r="I337" s="3"/>
      <c r="J337" s="3"/>
      <c r="K337" s="3"/>
      <c r="L337" s="3"/>
      <c r="M337" s="3"/>
      <c r="N337" s="3"/>
      <c r="O337" s="3"/>
      <c r="P337" s="3"/>
      <c r="Q337" s="3"/>
      <c r="R337" s="3"/>
      <c r="S337" s="3"/>
      <c r="T337" s="3"/>
      <c r="U337" s="3"/>
      <c r="V337" s="3"/>
      <c r="W337" s="3"/>
      <c r="X337" s="3"/>
      <c r="Y337" s="3"/>
      <c r="Z337" s="3"/>
    </row>
    <row r="338" spans="2:26" ht="15" x14ac:dyDescent="0.25">
      <c r="B338" s="3"/>
      <c r="C338" s="3"/>
      <c r="D338" s="3"/>
      <c r="E338" s="602"/>
      <c r="F338" s="3"/>
      <c r="G338" s="3"/>
      <c r="H338" s="3"/>
      <c r="I338" s="3"/>
      <c r="J338" s="3"/>
      <c r="K338" s="3"/>
      <c r="L338" s="3"/>
      <c r="M338" s="3"/>
      <c r="N338" s="3"/>
      <c r="O338" s="3"/>
      <c r="P338" s="3"/>
      <c r="Q338" s="3"/>
      <c r="R338" s="3"/>
      <c r="S338" s="3"/>
      <c r="T338" s="3"/>
      <c r="U338" s="3"/>
      <c r="V338" s="3"/>
      <c r="W338" s="3"/>
      <c r="X338" s="3"/>
      <c r="Y338" s="3"/>
      <c r="Z338" s="3"/>
    </row>
    <row r="339" spans="2:26" ht="15" x14ac:dyDescent="0.25">
      <c r="B339" s="3"/>
      <c r="C339" s="3"/>
      <c r="D339" s="3"/>
      <c r="E339" s="602"/>
      <c r="F339" s="3"/>
      <c r="G339" s="3"/>
      <c r="H339" s="3"/>
      <c r="I339" s="3"/>
      <c r="J339" s="3"/>
      <c r="K339" s="3"/>
      <c r="L339" s="3"/>
      <c r="M339" s="3"/>
      <c r="N339" s="3"/>
      <c r="O339" s="3"/>
      <c r="P339" s="3"/>
      <c r="Q339" s="3"/>
      <c r="R339" s="3"/>
      <c r="S339" s="3"/>
      <c r="T339" s="3"/>
      <c r="U339" s="3"/>
      <c r="V339" s="3"/>
      <c r="W339" s="3"/>
      <c r="X339" s="3"/>
      <c r="Y339" s="3"/>
      <c r="Z339" s="3"/>
    </row>
    <row r="340" spans="2:26" ht="15" x14ac:dyDescent="0.25">
      <c r="B340" s="3"/>
      <c r="C340" s="3"/>
      <c r="D340" s="3"/>
      <c r="E340" s="602"/>
      <c r="F340" s="3"/>
      <c r="G340" s="3"/>
      <c r="H340" s="3"/>
      <c r="I340" s="3"/>
      <c r="J340" s="3"/>
      <c r="K340" s="3"/>
      <c r="L340" s="3"/>
      <c r="M340" s="3"/>
      <c r="N340" s="3"/>
      <c r="O340" s="3"/>
      <c r="P340" s="3"/>
      <c r="Q340" s="3"/>
      <c r="R340" s="3"/>
      <c r="S340" s="3"/>
      <c r="T340" s="3"/>
      <c r="U340" s="3"/>
      <c r="V340" s="3"/>
      <c r="W340" s="3"/>
      <c r="X340" s="3"/>
      <c r="Y340" s="3"/>
      <c r="Z340" s="3"/>
    </row>
    <row r="341" spans="2:26" ht="15" x14ac:dyDescent="0.25">
      <c r="B341" s="3"/>
      <c r="C341" s="3"/>
      <c r="D341" s="3"/>
      <c r="E341" s="602"/>
      <c r="F341" s="3"/>
      <c r="G341" s="3"/>
      <c r="H341" s="3"/>
      <c r="I341" s="3"/>
      <c r="J341" s="3"/>
      <c r="K341" s="3"/>
      <c r="L341" s="3"/>
      <c r="M341" s="3"/>
      <c r="N341" s="3"/>
      <c r="O341" s="3"/>
      <c r="P341" s="3"/>
      <c r="Q341" s="3"/>
      <c r="R341" s="3"/>
      <c r="S341" s="3"/>
      <c r="T341" s="3"/>
      <c r="U341" s="3"/>
      <c r="V341" s="3"/>
      <c r="W341" s="3"/>
      <c r="X341" s="3"/>
      <c r="Y341" s="3"/>
      <c r="Z341" s="3"/>
    </row>
    <row r="342" spans="2:26" ht="15" x14ac:dyDescent="0.25">
      <c r="B342" s="3"/>
      <c r="C342" s="3"/>
      <c r="D342" s="3"/>
      <c r="E342" s="602"/>
      <c r="F342" s="3"/>
      <c r="G342" s="3"/>
      <c r="H342" s="3"/>
      <c r="I342" s="3"/>
      <c r="J342" s="3"/>
      <c r="K342" s="3"/>
      <c r="L342" s="3"/>
      <c r="M342" s="3"/>
      <c r="N342" s="3"/>
      <c r="O342" s="3"/>
      <c r="P342" s="3"/>
      <c r="Q342" s="3"/>
      <c r="R342" s="3"/>
      <c r="S342" s="3"/>
      <c r="T342" s="3"/>
      <c r="U342" s="3"/>
      <c r="V342" s="3"/>
      <c r="W342" s="3"/>
      <c r="X342" s="3"/>
      <c r="Y342" s="3"/>
      <c r="Z342" s="3"/>
    </row>
    <row r="343" spans="2:26" ht="15" x14ac:dyDescent="0.25">
      <c r="B343" s="3"/>
      <c r="C343" s="3"/>
      <c r="D343" s="3"/>
      <c r="E343" s="602"/>
      <c r="F343" s="3"/>
      <c r="G343" s="3"/>
      <c r="H343" s="3"/>
      <c r="I343" s="3"/>
      <c r="J343" s="3"/>
      <c r="K343" s="3"/>
      <c r="L343" s="3"/>
      <c r="M343" s="3"/>
      <c r="N343" s="3"/>
      <c r="O343" s="3"/>
      <c r="P343" s="3"/>
      <c r="Q343" s="3"/>
      <c r="R343" s="3"/>
      <c r="S343" s="3"/>
      <c r="T343" s="3"/>
      <c r="U343" s="3"/>
      <c r="V343" s="3"/>
      <c r="W343" s="3"/>
      <c r="X343" s="3"/>
      <c r="Y343" s="3"/>
      <c r="Z343" s="3"/>
    </row>
    <row r="344" spans="2:26" ht="15" x14ac:dyDescent="0.25">
      <c r="B344" s="3"/>
      <c r="C344" s="3"/>
      <c r="D344" s="3"/>
      <c r="E344" s="602"/>
      <c r="F344" s="3"/>
      <c r="G344" s="3"/>
      <c r="H344" s="3"/>
      <c r="I344" s="3"/>
      <c r="J344" s="3"/>
      <c r="K344" s="3"/>
      <c r="L344" s="3"/>
      <c r="M344" s="3"/>
      <c r="N344" s="3"/>
      <c r="O344" s="3"/>
      <c r="P344" s="3"/>
      <c r="Q344" s="3"/>
      <c r="R344" s="3"/>
      <c r="S344" s="3"/>
      <c r="T344" s="3"/>
      <c r="U344" s="3"/>
      <c r="V344" s="3"/>
      <c r="W344" s="3"/>
      <c r="X344" s="3"/>
      <c r="Y344" s="3"/>
      <c r="Z344" s="3"/>
    </row>
    <row r="345" spans="2:26" ht="15" x14ac:dyDescent="0.25">
      <c r="B345" s="3"/>
      <c r="C345" s="3"/>
      <c r="D345" s="3"/>
      <c r="E345" s="602"/>
      <c r="F345" s="3"/>
      <c r="G345" s="3"/>
      <c r="H345" s="3"/>
      <c r="I345" s="3"/>
      <c r="J345" s="3"/>
      <c r="K345" s="3"/>
      <c r="L345" s="3"/>
      <c r="M345" s="3"/>
      <c r="N345" s="3"/>
      <c r="O345" s="3"/>
      <c r="P345" s="3"/>
      <c r="Q345" s="3"/>
      <c r="R345" s="3"/>
      <c r="S345" s="3"/>
      <c r="T345" s="3"/>
      <c r="U345" s="3"/>
      <c r="V345" s="3"/>
      <c r="W345" s="3"/>
      <c r="X345" s="3"/>
      <c r="Y345" s="3"/>
      <c r="Z345" s="3"/>
    </row>
    <row r="346" spans="2:26" ht="15" x14ac:dyDescent="0.25">
      <c r="B346" s="3"/>
      <c r="C346" s="3"/>
      <c r="D346" s="3"/>
      <c r="E346" s="602"/>
      <c r="F346" s="3"/>
      <c r="G346" s="3"/>
      <c r="H346" s="3"/>
      <c r="I346" s="3"/>
      <c r="J346" s="3"/>
      <c r="K346" s="3"/>
      <c r="L346" s="3"/>
      <c r="M346" s="3"/>
      <c r="N346" s="3"/>
      <c r="O346" s="3"/>
      <c r="P346" s="3"/>
      <c r="Q346" s="3"/>
      <c r="R346" s="3"/>
      <c r="S346" s="3"/>
      <c r="T346" s="3"/>
      <c r="U346" s="3"/>
      <c r="V346" s="3"/>
      <c r="W346" s="3"/>
      <c r="X346" s="3"/>
      <c r="Y346" s="3"/>
      <c r="Z346" s="3"/>
    </row>
    <row r="347" spans="2:26" ht="15" x14ac:dyDescent="0.25">
      <c r="B347" s="3"/>
      <c r="C347" s="3"/>
      <c r="D347" s="3"/>
      <c r="E347" s="602"/>
      <c r="F347" s="3"/>
      <c r="G347" s="3"/>
      <c r="H347" s="3"/>
      <c r="I347" s="3"/>
      <c r="J347" s="3"/>
      <c r="K347" s="3"/>
      <c r="L347" s="3"/>
      <c r="M347" s="3"/>
      <c r="N347" s="3"/>
      <c r="O347" s="3"/>
      <c r="P347" s="3"/>
      <c r="Q347" s="3"/>
      <c r="R347" s="3"/>
      <c r="S347" s="3"/>
      <c r="T347" s="3"/>
      <c r="U347" s="3"/>
      <c r="V347" s="3"/>
      <c r="W347" s="3"/>
      <c r="X347" s="3"/>
      <c r="Y347" s="3"/>
      <c r="Z347" s="3"/>
    </row>
    <row r="348" spans="2:26" ht="15" x14ac:dyDescent="0.25">
      <c r="B348" s="3"/>
      <c r="C348" s="3"/>
      <c r="D348" s="3"/>
      <c r="E348" s="602"/>
      <c r="F348" s="3"/>
      <c r="G348" s="3"/>
      <c r="H348" s="3"/>
      <c r="I348" s="3"/>
      <c r="J348" s="3"/>
      <c r="K348" s="3"/>
      <c r="L348" s="3"/>
      <c r="M348" s="3"/>
      <c r="N348" s="3"/>
      <c r="O348" s="3"/>
      <c r="P348" s="3"/>
      <c r="Q348" s="3"/>
      <c r="R348" s="3"/>
      <c r="S348" s="3"/>
      <c r="T348" s="3"/>
      <c r="U348" s="3"/>
      <c r="V348" s="3"/>
      <c r="W348" s="3"/>
      <c r="X348" s="3"/>
      <c r="Y348" s="3"/>
      <c r="Z348" s="3"/>
    </row>
    <row r="349" spans="2:26" ht="15" x14ac:dyDescent="0.25">
      <c r="B349" s="3"/>
      <c r="C349" s="3"/>
      <c r="D349" s="3"/>
      <c r="E349" s="602"/>
      <c r="F349" s="3"/>
      <c r="G349" s="3"/>
      <c r="H349" s="3"/>
      <c r="I349" s="3"/>
      <c r="J349" s="3"/>
      <c r="K349" s="3"/>
      <c r="L349" s="3"/>
      <c r="M349" s="3"/>
      <c r="N349" s="3"/>
      <c r="O349" s="3"/>
      <c r="P349" s="3"/>
      <c r="Q349" s="3"/>
      <c r="R349" s="3"/>
      <c r="S349" s="3"/>
      <c r="T349" s="3"/>
      <c r="U349" s="3"/>
      <c r="V349" s="3"/>
      <c r="W349" s="3"/>
      <c r="X349" s="3"/>
      <c r="Y349" s="3"/>
      <c r="Z349" s="3"/>
    </row>
    <row r="350" spans="2:26" ht="15" x14ac:dyDescent="0.25">
      <c r="B350" s="3"/>
      <c r="C350" s="3"/>
      <c r="D350" s="3"/>
      <c r="E350" s="602"/>
      <c r="F350" s="3"/>
      <c r="G350" s="3"/>
      <c r="H350" s="3"/>
      <c r="I350" s="3"/>
      <c r="J350" s="3"/>
      <c r="K350" s="3"/>
      <c r="L350" s="3"/>
      <c r="M350" s="3"/>
      <c r="N350" s="3"/>
      <c r="O350" s="3"/>
      <c r="P350" s="3"/>
      <c r="Q350" s="3"/>
      <c r="R350" s="3"/>
      <c r="S350" s="3"/>
      <c r="T350" s="3"/>
      <c r="U350" s="3"/>
      <c r="V350" s="3"/>
      <c r="W350" s="3"/>
      <c r="X350" s="3"/>
      <c r="Y350" s="3"/>
      <c r="Z350" s="3"/>
    </row>
    <row r="351" spans="2:26" ht="15" x14ac:dyDescent="0.25">
      <c r="B351" s="3"/>
      <c r="C351" s="3"/>
      <c r="D351" s="3"/>
      <c r="E351" s="602"/>
      <c r="F351" s="3"/>
      <c r="G351" s="3"/>
      <c r="H351" s="3"/>
      <c r="I351" s="3"/>
      <c r="J351" s="3"/>
      <c r="K351" s="3"/>
      <c r="L351" s="3"/>
      <c r="M351" s="3"/>
      <c r="N351" s="3"/>
      <c r="O351" s="3"/>
      <c r="P351" s="3"/>
      <c r="Q351" s="3"/>
      <c r="R351" s="3"/>
      <c r="S351" s="3"/>
      <c r="T351" s="3"/>
      <c r="U351" s="3"/>
      <c r="V351" s="3"/>
      <c r="W351" s="3"/>
      <c r="X351" s="3"/>
      <c r="Y351" s="3"/>
      <c r="Z351" s="3"/>
    </row>
    <row r="352" spans="2:26" ht="15" x14ac:dyDescent="0.25">
      <c r="B352" s="3"/>
      <c r="C352" s="3"/>
      <c r="D352" s="3"/>
      <c r="E352" s="602"/>
      <c r="F352" s="3"/>
      <c r="G352" s="3"/>
      <c r="H352" s="3"/>
      <c r="I352" s="3"/>
      <c r="J352" s="3"/>
      <c r="K352" s="3"/>
      <c r="L352" s="3"/>
      <c r="M352" s="3"/>
      <c r="N352" s="3"/>
      <c r="O352" s="3"/>
      <c r="P352" s="3"/>
      <c r="Q352" s="3"/>
      <c r="R352" s="3"/>
      <c r="S352" s="3"/>
      <c r="T352" s="3"/>
      <c r="U352" s="3"/>
      <c r="V352" s="3"/>
      <c r="W352" s="3"/>
      <c r="X352" s="3"/>
      <c r="Y352" s="3"/>
      <c r="Z352" s="3"/>
    </row>
    <row r="353" spans="2:26" ht="15" x14ac:dyDescent="0.25">
      <c r="B353" s="3"/>
      <c r="C353" s="3"/>
      <c r="D353" s="3"/>
      <c r="E353" s="602"/>
      <c r="F353" s="3"/>
      <c r="G353" s="3"/>
      <c r="H353" s="3"/>
      <c r="I353" s="3"/>
      <c r="J353" s="3"/>
      <c r="K353" s="3"/>
      <c r="L353" s="3"/>
      <c r="M353" s="3"/>
      <c r="N353" s="3"/>
      <c r="O353" s="3"/>
      <c r="P353" s="3"/>
      <c r="Q353" s="3"/>
      <c r="R353" s="3"/>
      <c r="S353" s="3"/>
      <c r="T353" s="3"/>
      <c r="U353" s="3"/>
      <c r="V353" s="3"/>
      <c r="W353" s="3"/>
      <c r="X353" s="3"/>
      <c r="Y353" s="3"/>
      <c r="Z353" s="3"/>
    </row>
    <row r="354" spans="2:26" ht="15" x14ac:dyDescent="0.25">
      <c r="B354" s="3"/>
      <c r="C354" s="3"/>
      <c r="D354" s="3"/>
      <c r="E354" s="602"/>
      <c r="F354" s="3"/>
      <c r="G354" s="3"/>
      <c r="H354" s="3"/>
      <c r="I354" s="3"/>
      <c r="J354" s="3"/>
      <c r="K354" s="3"/>
      <c r="L354" s="3"/>
      <c r="M354" s="3"/>
      <c r="N354" s="3"/>
      <c r="O354" s="3"/>
      <c r="P354" s="3"/>
      <c r="Q354" s="3"/>
      <c r="R354" s="3"/>
      <c r="S354" s="3"/>
      <c r="T354" s="3"/>
      <c r="U354" s="3"/>
      <c r="V354" s="3"/>
      <c r="W354" s="3"/>
      <c r="X354" s="3"/>
      <c r="Y354" s="3"/>
      <c r="Z354" s="3"/>
    </row>
    <row r="355" spans="2:26" ht="15" x14ac:dyDescent="0.25">
      <c r="B355" s="3"/>
      <c r="C355" s="3"/>
      <c r="D355" s="3"/>
      <c r="E355" s="602"/>
      <c r="F355" s="3"/>
      <c r="G355" s="3"/>
      <c r="H355" s="3"/>
      <c r="I355" s="3"/>
      <c r="J355" s="3"/>
      <c r="K355" s="3"/>
      <c r="L355" s="3"/>
      <c r="M355" s="3"/>
      <c r="N355" s="3"/>
      <c r="O355" s="3"/>
      <c r="P355" s="3"/>
      <c r="Q355" s="3"/>
      <c r="R355" s="3"/>
      <c r="S355" s="3"/>
      <c r="T355" s="3"/>
      <c r="U355" s="3"/>
      <c r="V355" s="3"/>
      <c r="W355" s="3"/>
      <c r="X355" s="3"/>
      <c r="Y355" s="3"/>
      <c r="Z355" s="3"/>
    </row>
    <row r="356" spans="2:26" ht="15" x14ac:dyDescent="0.25">
      <c r="B356" s="3"/>
      <c r="C356" s="3"/>
      <c r="D356" s="3"/>
      <c r="E356" s="602"/>
      <c r="F356" s="3"/>
      <c r="G356" s="3"/>
      <c r="H356" s="3"/>
      <c r="I356" s="3"/>
      <c r="J356" s="3"/>
      <c r="K356" s="3"/>
      <c r="L356" s="3"/>
      <c r="M356" s="3"/>
      <c r="N356" s="3"/>
      <c r="O356" s="3"/>
      <c r="P356" s="3"/>
      <c r="Q356" s="3"/>
      <c r="R356" s="3"/>
      <c r="S356" s="3"/>
      <c r="T356" s="3"/>
      <c r="U356" s="3"/>
      <c r="V356" s="3"/>
      <c r="W356" s="3"/>
      <c r="X356" s="3"/>
      <c r="Y356" s="3"/>
      <c r="Z356" s="3"/>
    </row>
    <row r="357" spans="2:26" ht="15" x14ac:dyDescent="0.25">
      <c r="B357" s="3"/>
      <c r="C357" s="3"/>
      <c r="D357" s="3"/>
      <c r="E357" s="602"/>
      <c r="F357" s="3"/>
      <c r="G357" s="3"/>
      <c r="H357" s="3"/>
      <c r="I357" s="3"/>
      <c r="J357" s="3"/>
      <c r="K357" s="3"/>
      <c r="L357" s="3"/>
      <c r="M357" s="3"/>
      <c r="N357" s="3"/>
      <c r="O357" s="3"/>
      <c r="P357" s="3"/>
      <c r="Q357" s="3"/>
      <c r="R357" s="3"/>
      <c r="S357" s="3"/>
      <c r="T357" s="3"/>
      <c r="U357" s="3"/>
      <c r="V357" s="3"/>
      <c r="W357" s="3"/>
      <c r="X357" s="3"/>
      <c r="Y357" s="3"/>
      <c r="Z357" s="3"/>
    </row>
    <row r="358" spans="2:26" ht="15" x14ac:dyDescent="0.25">
      <c r="B358" s="3"/>
      <c r="C358" s="3"/>
      <c r="D358" s="3"/>
      <c r="E358" s="602"/>
      <c r="F358" s="3"/>
      <c r="G358" s="3"/>
      <c r="H358" s="3"/>
      <c r="I358" s="3"/>
      <c r="J358" s="3"/>
      <c r="K358" s="3"/>
      <c r="L358" s="3"/>
      <c r="M358" s="3"/>
      <c r="N358" s="3"/>
      <c r="O358" s="3"/>
      <c r="P358" s="3"/>
      <c r="Q358" s="3"/>
      <c r="R358" s="3"/>
      <c r="S358" s="3"/>
      <c r="T358" s="3"/>
      <c r="U358" s="3"/>
      <c r="V358" s="3"/>
      <c r="W358" s="3"/>
      <c r="X358" s="3"/>
      <c r="Y358" s="3"/>
      <c r="Z358" s="3"/>
    </row>
    <row r="359" spans="2:26" ht="15" x14ac:dyDescent="0.25">
      <c r="B359" s="3"/>
      <c r="C359" s="3"/>
      <c r="D359" s="3"/>
      <c r="E359" s="602"/>
      <c r="F359" s="3"/>
      <c r="G359" s="3"/>
      <c r="H359" s="3"/>
      <c r="I359" s="3"/>
      <c r="J359" s="3"/>
      <c r="K359" s="3"/>
      <c r="L359" s="3"/>
      <c r="M359" s="3"/>
      <c r="N359" s="3"/>
      <c r="O359" s="3"/>
      <c r="P359" s="3"/>
      <c r="Q359" s="3"/>
      <c r="R359" s="3"/>
      <c r="S359" s="3"/>
      <c r="T359" s="3"/>
      <c r="U359" s="3"/>
      <c r="V359" s="3"/>
      <c r="W359" s="3"/>
      <c r="X359" s="3"/>
      <c r="Y359" s="3"/>
      <c r="Z359" s="3"/>
    </row>
    <row r="360" spans="2:26" ht="15" x14ac:dyDescent="0.25">
      <c r="B360" s="3"/>
      <c r="C360" s="3"/>
      <c r="D360" s="3"/>
      <c r="E360" s="602"/>
      <c r="F360" s="3"/>
      <c r="G360" s="3"/>
      <c r="H360" s="3"/>
      <c r="I360" s="3"/>
      <c r="J360" s="3"/>
      <c r="K360" s="3"/>
      <c r="L360" s="3"/>
      <c r="M360" s="3"/>
      <c r="N360" s="3"/>
      <c r="O360" s="3"/>
      <c r="P360" s="3"/>
      <c r="Q360" s="3"/>
      <c r="R360" s="3"/>
      <c r="S360" s="3"/>
      <c r="T360" s="3"/>
      <c r="U360" s="3"/>
      <c r="V360" s="3"/>
      <c r="W360" s="3"/>
      <c r="X360" s="3"/>
      <c r="Y360" s="3"/>
      <c r="Z360" s="3"/>
    </row>
    <row r="361" spans="2:26" ht="15" x14ac:dyDescent="0.25">
      <c r="B361" s="3"/>
      <c r="C361" s="3"/>
      <c r="D361" s="3"/>
      <c r="E361" s="602"/>
      <c r="F361" s="3"/>
      <c r="G361" s="3"/>
      <c r="H361" s="3"/>
      <c r="I361" s="3"/>
      <c r="J361" s="3"/>
      <c r="K361" s="3"/>
      <c r="L361" s="3"/>
      <c r="M361" s="3"/>
      <c r="N361" s="3"/>
      <c r="O361" s="3"/>
      <c r="P361" s="3"/>
      <c r="Q361" s="3"/>
      <c r="R361" s="3"/>
      <c r="S361" s="3"/>
      <c r="T361" s="3"/>
      <c r="U361" s="3"/>
      <c r="V361" s="3"/>
      <c r="W361" s="3"/>
      <c r="X361" s="3"/>
      <c r="Y361" s="3"/>
      <c r="Z361" s="3"/>
    </row>
    <row r="362" spans="2:26" ht="15" x14ac:dyDescent="0.25">
      <c r="B362" s="3"/>
      <c r="C362" s="3"/>
      <c r="D362" s="3"/>
      <c r="E362" s="602"/>
      <c r="F362" s="3"/>
      <c r="G362" s="3"/>
      <c r="H362" s="3"/>
      <c r="I362" s="3"/>
      <c r="J362" s="3"/>
      <c r="K362" s="3"/>
      <c r="L362" s="3"/>
      <c r="M362" s="3"/>
      <c r="N362" s="3"/>
      <c r="O362" s="3"/>
      <c r="P362" s="3"/>
      <c r="Q362" s="3"/>
      <c r="R362" s="3"/>
      <c r="S362" s="3"/>
      <c r="T362" s="3"/>
      <c r="U362" s="3"/>
      <c r="V362" s="3"/>
      <c r="W362" s="3"/>
      <c r="X362" s="3"/>
      <c r="Y362" s="3"/>
      <c r="Z362" s="3"/>
    </row>
    <row r="363" spans="2:26" ht="15" x14ac:dyDescent="0.25">
      <c r="B363" s="3"/>
      <c r="C363" s="3"/>
      <c r="D363" s="3"/>
      <c r="E363" s="602"/>
      <c r="F363" s="3"/>
      <c r="G363" s="3"/>
      <c r="H363" s="3"/>
      <c r="I363" s="3"/>
      <c r="J363" s="3"/>
      <c r="K363" s="3"/>
      <c r="L363" s="3"/>
      <c r="M363" s="3"/>
      <c r="N363" s="3"/>
      <c r="O363" s="3"/>
      <c r="P363" s="3"/>
      <c r="Q363" s="3"/>
      <c r="R363" s="3"/>
      <c r="S363" s="3"/>
      <c r="T363" s="3"/>
      <c r="U363" s="3"/>
      <c r="V363" s="3"/>
      <c r="W363" s="3"/>
      <c r="X363" s="3"/>
      <c r="Y363" s="3"/>
      <c r="Z363" s="3"/>
    </row>
    <row r="364" spans="2:26" ht="15" x14ac:dyDescent="0.25">
      <c r="B364" s="3"/>
      <c r="C364" s="3"/>
      <c r="D364" s="3"/>
      <c r="E364" s="602"/>
      <c r="F364" s="3"/>
      <c r="G364" s="3"/>
      <c r="H364" s="3"/>
      <c r="I364" s="3"/>
      <c r="J364" s="3"/>
      <c r="K364" s="3"/>
      <c r="L364" s="3"/>
      <c r="M364" s="3"/>
      <c r="N364" s="3"/>
      <c r="O364" s="3"/>
      <c r="P364" s="3"/>
      <c r="Q364" s="3"/>
      <c r="R364" s="3"/>
      <c r="S364" s="3"/>
      <c r="T364" s="3"/>
      <c r="U364" s="3"/>
      <c r="V364" s="3"/>
      <c r="W364" s="3"/>
      <c r="X364" s="3"/>
      <c r="Y364" s="3"/>
      <c r="Z364" s="3"/>
    </row>
    <row r="365" spans="2:26" ht="15" x14ac:dyDescent="0.25">
      <c r="B365" s="3"/>
      <c r="C365" s="3"/>
      <c r="D365" s="3"/>
      <c r="E365" s="602"/>
      <c r="F365" s="3"/>
      <c r="G365" s="3"/>
      <c r="H365" s="3"/>
      <c r="I365" s="3"/>
      <c r="J365" s="3"/>
      <c r="K365" s="3"/>
      <c r="L365" s="3"/>
      <c r="M365" s="3"/>
      <c r="N365" s="3"/>
      <c r="O365" s="3"/>
      <c r="P365" s="3"/>
      <c r="Q365" s="3"/>
      <c r="R365" s="3"/>
      <c r="S365" s="3"/>
      <c r="T365" s="3"/>
      <c r="U365" s="3"/>
      <c r="V365" s="3"/>
      <c r="W365" s="3"/>
      <c r="X365" s="3"/>
      <c r="Y365" s="3"/>
      <c r="Z365" s="3"/>
    </row>
    <row r="366" spans="2:26" ht="15" x14ac:dyDescent="0.25">
      <c r="B366" s="3"/>
      <c r="C366" s="3"/>
      <c r="D366" s="3"/>
      <c r="E366" s="602"/>
      <c r="F366" s="3"/>
      <c r="G366" s="3"/>
      <c r="H366" s="3"/>
      <c r="I366" s="3"/>
      <c r="J366" s="3"/>
      <c r="K366" s="3"/>
      <c r="L366" s="3"/>
      <c r="M366" s="3"/>
      <c r="N366" s="3"/>
      <c r="O366" s="3"/>
      <c r="P366" s="3"/>
      <c r="Q366" s="3"/>
      <c r="R366" s="3"/>
      <c r="S366" s="3"/>
      <c r="T366" s="3"/>
      <c r="U366" s="3"/>
      <c r="V366" s="3"/>
      <c r="W366" s="3"/>
      <c r="X366" s="3"/>
      <c r="Y366" s="3"/>
      <c r="Z366" s="3"/>
    </row>
    <row r="367" spans="2:26" ht="15" x14ac:dyDescent="0.25">
      <c r="B367" s="3"/>
      <c r="C367" s="3"/>
      <c r="D367" s="3"/>
      <c r="E367" s="602"/>
      <c r="F367" s="3"/>
      <c r="G367" s="3"/>
      <c r="H367" s="3"/>
      <c r="I367" s="3"/>
      <c r="J367" s="3"/>
      <c r="K367" s="3"/>
      <c r="L367" s="3"/>
      <c r="M367" s="3"/>
      <c r="N367" s="3"/>
      <c r="O367" s="3"/>
      <c r="P367" s="3"/>
      <c r="Q367" s="3"/>
      <c r="R367" s="3"/>
      <c r="S367" s="3"/>
      <c r="T367" s="3"/>
      <c r="U367" s="3"/>
      <c r="V367" s="3"/>
      <c r="W367" s="3"/>
      <c r="X367" s="3"/>
      <c r="Y367" s="3"/>
      <c r="Z367" s="3"/>
    </row>
    <row r="368" spans="2:26" ht="15" x14ac:dyDescent="0.25">
      <c r="B368" s="3"/>
      <c r="C368" s="3"/>
      <c r="D368" s="3"/>
      <c r="E368" s="602"/>
      <c r="F368" s="3"/>
      <c r="G368" s="3"/>
      <c r="H368" s="3"/>
      <c r="I368" s="3"/>
      <c r="J368" s="3"/>
      <c r="K368" s="3"/>
      <c r="L368" s="3"/>
      <c r="M368" s="3"/>
      <c r="N368" s="3"/>
      <c r="O368" s="3"/>
      <c r="P368" s="3"/>
      <c r="Q368" s="3"/>
      <c r="R368" s="3"/>
      <c r="S368" s="3"/>
      <c r="T368" s="3"/>
      <c r="U368" s="3"/>
      <c r="V368" s="3"/>
      <c r="W368" s="3"/>
      <c r="X368" s="3"/>
      <c r="Y368" s="3"/>
      <c r="Z368" s="3"/>
    </row>
    <row r="369" spans="2:26" ht="15" x14ac:dyDescent="0.25">
      <c r="B369" s="3"/>
      <c r="C369" s="3"/>
      <c r="D369" s="3"/>
      <c r="E369" s="602"/>
      <c r="F369" s="3"/>
      <c r="G369" s="3"/>
      <c r="H369" s="3"/>
      <c r="I369" s="3"/>
      <c r="J369" s="3"/>
      <c r="K369" s="3"/>
      <c r="L369" s="3"/>
      <c r="M369" s="3"/>
      <c r="N369" s="3"/>
      <c r="O369" s="3"/>
      <c r="P369" s="3"/>
      <c r="Q369" s="3"/>
      <c r="R369" s="3"/>
      <c r="S369" s="3"/>
      <c r="T369" s="3"/>
      <c r="U369" s="3"/>
      <c r="V369" s="3"/>
      <c r="W369" s="3"/>
      <c r="X369" s="3"/>
      <c r="Y369" s="3"/>
      <c r="Z369" s="3"/>
    </row>
    <row r="370" spans="2:26" ht="15" x14ac:dyDescent="0.25">
      <c r="B370" s="3"/>
      <c r="C370" s="3"/>
      <c r="D370" s="3"/>
      <c r="E370" s="602"/>
      <c r="F370" s="3"/>
      <c r="G370" s="3"/>
      <c r="H370" s="3"/>
      <c r="I370" s="3"/>
      <c r="J370" s="3"/>
      <c r="K370" s="3"/>
      <c r="L370" s="3"/>
      <c r="M370" s="3"/>
      <c r="N370" s="3"/>
      <c r="O370" s="3"/>
      <c r="P370" s="3"/>
      <c r="Q370" s="3"/>
      <c r="R370" s="3"/>
      <c r="S370" s="3"/>
      <c r="T370" s="3"/>
      <c r="U370" s="3"/>
      <c r="V370" s="3"/>
      <c r="W370" s="3"/>
      <c r="X370" s="3"/>
      <c r="Y370" s="3"/>
      <c r="Z370" s="3"/>
    </row>
    <row r="371" spans="2:26" ht="15" x14ac:dyDescent="0.25">
      <c r="B371" s="3"/>
      <c r="C371" s="3"/>
      <c r="D371" s="3"/>
      <c r="E371" s="602"/>
      <c r="F371" s="3"/>
      <c r="G371" s="3"/>
      <c r="H371" s="3"/>
      <c r="I371" s="3"/>
      <c r="J371" s="3"/>
      <c r="K371" s="3"/>
      <c r="L371" s="3"/>
      <c r="M371" s="3"/>
      <c r="N371" s="3"/>
      <c r="O371" s="3"/>
      <c r="P371" s="3"/>
      <c r="Q371" s="3"/>
      <c r="R371" s="3"/>
      <c r="S371" s="3"/>
      <c r="T371" s="3"/>
      <c r="U371" s="3"/>
      <c r="V371" s="3"/>
      <c r="W371" s="3"/>
      <c r="X371" s="3"/>
      <c r="Y371" s="3"/>
      <c r="Z371" s="3"/>
    </row>
    <row r="372" spans="2:26" ht="15" x14ac:dyDescent="0.25">
      <c r="B372" s="3"/>
      <c r="C372" s="3"/>
      <c r="D372" s="3"/>
      <c r="E372" s="602"/>
      <c r="F372" s="3"/>
      <c r="G372" s="3"/>
      <c r="H372" s="3"/>
      <c r="I372" s="3"/>
      <c r="J372" s="3"/>
      <c r="K372" s="3"/>
      <c r="L372" s="3"/>
      <c r="M372" s="3"/>
      <c r="N372" s="3"/>
      <c r="O372" s="3"/>
      <c r="P372" s="3"/>
      <c r="Q372" s="3"/>
      <c r="R372" s="3"/>
      <c r="S372" s="3"/>
      <c r="T372" s="3"/>
      <c r="U372" s="3"/>
      <c r="V372" s="3"/>
      <c r="W372" s="3"/>
      <c r="X372" s="3"/>
      <c r="Y372" s="3"/>
      <c r="Z372" s="3"/>
    </row>
    <row r="373" spans="2:26" ht="15" x14ac:dyDescent="0.25">
      <c r="B373" s="3"/>
      <c r="C373" s="3"/>
      <c r="D373" s="3"/>
      <c r="E373" s="602"/>
      <c r="F373" s="3"/>
      <c r="G373" s="3"/>
      <c r="H373" s="3"/>
      <c r="I373" s="3"/>
      <c r="J373" s="3"/>
      <c r="K373" s="3"/>
      <c r="L373" s="3"/>
      <c r="M373" s="3"/>
      <c r="N373" s="3"/>
      <c r="O373" s="3"/>
      <c r="P373" s="3"/>
      <c r="Q373" s="3"/>
      <c r="R373" s="3"/>
      <c r="S373" s="3"/>
      <c r="T373" s="3"/>
      <c r="U373" s="3"/>
      <c r="V373" s="3"/>
      <c r="W373" s="3"/>
      <c r="X373" s="3"/>
      <c r="Y373" s="3"/>
      <c r="Z373" s="3"/>
    </row>
    <row r="374" spans="2:26" ht="15" x14ac:dyDescent="0.25">
      <c r="B374" s="3"/>
      <c r="C374" s="3"/>
      <c r="D374" s="3"/>
      <c r="E374" s="602"/>
      <c r="F374" s="3"/>
      <c r="G374" s="3"/>
      <c r="H374" s="3"/>
      <c r="I374" s="3"/>
      <c r="J374" s="3"/>
      <c r="K374" s="3"/>
      <c r="L374" s="3"/>
      <c r="M374" s="3"/>
      <c r="N374" s="3"/>
      <c r="O374" s="3"/>
      <c r="P374" s="3"/>
      <c r="Q374" s="3"/>
      <c r="R374" s="3"/>
      <c r="S374" s="3"/>
      <c r="T374" s="3"/>
      <c r="U374" s="3"/>
      <c r="V374" s="3"/>
      <c r="W374" s="3"/>
      <c r="X374" s="3"/>
      <c r="Y374" s="3"/>
      <c r="Z374" s="3"/>
    </row>
    <row r="375" spans="2:26" ht="15" x14ac:dyDescent="0.25">
      <c r="B375" s="3"/>
      <c r="C375" s="3"/>
      <c r="D375" s="3"/>
      <c r="E375" s="602"/>
      <c r="F375" s="3"/>
      <c r="G375" s="3"/>
      <c r="H375" s="3"/>
      <c r="I375" s="3"/>
      <c r="J375" s="3"/>
      <c r="K375" s="3"/>
      <c r="L375" s="3"/>
      <c r="M375" s="3"/>
      <c r="N375" s="3"/>
      <c r="O375" s="3"/>
      <c r="P375" s="3"/>
      <c r="Q375" s="3"/>
      <c r="R375" s="3"/>
      <c r="S375" s="3"/>
      <c r="T375" s="3"/>
      <c r="U375" s="3"/>
      <c r="V375" s="3"/>
      <c r="W375" s="3"/>
      <c r="X375" s="3"/>
      <c r="Y375" s="3"/>
      <c r="Z375" s="3"/>
    </row>
    <row r="376" spans="2:26" ht="15" x14ac:dyDescent="0.25">
      <c r="B376" s="3"/>
      <c r="C376" s="3"/>
      <c r="D376" s="3"/>
      <c r="E376" s="602"/>
      <c r="F376" s="3"/>
      <c r="G376" s="3"/>
      <c r="H376" s="3"/>
      <c r="I376" s="3"/>
      <c r="J376" s="3"/>
      <c r="K376" s="3"/>
      <c r="L376" s="3"/>
      <c r="M376" s="3"/>
      <c r="N376" s="3"/>
      <c r="O376" s="3"/>
      <c r="P376" s="3"/>
      <c r="Q376" s="3"/>
      <c r="R376" s="3"/>
      <c r="S376" s="3"/>
      <c r="T376" s="3"/>
      <c r="U376" s="3"/>
      <c r="V376" s="3"/>
      <c r="W376" s="3"/>
      <c r="X376" s="3"/>
      <c r="Y376" s="3"/>
      <c r="Z376" s="3"/>
    </row>
    <row r="377" spans="2:26" ht="15" x14ac:dyDescent="0.25">
      <c r="B377" s="3"/>
      <c r="C377" s="3"/>
      <c r="D377" s="3"/>
      <c r="E377" s="602"/>
      <c r="F377" s="3"/>
      <c r="G377" s="3"/>
      <c r="H377" s="3"/>
      <c r="I377" s="3"/>
      <c r="J377" s="3"/>
      <c r="K377" s="3"/>
      <c r="L377" s="3"/>
      <c r="M377" s="3"/>
      <c r="N377" s="3"/>
      <c r="O377" s="3"/>
      <c r="P377" s="3"/>
      <c r="Q377" s="3"/>
      <c r="R377" s="3"/>
      <c r="S377" s="3"/>
      <c r="T377" s="3"/>
      <c r="U377" s="3"/>
      <c r="V377" s="3"/>
      <c r="W377" s="3"/>
      <c r="X377" s="3"/>
      <c r="Y377" s="3"/>
      <c r="Z377" s="3"/>
    </row>
    <row r="378" spans="2:26" ht="15" x14ac:dyDescent="0.25">
      <c r="B378" s="3"/>
      <c r="C378" s="3"/>
      <c r="D378" s="3"/>
      <c r="E378" s="602"/>
      <c r="F378" s="3"/>
      <c r="G378" s="3"/>
      <c r="H378" s="3"/>
      <c r="I378" s="3"/>
      <c r="J378" s="3"/>
      <c r="K378" s="3"/>
      <c r="L378" s="3"/>
      <c r="M378" s="3"/>
      <c r="N378" s="3"/>
      <c r="O378" s="3"/>
      <c r="P378" s="3"/>
      <c r="Q378" s="3"/>
      <c r="R378" s="3"/>
      <c r="S378" s="3"/>
      <c r="T378" s="3"/>
      <c r="U378" s="3"/>
      <c r="V378" s="3"/>
      <c r="W378" s="3"/>
      <c r="X378" s="3"/>
      <c r="Y378" s="3"/>
      <c r="Z378" s="3"/>
    </row>
    <row r="379" spans="2:26" ht="15" x14ac:dyDescent="0.25">
      <c r="B379" s="3"/>
      <c r="C379" s="3"/>
      <c r="D379" s="3"/>
      <c r="E379" s="602"/>
      <c r="F379" s="3"/>
      <c r="G379" s="3"/>
      <c r="H379" s="3"/>
      <c r="I379" s="3"/>
      <c r="J379" s="3"/>
      <c r="K379" s="3"/>
      <c r="L379" s="3"/>
      <c r="M379" s="3"/>
      <c r="N379" s="3"/>
      <c r="O379" s="3"/>
      <c r="P379" s="3"/>
      <c r="Q379" s="3"/>
      <c r="R379" s="3"/>
      <c r="S379" s="3"/>
      <c r="T379" s="3"/>
      <c r="U379" s="3"/>
      <c r="V379" s="3"/>
      <c r="W379" s="3"/>
      <c r="X379" s="3"/>
      <c r="Y379" s="3"/>
      <c r="Z379" s="3"/>
    </row>
    <row r="380" spans="2:26" ht="15" x14ac:dyDescent="0.25">
      <c r="B380" s="3"/>
      <c r="C380" s="3"/>
      <c r="D380" s="3"/>
      <c r="E380" s="602"/>
      <c r="F380" s="3"/>
      <c r="G380" s="3"/>
      <c r="H380" s="3"/>
      <c r="I380" s="3"/>
      <c r="J380" s="3"/>
      <c r="K380" s="3"/>
      <c r="L380" s="3"/>
      <c r="M380" s="3"/>
      <c r="N380" s="3"/>
      <c r="O380" s="3"/>
      <c r="P380" s="3"/>
      <c r="Q380" s="3"/>
      <c r="R380" s="3"/>
      <c r="S380" s="3"/>
      <c r="T380" s="3"/>
      <c r="U380" s="3"/>
      <c r="V380" s="3"/>
      <c r="W380" s="3"/>
      <c r="X380" s="3"/>
      <c r="Y380" s="3"/>
      <c r="Z380" s="3"/>
    </row>
    <row r="381" spans="2:26" ht="15" x14ac:dyDescent="0.25">
      <c r="B381" s="3"/>
      <c r="C381" s="3"/>
      <c r="D381" s="3"/>
      <c r="E381" s="602"/>
      <c r="F381" s="3"/>
      <c r="G381" s="3"/>
      <c r="H381" s="3"/>
      <c r="I381" s="3"/>
      <c r="J381" s="3"/>
      <c r="K381" s="3"/>
      <c r="L381" s="3"/>
      <c r="M381" s="3"/>
      <c r="N381" s="3"/>
      <c r="O381" s="3"/>
      <c r="P381" s="3"/>
      <c r="Q381" s="3"/>
      <c r="R381" s="3"/>
      <c r="S381" s="3"/>
      <c r="T381" s="3"/>
      <c r="U381" s="3"/>
      <c r="V381" s="3"/>
      <c r="W381" s="3"/>
      <c r="X381" s="3"/>
      <c r="Y381" s="3"/>
      <c r="Z381" s="3"/>
    </row>
    <row r="382" spans="2:26" ht="15" x14ac:dyDescent="0.25">
      <c r="B382" s="3"/>
      <c r="C382" s="3"/>
      <c r="D382" s="3"/>
      <c r="E382" s="602"/>
      <c r="F382" s="3"/>
      <c r="G382" s="3"/>
      <c r="H382" s="3"/>
      <c r="I382" s="3"/>
      <c r="J382" s="3"/>
      <c r="K382" s="3"/>
      <c r="L382" s="3"/>
      <c r="M382" s="3"/>
      <c r="N382" s="3"/>
      <c r="O382" s="3"/>
      <c r="P382" s="3"/>
      <c r="Q382" s="3"/>
      <c r="R382" s="3"/>
      <c r="S382" s="3"/>
      <c r="T382" s="3"/>
      <c r="U382" s="3"/>
      <c r="V382" s="3"/>
      <c r="W382" s="3"/>
      <c r="X382" s="3"/>
      <c r="Y382" s="3"/>
      <c r="Z382" s="3"/>
    </row>
    <row r="383" spans="2:26" ht="15" x14ac:dyDescent="0.25">
      <c r="B383" s="3"/>
      <c r="C383" s="3"/>
      <c r="D383" s="3"/>
      <c r="E383" s="602"/>
      <c r="F383" s="3"/>
      <c r="G383" s="3"/>
      <c r="H383" s="3"/>
      <c r="I383" s="3"/>
      <c r="J383" s="3"/>
      <c r="K383" s="3"/>
      <c r="L383" s="3"/>
      <c r="M383" s="3"/>
      <c r="N383" s="3"/>
      <c r="O383" s="3"/>
      <c r="P383" s="3"/>
      <c r="Q383" s="3"/>
      <c r="R383" s="3"/>
      <c r="S383" s="3"/>
      <c r="T383" s="3"/>
      <c r="U383" s="3"/>
      <c r="V383" s="3"/>
      <c r="W383" s="3"/>
      <c r="X383" s="3"/>
      <c r="Y383" s="3"/>
      <c r="Z383" s="3"/>
    </row>
    <row r="384" spans="2:26" ht="15" x14ac:dyDescent="0.25">
      <c r="B384" s="3"/>
      <c r="C384" s="3"/>
      <c r="D384" s="3"/>
      <c r="E384" s="602"/>
      <c r="F384" s="3"/>
      <c r="G384" s="3"/>
      <c r="H384" s="3"/>
      <c r="I384" s="3"/>
      <c r="J384" s="3"/>
      <c r="K384" s="3"/>
      <c r="L384" s="3"/>
      <c r="M384" s="3"/>
      <c r="N384" s="3"/>
      <c r="O384" s="3"/>
      <c r="P384" s="3"/>
      <c r="Q384" s="3"/>
      <c r="R384" s="3"/>
      <c r="S384" s="3"/>
      <c r="T384" s="3"/>
      <c r="U384" s="3"/>
      <c r="V384" s="3"/>
      <c r="W384" s="3"/>
      <c r="X384" s="3"/>
      <c r="Y384" s="3"/>
      <c r="Z384" s="3"/>
    </row>
    <row r="385" spans="2:26" ht="15" x14ac:dyDescent="0.25">
      <c r="B385" s="3"/>
      <c r="C385" s="3"/>
      <c r="D385" s="3"/>
      <c r="E385" s="602"/>
      <c r="F385" s="3"/>
      <c r="G385" s="3"/>
      <c r="H385" s="3"/>
      <c r="I385" s="3"/>
      <c r="J385" s="3"/>
      <c r="K385" s="3"/>
      <c r="L385" s="3"/>
      <c r="M385" s="3"/>
      <c r="N385" s="3"/>
      <c r="O385" s="3"/>
      <c r="P385" s="3"/>
      <c r="Q385" s="3"/>
      <c r="R385" s="3"/>
      <c r="S385" s="3"/>
      <c r="T385" s="3"/>
      <c r="U385" s="3"/>
      <c r="V385" s="3"/>
      <c r="W385" s="3"/>
      <c r="X385" s="3"/>
      <c r="Y385" s="3"/>
      <c r="Z385" s="3"/>
    </row>
    <row r="386" spans="2:26" ht="15" x14ac:dyDescent="0.25">
      <c r="B386" s="3"/>
      <c r="C386" s="3"/>
      <c r="D386" s="3"/>
      <c r="E386" s="602"/>
      <c r="F386" s="3"/>
      <c r="G386" s="3"/>
      <c r="H386" s="3"/>
      <c r="I386" s="3"/>
      <c r="J386" s="3"/>
      <c r="K386" s="3"/>
      <c r="L386" s="3"/>
      <c r="M386" s="3"/>
      <c r="N386" s="3"/>
      <c r="O386" s="3"/>
      <c r="P386" s="3"/>
      <c r="Q386" s="3"/>
      <c r="R386" s="3"/>
      <c r="S386" s="3"/>
      <c r="T386" s="3"/>
      <c r="U386" s="3"/>
      <c r="V386" s="3"/>
      <c r="W386" s="3"/>
      <c r="X386" s="3"/>
      <c r="Y386" s="3"/>
      <c r="Z386" s="3"/>
    </row>
    <row r="387" spans="2:26" ht="15" x14ac:dyDescent="0.25">
      <c r="B387" s="3"/>
      <c r="C387" s="3"/>
      <c r="D387" s="3"/>
      <c r="E387" s="602"/>
      <c r="F387" s="3"/>
      <c r="G387" s="3"/>
      <c r="H387" s="3"/>
      <c r="I387" s="3"/>
      <c r="J387" s="3"/>
      <c r="K387" s="3"/>
      <c r="L387" s="3"/>
      <c r="M387" s="3"/>
      <c r="N387" s="3"/>
      <c r="O387" s="3"/>
      <c r="P387" s="3"/>
      <c r="Q387" s="3"/>
      <c r="R387" s="3"/>
      <c r="S387" s="3"/>
      <c r="T387" s="3"/>
      <c r="U387" s="3"/>
      <c r="V387" s="3"/>
      <c r="W387" s="3"/>
      <c r="X387" s="3"/>
      <c r="Y387" s="3"/>
      <c r="Z387" s="3"/>
    </row>
    <row r="388" spans="2:26" ht="15" x14ac:dyDescent="0.25">
      <c r="B388" s="3"/>
      <c r="C388" s="3"/>
      <c r="D388" s="3"/>
      <c r="E388" s="602"/>
      <c r="F388" s="3"/>
      <c r="G388" s="3"/>
      <c r="H388" s="3"/>
      <c r="I388" s="3"/>
      <c r="J388" s="3"/>
      <c r="K388" s="3"/>
      <c r="L388" s="3"/>
      <c r="M388" s="3"/>
      <c r="N388" s="3"/>
      <c r="O388" s="3"/>
      <c r="P388" s="3"/>
      <c r="Q388" s="3"/>
      <c r="R388" s="3"/>
      <c r="S388" s="3"/>
      <c r="T388" s="3"/>
      <c r="U388" s="3"/>
      <c r="V388" s="3"/>
      <c r="W388" s="3"/>
      <c r="X388" s="3"/>
      <c r="Y388" s="3"/>
      <c r="Z388" s="3"/>
    </row>
    <row r="389" spans="2:26" ht="15" x14ac:dyDescent="0.25">
      <c r="B389" s="3"/>
      <c r="C389" s="3"/>
      <c r="D389" s="3"/>
      <c r="E389" s="602"/>
      <c r="F389" s="3"/>
      <c r="G389" s="3"/>
      <c r="H389" s="3"/>
      <c r="I389" s="3"/>
      <c r="J389" s="3"/>
      <c r="K389" s="3"/>
      <c r="L389" s="3"/>
      <c r="M389" s="3"/>
      <c r="N389" s="3"/>
      <c r="O389" s="3"/>
      <c r="P389" s="3"/>
      <c r="Q389" s="3"/>
      <c r="R389" s="3"/>
      <c r="S389" s="3"/>
      <c r="T389" s="3"/>
      <c r="U389" s="3"/>
      <c r="V389" s="3"/>
      <c r="W389" s="3"/>
      <c r="X389" s="3"/>
      <c r="Y389" s="3"/>
      <c r="Z389" s="3"/>
    </row>
    <row r="390" spans="2:26" ht="15" x14ac:dyDescent="0.25">
      <c r="B390" s="3"/>
      <c r="C390" s="3"/>
      <c r="D390" s="3"/>
      <c r="E390" s="602"/>
      <c r="F390" s="3"/>
      <c r="G390" s="3"/>
      <c r="H390" s="3"/>
      <c r="I390" s="3"/>
      <c r="J390" s="3"/>
      <c r="K390" s="3"/>
      <c r="L390" s="3"/>
      <c r="M390" s="3"/>
      <c r="N390" s="3"/>
      <c r="O390" s="3"/>
      <c r="P390" s="3"/>
      <c r="Q390" s="3"/>
      <c r="R390" s="3"/>
      <c r="S390" s="3"/>
      <c r="T390" s="3"/>
      <c r="U390" s="3"/>
      <c r="V390" s="3"/>
      <c r="W390" s="3"/>
      <c r="X390" s="3"/>
      <c r="Y390" s="3"/>
      <c r="Z390" s="3"/>
    </row>
    <row r="391" spans="2:26" ht="15" x14ac:dyDescent="0.25">
      <c r="B391" s="3"/>
      <c r="C391" s="3"/>
      <c r="D391" s="3"/>
      <c r="E391" s="602"/>
      <c r="F391" s="3"/>
      <c r="G391" s="3"/>
      <c r="H391" s="3"/>
      <c r="I391" s="3"/>
      <c r="J391" s="3"/>
      <c r="K391" s="3"/>
      <c r="L391" s="3"/>
      <c r="M391" s="3"/>
      <c r="N391" s="3"/>
      <c r="O391" s="3"/>
      <c r="P391" s="3"/>
      <c r="Q391" s="3"/>
      <c r="R391" s="3"/>
      <c r="S391" s="3"/>
      <c r="T391" s="3"/>
      <c r="U391" s="3"/>
      <c r="V391" s="3"/>
      <c r="W391" s="3"/>
      <c r="X391" s="3"/>
      <c r="Y391" s="3"/>
      <c r="Z391" s="3"/>
    </row>
    <row r="392" spans="2:26" ht="15" x14ac:dyDescent="0.25">
      <c r="B392" s="3"/>
      <c r="C392" s="3"/>
      <c r="D392" s="3"/>
      <c r="E392" s="602"/>
      <c r="F392" s="3"/>
      <c r="G392" s="3"/>
      <c r="H392" s="3"/>
      <c r="I392" s="3"/>
      <c r="J392" s="3"/>
      <c r="K392" s="3"/>
      <c r="L392" s="3"/>
      <c r="M392" s="3"/>
      <c r="N392" s="3"/>
      <c r="O392" s="3"/>
      <c r="P392" s="3"/>
      <c r="Q392" s="3"/>
      <c r="R392" s="3"/>
      <c r="S392" s="3"/>
      <c r="T392" s="3"/>
      <c r="U392" s="3"/>
      <c r="V392" s="3"/>
      <c r="W392" s="3"/>
      <c r="X392" s="3"/>
      <c r="Y392" s="3"/>
      <c r="Z392" s="3"/>
    </row>
    <row r="393" spans="2:26" ht="15" x14ac:dyDescent="0.25">
      <c r="B393" s="3"/>
      <c r="C393" s="3"/>
      <c r="D393" s="3"/>
      <c r="E393" s="602"/>
      <c r="F393" s="3"/>
      <c r="G393" s="3"/>
      <c r="H393" s="3"/>
      <c r="I393" s="3"/>
      <c r="J393" s="3"/>
      <c r="K393" s="3"/>
      <c r="L393" s="3"/>
      <c r="M393" s="3"/>
      <c r="N393" s="3"/>
      <c r="O393" s="3"/>
      <c r="P393" s="3"/>
      <c r="Q393" s="3"/>
      <c r="R393" s="3"/>
      <c r="S393" s="3"/>
      <c r="T393" s="3"/>
      <c r="U393" s="3"/>
      <c r="V393" s="3"/>
      <c r="W393" s="3"/>
      <c r="X393" s="3"/>
      <c r="Y393" s="3"/>
      <c r="Z393" s="3"/>
    </row>
    <row r="394" spans="2:26" ht="15" x14ac:dyDescent="0.25">
      <c r="B394" s="3"/>
      <c r="C394" s="3"/>
      <c r="D394" s="3"/>
      <c r="E394" s="602"/>
      <c r="F394" s="3"/>
      <c r="G394" s="3"/>
      <c r="H394" s="3"/>
      <c r="I394" s="3"/>
      <c r="J394" s="3"/>
      <c r="K394" s="3"/>
      <c r="L394" s="3"/>
      <c r="M394" s="3"/>
      <c r="N394" s="3"/>
      <c r="O394" s="3"/>
      <c r="P394" s="3"/>
      <c r="Q394" s="3"/>
      <c r="R394" s="3"/>
      <c r="S394" s="3"/>
      <c r="T394" s="3"/>
      <c r="U394" s="3"/>
      <c r="V394" s="3"/>
      <c r="W394" s="3"/>
      <c r="X394" s="3"/>
      <c r="Y394" s="3"/>
      <c r="Z394" s="3"/>
    </row>
  </sheetData>
  <mergeCells count="7">
    <mergeCell ref="B170:C170"/>
    <mergeCell ref="B182:C182"/>
    <mergeCell ref="D2:E2"/>
    <mergeCell ref="D8:E8"/>
    <mergeCell ref="B9:C9"/>
    <mergeCell ref="B10:C10"/>
    <mergeCell ref="B168:C168"/>
  </mergeCells>
  <pageMargins left="0.7" right="0.7" top="0.75" bottom="0.75" header="0" footer="0"/>
  <pageSetup orientation="landscape"/>
  <ignoredErrors>
    <ignoredError sqref="D17:D175" formula="1"/>
  </ignoredErrors>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heetViews>
  <sheetFormatPr defaultColWidth="16.83203125" defaultRowHeight="15" customHeight="1" x14ac:dyDescent="0.2"/>
  <cols>
    <col min="1" max="1" width="2.83203125" customWidth="1"/>
    <col min="2" max="2" width="16.1640625" customWidth="1"/>
    <col min="3" max="3" width="37.1640625" customWidth="1"/>
    <col min="4" max="4" width="23.1640625" customWidth="1"/>
    <col min="5" max="5" width="21.5" customWidth="1"/>
    <col min="6" max="6" width="23" customWidth="1"/>
    <col min="7" max="7" width="19.1640625" customWidth="1"/>
    <col min="8" max="8" width="19.33203125" customWidth="1"/>
    <col min="9" max="9" width="19.83203125" customWidth="1"/>
    <col min="10" max="10" width="22.33203125" customWidth="1"/>
    <col min="11" max="11" width="21.1640625" customWidth="1"/>
    <col min="12" max="12" width="19.33203125" customWidth="1"/>
    <col min="13" max="13" width="20.1640625" customWidth="1"/>
    <col min="14" max="14" width="9.33203125" customWidth="1"/>
    <col min="15" max="15" width="30" customWidth="1"/>
    <col min="16" max="16" width="20.33203125" customWidth="1"/>
    <col min="17" max="23" width="9.33203125" customWidth="1"/>
    <col min="24" max="26" width="8" customWidth="1"/>
  </cols>
  <sheetData>
    <row r="1" spans="1:26" ht="21" customHeight="1" x14ac:dyDescent="0.35">
      <c r="A1" s="14" t="s">
        <v>5</v>
      </c>
      <c r="B1" s="16"/>
      <c r="C1" s="20"/>
      <c r="D1" s="20"/>
      <c r="E1" s="20"/>
      <c r="F1" s="22"/>
      <c r="G1" s="20"/>
      <c r="H1" s="20"/>
      <c r="I1" s="20"/>
      <c r="J1" s="20"/>
      <c r="K1" s="20"/>
      <c r="L1" s="20"/>
      <c r="M1" s="20"/>
      <c r="N1" s="20"/>
      <c r="O1" s="20"/>
      <c r="P1" s="20"/>
      <c r="Q1" s="20"/>
      <c r="R1" s="20"/>
      <c r="S1" s="20"/>
      <c r="T1" s="20"/>
      <c r="U1" s="20"/>
      <c r="V1" s="20"/>
      <c r="W1" s="20"/>
      <c r="X1" s="20"/>
      <c r="Y1" s="20"/>
      <c r="Z1" s="20"/>
    </row>
    <row r="2" spans="1:26" ht="140.25" customHeight="1" x14ac:dyDescent="0.25">
      <c r="A2" s="3"/>
      <c r="B2" s="3"/>
      <c r="C2" s="3"/>
      <c r="D2" s="3"/>
      <c r="E2" s="3"/>
      <c r="F2" s="3"/>
      <c r="G2" s="3"/>
      <c r="H2" s="3"/>
      <c r="I2" s="3"/>
      <c r="J2" s="3"/>
      <c r="K2" s="3"/>
      <c r="L2" s="3"/>
      <c r="M2" s="3"/>
      <c r="N2" s="3"/>
      <c r="O2" s="3"/>
      <c r="P2" s="3"/>
      <c r="Q2" s="3"/>
      <c r="R2" s="3"/>
      <c r="S2" s="3"/>
      <c r="T2" s="3"/>
      <c r="U2" s="3"/>
      <c r="V2" s="3"/>
      <c r="W2" s="3"/>
      <c r="X2" s="3"/>
      <c r="Y2" s="3"/>
      <c r="Z2" s="3"/>
    </row>
    <row r="3" spans="1:26" x14ac:dyDescent="0.25">
      <c r="A3" s="3"/>
      <c r="B3" s="35" t="s">
        <v>27</v>
      </c>
      <c r="C3" s="37"/>
      <c r="D3" s="3"/>
      <c r="E3" s="3"/>
      <c r="F3" s="3"/>
      <c r="G3" s="3"/>
      <c r="H3" s="3"/>
      <c r="I3" s="3"/>
      <c r="J3" s="3"/>
      <c r="K3" s="3"/>
      <c r="L3" s="3"/>
      <c r="M3" s="3"/>
      <c r="N3" s="3"/>
      <c r="O3" s="39" t="s">
        <v>36</v>
      </c>
      <c r="P3" s="41" t="s">
        <v>38</v>
      </c>
      <c r="Q3" s="41"/>
      <c r="R3" s="41"/>
      <c r="S3" s="41"/>
      <c r="T3" s="41"/>
      <c r="U3" s="41"/>
      <c r="V3" s="41"/>
      <c r="W3" s="41"/>
      <c r="X3" s="3"/>
      <c r="Y3" s="3"/>
      <c r="Z3" s="3"/>
    </row>
    <row r="4" spans="1:26" x14ac:dyDescent="0.25">
      <c r="A4" s="3"/>
      <c r="B4" s="3"/>
      <c r="C4" s="3"/>
      <c r="D4" s="3"/>
      <c r="E4" s="3"/>
      <c r="F4" s="3"/>
      <c r="G4" s="41"/>
      <c r="H4" s="3"/>
      <c r="I4" s="3"/>
      <c r="J4" s="3"/>
      <c r="K4" s="3"/>
      <c r="L4" s="3"/>
      <c r="M4" s="3"/>
      <c r="N4" s="3"/>
      <c r="O4" s="43" t="s">
        <v>42</v>
      </c>
      <c r="P4" s="41" t="s">
        <v>44</v>
      </c>
      <c r="Q4" s="3"/>
      <c r="R4" s="3"/>
      <c r="S4" s="3"/>
      <c r="T4" s="3"/>
      <c r="U4" s="3"/>
      <c r="V4" s="3"/>
      <c r="W4" s="3"/>
      <c r="X4" s="3"/>
      <c r="Y4" s="3"/>
      <c r="Z4" s="3"/>
    </row>
    <row r="5" spans="1:26" x14ac:dyDescent="0.25">
      <c r="A5" s="3"/>
      <c r="B5" s="3"/>
      <c r="C5" s="3"/>
      <c r="D5" s="3"/>
      <c r="E5" s="3"/>
      <c r="F5" s="3"/>
      <c r="G5" s="3"/>
      <c r="H5" s="3"/>
      <c r="I5" s="3"/>
      <c r="J5" s="3"/>
      <c r="K5" s="3"/>
      <c r="L5" s="3"/>
      <c r="M5" s="3"/>
      <c r="N5" s="3"/>
      <c r="O5" s="3"/>
      <c r="P5" s="3"/>
      <c r="Q5" s="3"/>
      <c r="R5" s="3"/>
      <c r="S5" s="3"/>
      <c r="T5" s="3"/>
      <c r="U5" s="3"/>
      <c r="V5" s="3"/>
      <c r="W5" s="3"/>
      <c r="X5" s="3"/>
      <c r="Y5" s="3"/>
      <c r="Z5" s="3"/>
    </row>
    <row r="6" spans="1:26" x14ac:dyDescent="0.25">
      <c r="A6" s="3"/>
      <c r="B6" s="3"/>
      <c r="C6" s="3"/>
      <c r="D6" s="3"/>
      <c r="E6" s="3"/>
      <c r="F6" s="3"/>
      <c r="G6" s="3"/>
      <c r="H6" s="3"/>
      <c r="I6" s="3"/>
      <c r="J6" s="3"/>
      <c r="K6" s="3"/>
      <c r="L6" s="3"/>
      <c r="M6" s="3"/>
      <c r="N6" s="3"/>
      <c r="O6" s="3"/>
      <c r="P6" s="3"/>
      <c r="Q6" s="3"/>
      <c r="R6" s="3"/>
      <c r="S6" s="3"/>
      <c r="T6" s="3"/>
      <c r="U6" s="3"/>
      <c r="V6" s="3"/>
      <c r="W6" s="3"/>
      <c r="X6" s="3"/>
      <c r="Y6" s="3"/>
      <c r="Z6" s="3"/>
    </row>
    <row r="7" spans="1:26" x14ac:dyDescent="0.25">
      <c r="A7" s="3"/>
      <c r="B7" s="47" t="s">
        <v>6</v>
      </c>
      <c r="C7" s="48" t="s">
        <v>7</v>
      </c>
      <c r="D7" s="48" t="s">
        <v>8</v>
      </c>
      <c r="E7" s="48" t="s">
        <v>9</v>
      </c>
      <c r="F7" s="48" t="s">
        <v>10</v>
      </c>
      <c r="G7" s="48" t="s">
        <v>47</v>
      </c>
      <c r="H7" s="48" t="s">
        <v>49</v>
      </c>
      <c r="I7" s="48" t="s">
        <v>50</v>
      </c>
      <c r="J7" s="51" t="s">
        <v>51</v>
      </c>
      <c r="K7" s="54" t="s">
        <v>54</v>
      </c>
      <c r="L7" s="48" t="s">
        <v>56</v>
      </c>
      <c r="M7" s="56" t="s">
        <v>57</v>
      </c>
      <c r="N7" s="3"/>
      <c r="O7" s="58" t="s">
        <v>59</v>
      </c>
      <c r="P7" s="60" t="s">
        <v>61</v>
      </c>
      <c r="Q7" s="3"/>
      <c r="R7" s="3"/>
      <c r="S7" s="3"/>
      <c r="T7" s="3"/>
      <c r="U7" s="3"/>
      <c r="V7" s="3"/>
      <c r="W7" s="3"/>
      <c r="X7" s="3"/>
      <c r="Y7" s="3"/>
      <c r="Z7" s="3"/>
    </row>
    <row r="8" spans="1:26" x14ac:dyDescent="0.25">
      <c r="A8" s="3"/>
      <c r="B8" s="62"/>
      <c r="C8" s="63"/>
      <c r="D8" s="63"/>
      <c r="E8" s="63"/>
      <c r="F8" s="63"/>
      <c r="G8" s="63"/>
      <c r="H8" s="63"/>
      <c r="I8" s="63"/>
      <c r="J8" s="65" t="s">
        <v>24</v>
      </c>
      <c r="K8" s="67" t="s">
        <v>25</v>
      </c>
      <c r="L8" s="63" t="s">
        <v>25</v>
      </c>
      <c r="M8" s="70" t="s">
        <v>25</v>
      </c>
      <c r="N8" s="3"/>
      <c r="O8" s="58" t="s">
        <v>24</v>
      </c>
      <c r="P8" s="60" t="s">
        <v>35</v>
      </c>
      <c r="Q8" s="3"/>
      <c r="R8" s="3"/>
      <c r="S8" s="3"/>
      <c r="T8" s="3"/>
      <c r="U8" s="3"/>
      <c r="V8" s="3"/>
      <c r="W8" s="3"/>
      <c r="X8" s="3"/>
      <c r="Y8" s="3"/>
      <c r="Z8" s="3"/>
    </row>
    <row r="9" spans="1:26" x14ac:dyDescent="0.25">
      <c r="A9" s="3"/>
      <c r="B9" s="72"/>
      <c r="C9" s="73"/>
      <c r="D9" s="73"/>
      <c r="E9" s="73"/>
      <c r="F9" s="73"/>
      <c r="G9" s="73"/>
      <c r="H9" s="75"/>
      <c r="I9" s="73"/>
      <c r="J9" s="77"/>
      <c r="K9" s="78"/>
      <c r="L9" s="73"/>
      <c r="M9" s="79"/>
      <c r="N9" s="3"/>
      <c r="O9" s="81"/>
      <c r="P9" s="3"/>
      <c r="Q9" s="3"/>
      <c r="R9" s="3"/>
      <c r="S9" s="3"/>
      <c r="T9" s="3"/>
      <c r="U9" s="3"/>
      <c r="V9" s="3"/>
      <c r="W9" s="3"/>
      <c r="X9" s="3"/>
      <c r="Y9" s="3"/>
      <c r="Z9" s="3"/>
    </row>
    <row r="10" spans="1:26" x14ac:dyDescent="0.25">
      <c r="A10" s="3"/>
      <c r="B10" s="84" t="s">
        <v>30</v>
      </c>
      <c r="C10" s="93" t="s">
        <v>31</v>
      </c>
      <c r="D10" s="94"/>
      <c r="E10" s="94"/>
      <c r="F10" s="94"/>
      <c r="G10" s="94"/>
      <c r="H10" s="95"/>
      <c r="I10" s="94"/>
      <c r="J10" s="102"/>
      <c r="K10" s="103"/>
      <c r="L10" s="94"/>
      <c r="M10" s="104"/>
      <c r="N10" s="3"/>
      <c r="O10" s="81"/>
      <c r="P10" s="3"/>
      <c r="Q10" s="3"/>
      <c r="R10" s="3"/>
      <c r="S10" s="3"/>
      <c r="T10" s="3"/>
      <c r="U10" s="3"/>
      <c r="V10" s="3"/>
      <c r="W10" s="3"/>
      <c r="X10" s="3"/>
      <c r="Y10" s="3"/>
      <c r="Z10" s="3"/>
    </row>
    <row r="11" spans="1:26" x14ac:dyDescent="0.25">
      <c r="A11" s="3"/>
      <c r="B11" s="111"/>
      <c r="C11" s="112" t="s">
        <v>48</v>
      </c>
      <c r="D11" s="114" t="s">
        <v>52</v>
      </c>
      <c r="E11" s="73" t="s">
        <v>53</v>
      </c>
      <c r="F11" s="75">
        <v>711214</v>
      </c>
      <c r="G11" s="73" t="s">
        <v>55</v>
      </c>
      <c r="H11" s="75">
        <v>11080</v>
      </c>
      <c r="I11" s="73" t="s">
        <v>60</v>
      </c>
      <c r="J11" s="119">
        <v>15857480</v>
      </c>
      <c r="K11" s="121">
        <v>1624579.0892771983</v>
      </c>
      <c r="L11" s="123">
        <v>192.13746850227773</v>
      </c>
      <c r="M11" s="126">
        <v>27.95199068628779</v>
      </c>
      <c r="N11" s="3"/>
      <c r="O11" s="81" t="s">
        <v>36</v>
      </c>
      <c r="P11" s="3"/>
      <c r="Q11" s="3"/>
      <c r="R11" s="3"/>
      <c r="S11" s="3"/>
      <c r="T11" s="3"/>
      <c r="U11" s="3"/>
      <c r="V11" s="3"/>
      <c r="W11" s="3"/>
      <c r="X11" s="3"/>
      <c r="Y11" s="3"/>
      <c r="Z11" s="3"/>
    </row>
    <row r="12" spans="1:26" x14ac:dyDescent="0.25">
      <c r="A12" s="3"/>
      <c r="B12" s="131"/>
      <c r="C12" s="133"/>
      <c r="D12" s="134"/>
      <c r="E12" s="133"/>
      <c r="F12" s="136"/>
      <c r="G12" s="133"/>
      <c r="H12" s="136"/>
      <c r="I12" s="133"/>
      <c r="J12" s="138"/>
      <c r="K12" s="139"/>
      <c r="L12" s="141"/>
      <c r="M12" s="144"/>
      <c r="N12" s="3"/>
      <c r="O12" s="81"/>
      <c r="P12" s="3"/>
      <c r="Q12" s="3"/>
      <c r="R12" s="3"/>
      <c r="S12" s="3"/>
      <c r="T12" s="3"/>
      <c r="U12" s="3"/>
      <c r="V12" s="3"/>
      <c r="W12" s="3"/>
      <c r="X12" s="3"/>
      <c r="Y12" s="3"/>
      <c r="Z12" s="3"/>
    </row>
    <row r="13" spans="1:26" x14ac:dyDescent="0.25">
      <c r="A13" s="3"/>
      <c r="B13" s="84" t="s">
        <v>83</v>
      </c>
      <c r="C13" s="93" t="s">
        <v>84</v>
      </c>
      <c r="D13" s="145"/>
      <c r="E13" s="94"/>
      <c r="F13" s="95"/>
      <c r="G13" s="94"/>
      <c r="H13" s="95"/>
      <c r="I13" s="94"/>
      <c r="J13" s="148"/>
      <c r="K13" s="150"/>
      <c r="L13" s="151"/>
      <c r="M13" s="152"/>
      <c r="N13" s="3"/>
      <c r="O13" s="81"/>
      <c r="P13" s="3"/>
      <c r="Q13" s="3"/>
      <c r="R13" s="3"/>
      <c r="S13" s="3"/>
      <c r="T13" s="3"/>
      <c r="U13" s="3"/>
      <c r="V13" s="3"/>
      <c r="W13" s="3"/>
      <c r="X13" s="3"/>
      <c r="Y13" s="3"/>
      <c r="Z13" s="3"/>
    </row>
    <row r="14" spans="1:26" x14ac:dyDescent="0.25">
      <c r="A14" s="3"/>
      <c r="B14" s="72"/>
      <c r="C14" s="73" t="s">
        <v>88</v>
      </c>
      <c r="D14" s="114" t="s">
        <v>89</v>
      </c>
      <c r="E14" s="73" t="s">
        <v>90</v>
      </c>
      <c r="F14" s="75">
        <v>1246119</v>
      </c>
      <c r="G14" s="73" t="s">
        <v>55</v>
      </c>
      <c r="H14" s="75">
        <v>11356</v>
      </c>
      <c r="I14" s="73" t="s">
        <v>60</v>
      </c>
      <c r="J14" s="119">
        <v>28301854.728</v>
      </c>
      <c r="K14" s="121">
        <v>3333229.3197316821</v>
      </c>
      <c r="L14" s="123">
        <v>24.999867394553135</v>
      </c>
      <c r="M14" s="126">
        <v>18.799900280703959</v>
      </c>
      <c r="N14" s="3"/>
      <c r="O14" s="81" t="s">
        <v>95</v>
      </c>
      <c r="P14" s="3"/>
      <c r="Q14" s="3"/>
      <c r="R14" s="3"/>
      <c r="S14" s="3"/>
      <c r="T14" s="3"/>
      <c r="U14" s="3"/>
      <c r="V14" s="3"/>
      <c r="W14" s="3"/>
      <c r="X14" s="3"/>
      <c r="Y14" s="3"/>
      <c r="Z14" s="3"/>
    </row>
    <row r="15" spans="1:26" x14ac:dyDescent="0.25">
      <c r="A15" s="3"/>
      <c r="B15" s="72"/>
      <c r="C15" s="73"/>
      <c r="D15" s="114"/>
      <c r="E15" s="73"/>
      <c r="F15" s="75"/>
      <c r="G15" s="73"/>
      <c r="H15" s="75"/>
      <c r="I15" s="73"/>
      <c r="J15" s="119"/>
      <c r="K15" s="121"/>
      <c r="L15" s="123"/>
      <c r="M15" s="126"/>
      <c r="N15" s="3"/>
      <c r="O15" s="81"/>
      <c r="P15" s="3"/>
      <c r="Q15" s="3"/>
      <c r="R15" s="3"/>
      <c r="S15" s="3"/>
      <c r="T15" s="3"/>
      <c r="U15" s="3"/>
      <c r="V15" s="3"/>
      <c r="W15" s="3"/>
      <c r="X15" s="3"/>
      <c r="Y15" s="3"/>
      <c r="Z15" s="3"/>
    </row>
    <row r="16" spans="1:26" x14ac:dyDescent="0.25">
      <c r="A16" s="3"/>
      <c r="B16" s="72"/>
      <c r="C16" s="73" t="s">
        <v>97</v>
      </c>
      <c r="D16" s="114" t="s">
        <v>98</v>
      </c>
      <c r="E16" s="73" t="s">
        <v>90</v>
      </c>
      <c r="F16" s="75">
        <v>1390302</v>
      </c>
      <c r="G16" s="73" t="s">
        <v>55</v>
      </c>
      <c r="H16" s="75">
        <v>11356</v>
      </c>
      <c r="I16" s="73" t="s">
        <v>60</v>
      </c>
      <c r="J16" s="119">
        <v>31576539.024</v>
      </c>
      <c r="K16" s="121">
        <v>3277154.4769623112</v>
      </c>
      <c r="L16" s="123">
        <v>27.899842305318785</v>
      </c>
      <c r="M16" s="126">
        <v>20.999881305078652</v>
      </c>
      <c r="N16" s="3"/>
      <c r="O16" s="81" t="s">
        <v>95</v>
      </c>
      <c r="P16" s="3"/>
      <c r="Q16" s="3"/>
      <c r="R16" s="3"/>
      <c r="S16" s="3"/>
      <c r="T16" s="3"/>
      <c r="U16" s="3"/>
      <c r="V16" s="3"/>
      <c r="W16" s="3"/>
      <c r="X16" s="3"/>
      <c r="Y16" s="3"/>
      <c r="Z16" s="3"/>
    </row>
    <row r="17" spans="1:26" x14ac:dyDescent="0.25">
      <c r="A17" s="3"/>
      <c r="B17" s="131"/>
      <c r="C17" s="133"/>
      <c r="D17" s="134"/>
      <c r="E17" s="133"/>
      <c r="F17" s="136"/>
      <c r="G17" s="133"/>
      <c r="H17" s="136"/>
      <c r="I17" s="133"/>
      <c r="J17" s="138"/>
      <c r="K17" s="139"/>
      <c r="L17" s="141"/>
      <c r="M17" s="144"/>
      <c r="N17" s="3"/>
      <c r="O17" s="81"/>
      <c r="P17" s="3"/>
      <c r="Q17" s="3"/>
      <c r="R17" s="3"/>
      <c r="S17" s="3"/>
      <c r="T17" s="3"/>
      <c r="U17" s="3"/>
      <c r="V17" s="3"/>
      <c r="W17" s="3"/>
      <c r="X17" s="3"/>
      <c r="Y17" s="3"/>
      <c r="Z17" s="3"/>
    </row>
    <row r="18" spans="1:26" x14ac:dyDescent="0.25">
      <c r="A18" s="3"/>
      <c r="B18" s="84" t="s">
        <v>100</v>
      </c>
      <c r="C18" s="93" t="s">
        <v>101</v>
      </c>
      <c r="D18" s="145"/>
      <c r="E18" s="94"/>
      <c r="F18" s="95"/>
      <c r="G18" s="94"/>
      <c r="H18" s="95"/>
      <c r="I18" s="94"/>
      <c r="J18" s="148"/>
      <c r="K18" s="150"/>
      <c r="L18" s="151"/>
      <c r="M18" s="152"/>
      <c r="N18" s="3"/>
      <c r="O18" s="81"/>
      <c r="P18" s="3"/>
      <c r="Q18" s="3"/>
      <c r="R18" s="3"/>
      <c r="S18" s="3"/>
      <c r="T18" s="3"/>
      <c r="U18" s="3"/>
      <c r="V18" s="3"/>
      <c r="W18" s="3"/>
      <c r="X18" s="3"/>
      <c r="Y18" s="3"/>
      <c r="Z18" s="3"/>
    </row>
    <row r="19" spans="1:26" x14ac:dyDescent="0.25">
      <c r="A19" s="3"/>
      <c r="B19" s="72"/>
      <c r="C19" s="73" t="s">
        <v>102</v>
      </c>
      <c r="D19" s="114" t="s">
        <v>103</v>
      </c>
      <c r="E19" s="73" t="s">
        <v>90</v>
      </c>
      <c r="F19" s="75">
        <v>292475</v>
      </c>
      <c r="G19" s="73" t="s">
        <v>55</v>
      </c>
      <c r="H19" s="75">
        <v>11356</v>
      </c>
      <c r="I19" s="73" t="s">
        <v>60</v>
      </c>
      <c r="J19" s="119">
        <v>5451461</v>
      </c>
      <c r="K19" s="121">
        <v>571745.729123089</v>
      </c>
      <c r="L19" s="123">
        <v>1.5285499572084535</v>
      </c>
      <c r="M19" s="126">
        <v>13.056775118348337</v>
      </c>
      <c r="N19" s="3"/>
      <c r="O19" s="81" t="s">
        <v>95</v>
      </c>
      <c r="P19" s="3"/>
      <c r="Q19" s="3"/>
      <c r="R19" s="3"/>
      <c r="S19" s="3"/>
      <c r="T19" s="3"/>
      <c r="U19" s="3"/>
      <c r="V19" s="3"/>
      <c r="W19" s="3"/>
      <c r="X19" s="3"/>
      <c r="Y19" s="3"/>
      <c r="Z19" s="3"/>
    </row>
    <row r="20" spans="1:26" x14ac:dyDescent="0.25">
      <c r="A20" s="3"/>
      <c r="B20" s="72"/>
      <c r="C20" s="73"/>
      <c r="D20" s="114"/>
      <c r="E20" s="73"/>
      <c r="F20" s="75"/>
      <c r="G20" s="73"/>
      <c r="H20" s="75"/>
      <c r="I20" s="73"/>
      <c r="J20" s="119"/>
      <c r="K20" s="121"/>
      <c r="L20" s="123"/>
      <c r="M20" s="126"/>
      <c r="N20" s="3"/>
      <c r="O20" s="81"/>
      <c r="P20" s="3"/>
      <c r="Q20" s="3"/>
      <c r="R20" s="3"/>
      <c r="S20" s="3"/>
      <c r="T20" s="3"/>
      <c r="U20" s="3"/>
      <c r="V20" s="3"/>
      <c r="W20" s="3"/>
      <c r="X20" s="3"/>
      <c r="Y20" s="3"/>
      <c r="Z20" s="3"/>
    </row>
    <row r="21" spans="1:26" ht="15.75" customHeight="1" x14ac:dyDescent="0.25">
      <c r="A21" s="3"/>
      <c r="B21" s="72"/>
      <c r="C21" s="73" t="s">
        <v>105</v>
      </c>
      <c r="D21" s="114" t="s">
        <v>106</v>
      </c>
      <c r="E21" s="73" t="s">
        <v>90</v>
      </c>
      <c r="F21" s="75">
        <v>296297</v>
      </c>
      <c r="G21" s="73" t="s">
        <v>55</v>
      </c>
      <c r="H21" s="75">
        <v>11356</v>
      </c>
      <c r="I21" s="73" t="s">
        <v>60</v>
      </c>
      <c r="J21" s="119">
        <v>6257182</v>
      </c>
      <c r="K21" s="121">
        <v>656254.33338566741</v>
      </c>
      <c r="L21" s="123">
        <v>1.5349866627247293</v>
      </c>
      <c r="M21" s="126">
        <v>13.270207277749272</v>
      </c>
      <c r="N21" s="3"/>
      <c r="O21" s="81" t="s">
        <v>95</v>
      </c>
      <c r="P21" s="3"/>
      <c r="Q21" s="3"/>
      <c r="R21" s="3"/>
      <c r="S21" s="3"/>
      <c r="T21" s="3"/>
      <c r="U21" s="3"/>
      <c r="V21" s="3"/>
      <c r="W21" s="3"/>
      <c r="X21" s="3"/>
      <c r="Y21" s="3"/>
      <c r="Z21" s="3"/>
    </row>
    <row r="22" spans="1:26" ht="15.75" customHeight="1" x14ac:dyDescent="0.25">
      <c r="A22" s="3"/>
      <c r="B22" s="131"/>
      <c r="C22" s="133"/>
      <c r="D22" s="134"/>
      <c r="E22" s="133"/>
      <c r="F22" s="136"/>
      <c r="G22" s="133"/>
      <c r="H22" s="136"/>
      <c r="I22" s="133"/>
      <c r="J22" s="138"/>
      <c r="K22" s="139"/>
      <c r="L22" s="141"/>
      <c r="M22" s="144"/>
      <c r="N22" s="3"/>
      <c r="O22" s="81"/>
      <c r="P22" s="3"/>
      <c r="Q22" s="3"/>
      <c r="R22" s="3"/>
      <c r="S22" s="3"/>
      <c r="T22" s="3"/>
      <c r="U22" s="3"/>
      <c r="V22" s="3"/>
      <c r="W22" s="3"/>
      <c r="X22" s="3"/>
      <c r="Y22" s="3"/>
      <c r="Z22" s="3"/>
    </row>
    <row r="23" spans="1:26" ht="15.75" customHeight="1" x14ac:dyDescent="0.25">
      <c r="A23" s="3"/>
      <c r="B23" s="84" t="s">
        <v>108</v>
      </c>
      <c r="C23" s="93" t="s">
        <v>110</v>
      </c>
      <c r="D23" s="145"/>
      <c r="E23" s="94"/>
      <c r="F23" s="95"/>
      <c r="G23" s="94"/>
      <c r="H23" s="95"/>
      <c r="I23" s="94"/>
      <c r="J23" s="148"/>
      <c r="K23" s="150"/>
      <c r="L23" s="151"/>
      <c r="M23" s="152"/>
      <c r="N23" s="3"/>
      <c r="O23" s="81"/>
      <c r="P23" s="3"/>
      <c r="Q23" s="3"/>
      <c r="R23" s="3"/>
      <c r="S23" s="3"/>
      <c r="T23" s="3"/>
      <c r="U23" s="3"/>
      <c r="V23" s="3"/>
      <c r="W23" s="3"/>
      <c r="X23" s="3"/>
      <c r="Y23" s="3"/>
      <c r="Z23" s="3"/>
    </row>
    <row r="24" spans="1:26" ht="15.75" customHeight="1" x14ac:dyDescent="0.25">
      <c r="A24" s="3"/>
      <c r="B24" s="72"/>
      <c r="C24" s="73"/>
      <c r="D24" s="114"/>
      <c r="E24" s="73"/>
      <c r="F24" s="75"/>
      <c r="G24" s="73"/>
      <c r="H24" s="75"/>
      <c r="I24" s="73"/>
      <c r="J24" s="119"/>
      <c r="K24" s="121"/>
      <c r="L24" s="123"/>
      <c r="M24" s="126"/>
      <c r="N24" s="3"/>
      <c r="O24" s="81"/>
      <c r="P24" s="3"/>
      <c r="Q24" s="3"/>
      <c r="R24" s="3"/>
      <c r="S24" s="3"/>
      <c r="T24" s="3"/>
      <c r="U24" s="3"/>
      <c r="V24" s="3"/>
      <c r="W24" s="3"/>
      <c r="X24" s="3"/>
      <c r="Y24" s="3"/>
      <c r="Z24" s="3"/>
    </row>
    <row r="25" spans="1:26" ht="15.75" customHeight="1" x14ac:dyDescent="0.25">
      <c r="A25" s="3"/>
      <c r="B25" s="72"/>
      <c r="C25" s="73" t="s">
        <v>111</v>
      </c>
      <c r="D25" s="114" t="s">
        <v>89</v>
      </c>
      <c r="E25" s="73" t="s">
        <v>53</v>
      </c>
      <c r="F25" s="75">
        <v>575093</v>
      </c>
      <c r="G25" s="73" t="s">
        <v>55</v>
      </c>
      <c r="H25" s="75">
        <v>12971</v>
      </c>
      <c r="I25" s="73" t="s">
        <v>112</v>
      </c>
      <c r="J25" s="119">
        <v>14919062.606000001</v>
      </c>
      <c r="K25" s="121">
        <v>1609435.734807441</v>
      </c>
      <c r="L25" s="123">
        <v>11.762627550617387</v>
      </c>
      <c r="M25" s="126">
        <v>9.4140658576971514</v>
      </c>
      <c r="N25" s="3"/>
      <c r="O25" s="81" t="s">
        <v>95</v>
      </c>
      <c r="P25" s="3"/>
      <c r="Q25" s="3"/>
      <c r="R25" s="3"/>
      <c r="S25" s="3"/>
      <c r="T25" s="3"/>
      <c r="U25" s="3"/>
      <c r="V25" s="3"/>
      <c r="W25" s="3"/>
      <c r="X25" s="3"/>
      <c r="Y25" s="3"/>
      <c r="Z25" s="3"/>
    </row>
    <row r="26" spans="1:26" ht="15.75" customHeight="1" x14ac:dyDescent="0.25">
      <c r="A26" s="3"/>
      <c r="B26" s="72"/>
      <c r="C26" s="73"/>
      <c r="D26" s="114"/>
      <c r="E26" s="73"/>
      <c r="F26" s="75"/>
      <c r="G26" s="73"/>
      <c r="H26" s="75"/>
      <c r="I26" s="73"/>
      <c r="J26" s="119"/>
      <c r="K26" s="121"/>
      <c r="L26" s="123"/>
      <c r="M26" s="126"/>
      <c r="N26" s="3"/>
      <c r="O26" s="81"/>
      <c r="P26" s="3"/>
      <c r="Q26" s="3"/>
      <c r="R26" s="3"/>
      <c r="S26" s="3"/>
      <c r="T26" s="3"/>
      <c r="U26" s="3"/>
      <c r="V26" s="3"/>
      <c r="W26" s="3"/>
      <c r="X26" s="3"/>
      <c r="Y26" s="3"/>
      <c r="Z26" s="3"/>
    </row>
    <row r="27" spans="1:26" ht="15.75" customHeight="1" x14ac:dyDescent="0.25">
      <c r="A27" s="3"/>
      <c r="B27" s="72"/>
      <c r="C27" s="73" t="s">
        <v>114</v>
      </c>
      <c r="D27" s="114" t="s">
        <v>98</v>
      </c>
      <c r="E27" s="73" t="s">
        <v>53</v>
      </c>
      <c r="F27" s="75">
        <v>781584</v>
      </c>
      <c r="G27" s="73" t="s">
        <v>55</v>
      </c>
      <c r="H27" s="75">
        <v>12976</v>
      </c>
      <c r="I27" s="73" t="s">
        <v>112</v>
      </c>
      <c r="J27" s="119">
        <v>20283667.967999998</v>
      </c>
      <c r="K27" s="121">
        <v>2177032.1726198266</v>
      </c>
      <c r="L27" s="123">
        <v>15.912165354062218</v>
      </c>
      <c r="M27" s="126">
        <v>12.729732283249774</v>
      </c>
      <c r="N27" s="3"/>
      <c r="O27" s="81" t="s">
        <v>95</v>
      </c>
      <c r="P27" s="3"/>
      <c r="Q27" s="3"/>
      <c r="R27" s="3"/>
      <c r="S27" s="3"/>
      <c r="T27" s="3"/>
      <c r="U27" s="3"/>
      <c r="V27" s="3"/>
      <c r="W27" s="3"/>
      <c r="X27" s="3"/>
      <c r="Y27" s="3"/>
      <c r="Z27" s="3"/>
    </row>
    <row r="28" spans="1:26" ht="15.75" customHeight="1" x14ac:dyDescent="0.25">
      <c r="A28" s="3"/>
      <c r="B28" s="131"/>
      <c r="C28" s="133"/>
      <c r="D28" s="134"/>
      <c r="E28" s="133"/>
      <c r="F28" s="136"/>
      <c r="G28" s="133"/>
      <c r="H28" s="136"/>
      <c r="I28" s="133"/>
      <c r="J28" s="138"/>
      <c r="K28" s="139"/>
      <c r="L28" s="141"/>
      <c r="M28" s="144"/>
      <c r="N28" s="3"/>
      <c r="O28" s="81"/>
      <c r="P28" s="3"/>
      <c r="Q28" s="3"/>
      <c r="R28" s="3"/>
      <c r="S28" s="3"/>
      <c r="T28" s="3"/>
      <c r="U28" s="3"/>
      <c r="V28" s="3"/>
      <c r="W28" s="3"/>
      <c r="X28" s="3"/>
      <c r="Y28" s="3"/>
      <c r="Z28" s="3"/>
    </row>
    <row r="29" spans="1:26" ht="15.75" customHeight="1" x14ac:dyDescent="0.25">
      <c r="A29" s="3"/>
      <c r="B29" s="84" t="s">
        <v>116</v>
      </c>
      <c r="C29" s="93" t="s">
        <v>117</v>
      </c>
      <c r="D29" s="145"/>
      <c r="E29" s="94"/>
      <c r="F29" s="95"/>
      <c r="G29" s="94"/>
      <c r="H29" s="95"/>
      <c r="I29" s="94"/>
      <c r="J29" s="148"/>
      <c r="K29" s="150"/>
      <c r="L29" s="151"/>
      <c r="M29" s="152"/>
      <c r="N29" s="3"/>
      <c r="O29" s="81"/>
      <c r="P29" s="3"/>
      <c r="Q29" s="3"/>
      <c r="R29" s="3"/>
      <c r="S29" s="3"/>
      <c r="T29" s="3"/>
      <c r="U29" s="3"/>
      <c r="V29" s="3"/>
      <c r="W29" s="3"/>
      <c r="X29" s="3"/>
      <c r="Y29" s="3"/>
      <c r="Z29" s="3"/>
    </row>
    <row r="30" spans="1:26" ht="15.75" customHeight="1" x14ac:dyDescent="0.25">
      <c r="A30" s="3"/>
      <c r="B30" s="72"/>
      <c r="C30" s="73" t="s">
        <v>118</v>
      </c>
      <c r="D30" s="114" t="s">
        <v>98</v>
      </c>
      <c r="E30" s="73" t="s">
        <v>90</v>
      </c>
      <c r="F30" s="75">
        <v>199564</v>
      </c>
      <c r="G30" s="73" t="s">
        <v>55</v>
      </c>
      <c r="H30" s="75">
        <v>24</v>
      </c>
      <c r="I30" s="73" t="s">
        <v>119</v>
      </c>
      <c r="J30" s="119">
        <v>4789536</v>
      </c>
      <c r="K30" s="167">
        <v>525116.26597364293</v>
      </c>
      <c r="L30" s="123">
        <v>3.9634557151596383</v>
      </c>
      <c r="M30" s="126">
        <v>3.0122263435213257</v>
      </c>
      <c r="N30" s="3"/>
      <c r="O30" s="81" t="s">
        <v>95</v>
      </c>
      <c r="P30" s="3"/>
      <c r="Q30" s="3"/>
      <c r="R30" s="3"/>
      <c r="S30" s="3"/>
      <c r="T30" s="3"/>
      <c r="U30" s="3"/>
      <c r="V30" s="3"/>
      <c r="W30" s="3"/>
      <c r="X30" s="3"/>
      <c r="Y30" s="3"/>
      <c r="Z30" s="3"/>
    </row>
    <row r="31" spans="1:26" ht="15.75" customHeight="1" x14ac:dyDescent="0.25">
      <c r="A31" s="3"/>
      <c r="B31" s="72"/>
      <c r="C31" s="73"/>
      <c r="D31" s="114"/>
      <c r="E31" s="73"/>
      <c r="F31" s="75"/>
      <c r="G31" s="73"/>
      <c r="H31" s="75"/>
      <c r="I31" s="73"/>
      <c r="J31" s="119"/>
      <c r="K31" s="121"/>
      <c r="L31" s="123"/>
      <c r="M31" s="126"/>
      <c r="N31" s="3"/>
      <c r="O31" s="81"/>
      <c r="P31" s="3"/>
      <c r="Q31" s="3"/>
      <c r="R31" s="3"/>
      <c r="S31" s="3"/>
      <c r="T31" s="3"/>
      <c r="U31" s="3"/>
      <c r="V31" s="3"/>
      <c r="W31" s="3"/>
      <c r="X31" s="3"/>
      <c r="Y31" s="3"/>
      <c r="Z31" s="3"/>
    </row>
    <row r="32" spans="1:26" ht="15.75" customHeight="1" x14ac:dyDescent="0.25">
      <c r="A32" s="3"/>
      <c r="B32" s="72"/>
      <c r="C32" s="73" t="s">
        <v>121</v>
      </c>
      <c r="D32" s="114" t="s">
        <v>122</v>
      </c>
      <c r="E32" s="73" t="s">
        <v>90</v>
      </c>
      <c r="F32" s="75">
        <v>466140</v>
      </c>
      <c r="G32" s="73" t="s">
        <v>55</v>
      </c>
      <c r="H32" s="75">
        <v>24</v>
      </c>
      <c r="I32" s="73" t="s">
        <v>119</v>
      </c>
      <c r="J32" s="119">
        <v>11187360</v>
      </c>
      <c r="K32" s="121">
        <v>1164559.7234139137</v>
      </c>
      <c r="L32" s="123">
        <v>9.2040739734544754</v>
      </c>
      <c r="M32" s="126">
        <v>4.5755887880307072E-2</v>
      </c>
      <c r="N32" s="3"/>
      <c r="O32" s="81" t="s">
        <v>95</v>
      </c>
      <c r="P32" s="3"/>
      <c r="Q32" s="3"/>
      <c r="R32" s="3"/>
      <c r="S32" s="3"/>
      <c r="T32" s="3"/>
      <c r="U32" s="3"/>
      <c r="V32" s="3"/>
      <c r="W32" s="3"/>
      <c r="X32" s="3"/>
      <c r="Y32" s="3"/>
      <c r="Z32" s="3"/>
    </row>
    <row r="33" spans="1:26" ht="15.75" customHeight="1" x14ac:dyDescent="0.25">
      <c r="A33" s="3"/>
      <c r="B33" s="131"/>
      <c r="C33" s="133"/>
      <c r="D33" s="134"/>
      <c r="E33" s="133"/>
      <c r="F33" s="136"/>
      <c r="G33" s="133"/>
      <c r="H33" s="136"/>
      <c r="I33" s="133"/>
      <c r="J33" s="138"/>
      <c r="K33" s="139"/>
      <c r="L33" s="141"/>
      <c r="M33" s="144"/>
      <c r="N33" s="3"/>
      <c r="O33" s="81"/>
      <c r="P33" s="3"/>
      <c r="Q33" s="3"/>
      <c r="R33" s="3"/>
      <c r="S33" s="3"/>
      <c r="T33" s="3"/>
      <c r="U33" s="3"/>
      <c r="V33" s="3"/>
      <c r="W33" s="3"/>
      <c r="X33" s="3"/>
      <c r="Y33" s="3"/>
      <c r="Z33" s="3"/>
    </row>
    <row r="34" spans="1:26" ht="15.75" customHeight="1" x14ac:dyDescent="0.25">
      <c r="A34" s="3"/>
      <c r="B34" s="84" t="s">
        <v>124</v>
      </c>
      <c r="C34" s="93" t="s">
        <v>125</v>
      </c>
      <c r="D34" s="145"/>
      <c r="E34" s="94"/>
      <c r="F34" s="95"/>
      <c r="G34" s="94"/>
      <c r="H34" s="95"/>
      <c r="I34" s="94"/>
      <c r="J34" s="148"/>
      <c r="K34" s="150"/>
      <c r="L34" s="151"/>
      <c r="M34" s="152"/>
      <c r="N34" s="3"/>
      <c r="O34" s="81"/>
      <c r="P34" s="3"/>
      <c r="Q34" s="3"/>
      <c r="R34" s="3"/>
      <c r="S34" s="3"/>
      <c r="T34" s="3"/>
      <c r="U34" s="3"/>
      <c r="V34" s="3"/>
      <c r="W34" s="3"/>
      <c r="X34" s="3"/>
      <c r="Y34" s="3"/>
      <c r="Z34" s="3"/>
    </row>
    <row r="35" spans="1:26" ht="15.75" customHeight="1" x14ac:dyDescent="0.25">
      <c r="A35" s="3"/>
      <c r="B35" s="72"/>
      <c r="C35" s="73" t="s">
        <v>127</v>
      </c>
      <c r="D35" s="114" t="s">
        <v>128</v>
      </c>
      <c r="E35" s="73" t="s">
        <v>53</v>
      </c>
      <c r="F35" s="75">
        <v>6836</v>
      </c>
      <c r="G35" s="73" t="s">
        <v>55</v>
      </c>
      <c r="H35" s="75">
        <v>11260</v>
      </c>
      <c r="I35" s="73" t="s">
        <v>60</v>
      </c>
      <c r="J35" s="119">
        <v>153946.72</v>
      </c>
      <c r="K35" s="121">
        <v>18404.817463953248</v>
      </c>
      <c r="L35" s="123">
        <v>9.6204157984178806E-2</v>
      </c>
      <c r="M35" s="126">
        <v>9.6204157984178806E-2</v>
      </c>
      <c r="N35" s="3"/>
      <c r="O35" s="81" t="s">
        <v>95</v>
      </c>
      <c r="P35" s="3"/>
      <c r="Q35" s="3"/>
      <c r="R35" s="3"/>
      <c r="S35" s="3"/>
      <c r="T35" s="3"/>
      <c r="U35" s="3"/>
      <c r="V35" s="3"/>
      <c r="W35" s="3"/>
      <c r="X35" s="3"/>
      <c r="Y35" s="3"/>
      <c r="Z35" s="3"/>
    </row>
    <row r="36" spans="1:26" ht="15.75" customHeight="1" x14ac:dyDescent="0.25">
      <c r="A36" s="3"/>
      <c r="B36" s="72"/>
      <c r="C36" s="73"/>
      <c r="D36" s="114"/>
      <c r="E36" s="73"/>
      <c r="F36" s="75"/>
      <c r="G36" s="73"/>
      <c r="H36" s="75"/>
      <c r="I36" s="73"/>
      <c r="J36" s="119"/>
      <c r="K36" s="121"/>
      <c r="L36" s="123"/>
      <c r="M36" s="126"/>
      <c r="N36" s="3"/>
      <c r="O36" s="81"/>
      <c r="P36" s="3"/>
      <c r="Q36" s="3"/>
      <c r="R36" s="3"/>
      <c r="S36" s="3"/>
      <c r="T36" s="3"/>
      <c r="U36" s="3"/>
      <c r="V36" s="3"/>
      <c r="W36" s="3"/>
      <c r="X36" s="3"/>
      <c r="Y36" s="3"/>
      <c r="Z36" s="3"/>
    </row>
    <row r="37" spans="1:26" ht="15.75" customHeight="1" x14ac:dyDescent="0.25">
      <c r="A37" s="3"/>
      <c r="B37" s="72"/>
      <c r="C37" s="73" t="s">
        <v>130</v>
      </c>
      <c r="D37" s="114" t="s">
        <v>131</v>
      </c>
      <c r="E37" s="73" t="s">
        <v>53</v>
      </c>
      <c r="F37" s="75">
        <v>39204</v>
      </c>
      <c r="G37" s="73" t="s">
        <v>55</v>
      </c>
      <c r="H37" s="75">
        <v>11260</v>
      </c>
      <c r="I37" s="73" t="s">
        <v>60</v>
      </c>
      <c r="J37" s="119">
        <v>882874.08</v>
      </c>
      <c r="K37" s="121">
        <v>87436</v>
      </c>
      <c r="L37" s="123">
        <v>0.79</v>
      </c>
      <c r="M37" s="126">
        <v>1.57</v>
      </c>
      <c r="N37" s="3"/>
      <c r="O37" s="81" t="s">
        <v>95</v>
      </c>
      <c r="P37" s="3"/>
      <c r="Q37" s="3"/>
      <c r="R37" s="3"/>
      <c r="S37" s="3"/>
      <c r="T37" s="3"/>
      <c r="U37" s="3"/>
      <c r="V37" s="3"/>
      <c r="W37" s="3"/>
      <c r="X37" s="3"/>
      <c r="Y37" s="3"/>
      <c r="Z37" s="3"/>
    </row>
    <row r="38" spans="1:26" ht="15.75" customHeight="1" x14ac:dyDescent="0.25">
      <c r="A38" s="3"/>
      <c r="B38" s="131"/>
      <c r="C38" s="133"/>
      <c r="D38" s="134"/>
      <c r="E38" s="133"/>
      <c r="F38" s="136"/>
      <c r="G38" s="133"/>
      <c r="H38" s="136"/>
      <c r="I38" s="133"/>
      <c r="J38" s="138"/>
      <c r="K38" s="139"/>
      <c r="L38" s="141"/>
      <c r="M38" s="144"/>
      <c r="N38" s="3"/>
      <c r="O38" s="81"/>
      <c r="P38" s="3"/>
      <c r="Q38" s="3"/>
      <c r="R38" s="3"/>
      <c r="S38" s="3"/>
      <c r="T38" s="3"/>
      <c r="U38" s="3"/>
      <c r="V38" s="3"/>
      <c r="W38" s="3"/>
      <c r="X38" s="3"/>
      <c r="Y38" s="3"/>
      <c r="Z38" s="3"/>
    </row>
    <row r="39" spans="1:26" ht="15.75" customHeight="1" x14ac:dyDescent="0.25">
      <c r="A39" s="3"/>
      <c r="B39" s="84" t="s">
        <v>134</v>
      </c>
      <c r="C39" s="93" t="s">
        <v>135</v>
      </c>
      <c r="D39" s="145"/>
      <c r="E39" s="94"/>
      <c r="F39" s="95"/>
      <c r="G39" s="94"/>
      <c r="H39" s="95"/>
      <c r="I39" s="94"/>
      <c r="J39" s="148"/>
      <c r="K39" s="150"/>
      <c r="L39" s="151"/>
      <c r="M39" s="152"/>
      <c r="N39" s="3"/>
      <c r="O39" s="81"/>
      <c r="P39" s="3"/>
      <c r="Q39" s="3"/>
      <c r="R39" s="3"/>
      <c r="S39" s="3"/>
      <c r="T39" s="3"/>
      <c r="U39" s="3"/>
      <c r="V39" s="3"/>
      <c r="W39" s="3"/>
      <c r="X39" s="3"/>
      <c r="Y39" s="3"/>
      <c r="Z39" s="3"/>
    </row>
    <row r="40" spans="1:26" ht="15.75" customHeight="1" x14ac:dyDescent="0.25">
      <c r="A40" s="3"/>
      <c r="B40" s="111"/>
      <c r="C40" s="112" t="s">
        <v>136</v>
      </c>
      <c r="D40" s="114" t="s">
        <v>137</v>
      </c>
      <c r="E40" s="73" t="s">
        <v>53</v>
      </c>
      <c r="F40" s="75">
        <v>161730</v>
      </c>
      <c r="G40" s="73" t="s">
        <v>55</v>
      </c>
      <c r="H40" s="75">
        <v>12900</v>
      </c>
      <c r="I40" s="73" t="s">
        <v>60</v>
      </c>
      <c r="J40" s="119">
        <v>4172634</v>
      </c>
      <c r="K40" s="121">
        <v>406756.89772644348</v>
      </c>
      <c r="L40" s="123">
        <v>2.9739850923786126</v>
      </c>
      <c r="M40" s="126">
        <v>6.3445015304077073</v>
      </c>
      <c r="N40" s="3"/>
      <c r="O40" s="81" t="s">
        <v>95</v>
      </c>
      <c r="P40" s="3"/>
      <c r="Q40" s="3"/>
      <c r="R40" s="3"/>
      <c r="S40" s="3"/>
      <c r="T40" s="3"/>
      <c r="U40" s="3"/>
      <c r="V40" s="3"/>
      <c r="W40" s="3"/>
      <c r="X40" s="3"/>
      <c r="Y40" s="3"/>
      <c r="Z40" s="3"/>
    </row>
    <row r="41" spans="1:26" ht="15.75" customHeight="1" x14ac:dyDescent="0.25">
      <c r="A41" s="3"/>
      <c r="B41" s="72"/>
      <c r="C41" s="73"/>
      <c r="D41" s="114"/>
      <c r="E41" s="73"/>
      <c r="F41" s="75"/>
      <c r="G41" s="73"/>
      <c r="H41" s="75"/>
      <c r="I41" s="73"/>
      <c r="J41" s="119"/>
      <c r="K41" s="121"/>
      <c r="L41" s="123"/>
      <c r="M41" s="126"/>
      <c r="N41" s="3"/>
      <c r="O41" s="81"/>
      <c r="P41" s="3"/>
      <c r="Q41" s="3"/>
      <c r="R41" s="3"/>
      <c r="S41" s="3"/>
      <c r="T41" s="3"/>
      <c r="U41" s="3"/>
      <c r="V41" s="3"/>
      <c r="W41" s="3"/>
      <c r="X41" s="3"/>
      <c r="Y41" s="3"/>
      <c r="Z41" s="3"/>
    </row>
    <row r="42" spans="1:26" ht="15.75" customHeight="1" x14ac:dyDescent="0.25">
      <c r="A42" s="3"/>
      <c r="B42" s="72"/>
      <c r="C42" s="73" t="s">
        <v>141</v>
      </c>
      <c r="D42" s="114" t="s">
        <v>142</v>
      </c>
      <c r="E42" s="73" t="s">
        <v>53</v>
      </c>
      <c r="F42" s="75">
        <v>198171</v>
      </c>
      <c r="G42" s="73" t="s">
        <v>55</v>
      </c>
      <c r="H42" s="75">
        <v>12891</v>
      </c>
      <c r="I42" s="73" t="s">
        <v>60</v>
      </c>
      <c r="J42" s="119">
        <v>5109244.7220000001</v>
      </c>
      <c r="K42" s="121">
        <v>520348.90453150572</v>
      </c>
      <c r="L42" s="123">
        <v>3.8009415962856519</v>
      </c>
      <c r="M42" s="126">
        <v>8.1377861852590971</v>
      </c>
      <c r="N42" s="3"/>
      <c r="O42" s="81" t="s">
        <v>95</v>
      </c>
      <c r="P42" s="3"/>
      <c r="Q42" s="3"/>
      <c r="R42" s="3"/>
      <c r="S42" s="3"/>
      <c r="T42" s="3"/>
      <c r="U42" s="3"/>
      <c r="V42" s="3"/>
      <c r="W42" s="3"/>
      <c r="X42" s="3"/>
      <c r="Y42" s="3"/>
      <c r="Z42" s="3"/>
    </row>
    <row r="43" spans="1:26" ht="15.75" customHeight="1" x14ac:dyDescent="0.25">
      <c r="A43" s="3"/>
      <c r="B43" s="72"/>
      <c r="C43" s="73"/>
      <c r="D43" s="114"/>
      <c r="E43" s="73"/>
      <c r="F43" s="75"/>
      <c r="G43" s="73"/>
      <c r="H43" s="75"/>
      <c r="I43" s="73"/>
      <c r="J43" s="119"/>
      <c r="K43" s="121"/>
      <c r="L43" s="123"/>
      <c r="M43" s="126"/>
      <c r="N43" s="3"/>
      <c r="O43" s="81"/>
      <c r="P43" s="3"/>
      <c r="Q43" s="3"/>
      <c r="R43" s="3"/>
      <c r="S43" s="3"/>
      <c r="T43" s="3"/>
      <c r="U43" s="3"/>
      <c r="V43" s="3"/>
      <c r="W43" s="3"/>
      <c r="X43" s="3"/>
      <c r="Y43" s="3"/>
      <c r="Z43" s="3"/>
    </row>
    <row r="44" spans="1:26" ht="15.75" customHeight="1" x14ac:dyDescent="0.25">
      <c r="A44" s="3"/>
      <c r="B44" s="72"/>
      <c r="C44" s="73" t="s">
        <v>146</v>
      </c>
      <c r="D44" s="114" t="s">
        <v>147</v>
      </c>
      <c r="E44" s="73" t="s">
        <v>53</v>
      </c>
      <c r="F44" s="75">
        <v>197128</v>
      </c>
      <c r="G44" s="73" t="s">
        <v>55</v>
      </c>
      <c r="H44" s="75">
        <v>12895</v>
      </c>
      <c r="I44" s="73" t="s">
        <v>60</v>
      </c>
      <c r="J44" s="119">
        <v>5083931.12</v>
      </c>
      <c r="K44" s="121">
        <v>512116.49878776021</v>
      </c>
      <c r="L44" s="123">
        <v>3.7435053649600403</v>
      </c>
      <c r="M44" s="126">
        <v>7.9437779627799259</v>
      </c>
      <c r="N44" s="3"/>
      <c r="O44" s="81" t="s">
        <v>95</v>
      </c>
      <c r="P44" s="3"/>
      <c r="Q44" s="3"/>
      <c r="R44" s="3"/>
      <c r="S44" s="3"/>
      <c r="T44" s="3"/>
      <c r="U44" s="3"/>
      <c r="V44" s="3"/>
      <c r="W44" s="3"/>
      <c r="X44" s="3"/>
      <c r="Y44" s="3"/>
      <c r="Z44" s="3"/>
    </row>
    <row r="45" spans="1:26" ht="15.75" customHeight="1" x14ac:dyDescent="0.25">
      <c r="A45" s="3"/>
      <c r="B45" s="131"/>
      <c r="C45" s="133"/>
      <c r="D45" s="134"/>
      <c r="E45" s="133"/>
      <c r="F45" s="136"/>
      <c r="G45" s="133"/>
      <c r="H45" s="136"/>
      <c r="I45" s="133"/>
      <c r="J45" s="138"/>
      <c r="K45" s="139"/>
      <c r="L45" s="141"/>
      <c r="M45" s="144"/>
      <c r="N45" s="3"/>
      <c r="O45" s="81"/>
      <c r="P45" s="3"/>
      <c r="Q45" s="3"/>
      <c r="R45" s="3"/>
      <c r="S45" s="3"/>
      <c r="T45" s="3"/>
      <c r="U45" s="3"/>
      <c r="V45" s="3"/>
      <c r="W45" s="3"/>
      <c r="X45" s="3"/>
      <c r="Y45" s="3"/>
      <c r="Z45" s="3"/>
    </row>
    <row r="46" spans="1:26" ht="15.75" customHeight="1" x14ac:dyDescent="0.25">
      <c r="A46" s="3"/>
      <c r="B46" s="84" t="s">
        <v>148</v>
      </c>
      <c r="C46" s="93" t="s">
        <v>150</v>
      </c>
      <c r="D46" s="145"/>
      <c r="E46" s="94"/>
      <c r="F46" s="95"/>
      <c r="G46" s="94"/>
      <c r="H46" s="95"/>
      <c r="I46" s="94"/>
      <c r="J46" s="148"/>
      <c r="K46" s="150"/>
      <c r="L46" s="151"/>
      <c r="M46" s="152"/>
      <c r="N46" s="3"/>
      <c r="O46" s="81"/>
      <c r="P46" s="3"/>
      <c r="Q46" s="3"/>
      <c r="R46" s="3"/>
      <c r="S46" s="3"/>
      <c r="T46" s="3"/>
      <c r="U46" s="3"/>
      <c r="V46" s="3"/>
      <c r="W46" s="3"/>
      <c r="X46" s="3"/>
      <c r="Y46" s="3"/>
      <c r="Z46" s="3"/>
    </row>
    <row r="47" spans="1:26" ht="15.75" customHeight="1" x14ac:dyDescent="0.25">
      <c r="A47" s="3"/>
      <c r="B47" s="72"/>
      <c r="C47" s="73" t="s">
        <v>151</v>
      </c>
      <c r="D47" s="114">
        <v>1</v>
      </c>
      <c r="E47" s="73" t="s">
        <v>53</v>
      </c>
      <c r="F47" s="75">
        <v>1141923</v>
      </c>
      <c r="G47" s="73" t="s">
        <v>55</v>
      </c>
      <c r="H47" s="75">
        <v>13025</v>
      </c>
      <c r="I47" s="73" t="s">
        <v>60</v>
      </c>
      <c r="J47" s="119">
        <v>29747094.149999999</v>
      </c>
      <c r="K47" s="121">
        <v>3377171.0602952191</v>
      </c>
      <c r="L47" s="123">
        <v>24.684830526299731</v>
      </c>
      <c r="M47" s="126">
        <v>52.660971789439422</v>
      </c>
      <c r="N47" s="3"/>
      <c r="O47" s="81" t="s">
        <v>95</v>
      </c>
      <c r="P47" s="3"/>
      <c r="Q47" s="3"/>
      <c r="R47" s="3"/>
      <c r="S47" s="3"/>
      <c r="T47" s="3"/>
      <c r="U47" s="3"/>
      <c r="V47" s="3"/>
      <c r="W47" s="3"/>
      <c r="X47" s="3"/>
      <c r="Y47" s="3"/>
      <c r="Z47" s="3"/>
    </row>
    <row r="48" spans="1:26" ht="15.75" customHeight="1" x14ac:dyDescent="0.25">
      <c r="A48" s="3"/>
      <c r="B48" s="72"/>
      <c r="C48" s="73"/>
      <c r="D48" s="114"/>
      <c r="E48" s="73"/>
      <c r="F48" s="75"/>
      <c r="G48" s="73"/>
      <c r="H48" s="75"/>
      <c r="I48" s="73"/>
      <c r="J48" s="119"/>
      <c r="K48" s="121"/>
      <c r="L48" s="123"/>
      <c r="M48" s="126"/>
      <c r="N48" s="3"/>
      <c r="O48" s="81"/>
      <c r="P48" s="3"/>
      <c r="Q48" s="3"/>
      <c r="R48" s="3"/>
      <c r="S48" s="3"/>
      <c r="T48" s="3"/>
      <c r="U48" s="3"/>
      <c r="V48" s="3"/>
      <c r="W48" s="3"/>
      <c r="X48" s="3"/>
      <c r="Y48" s="3"/>
      <c r="Z48" s="3"/>
    </row>
    <row r="49" spans="1:26" ht="15.75" customHeight="1" x14ac:dyDescent="0.25">
      <c r="A49" s="3"/>
      <c r="B49" s="72"/>
      <c r="C49" s="73" t="s">
        <v>152</v>
      </c>
      <c r="D49" s="114">
        <v>2</v>
      </c>
      <c r="E49" s="73" t="s">
        <v>53</v>
      </c>
      <c r="F49" s="75">
        <v>1248983</v>
      </c>
      <c r="G49" s="73" t="s">
        <v>55</v>
      </c>
      <c r="H49" s="75">
        <v>13025</v>
      </c>
      <c r="I49" s="73" t="s">
        <v>60</v>
      </c>
      <c r="J49" s="119">
        <v>32536007.149999999</v>
      </c>
      <c r="K49" s="121">
        <v>3292474.5069769244</v>
      </c>
      <c r="L49" s="123">
        <v>25.513668463846166</v>
      </c>
      <c r="M49" s="126">
        <v>54.422502202724694</v>
      </c>
      <c r="N49" s="3"/>
      <c r="O49" s="81" t="s">
        <v>95</v>
      </c>
      <c r="P49" s="3"/>
      <c r="Q49" s="3"/>
      <c r="R49" s="3"/>
      <c r="S49" s="3"/>
      <c r="T49" s="3"/>
      <c r="U49" s="3"/>
      <c r="V49" s="3"/>
      <c r="W49" s="3"/>
      <c r="X49" s="3"/>
      <c r="Y49" s="3"/>
      <c r="Z49" s="3"/>
    </row>
    <row r="50" spans="1:26" ht="15.75" customHeight="1" x14ac:dyDescent="0.25">
      <c r="A50" s="3"/>
      <c r="B50" s="72"/>
      <c r="C50" s="73"/>
      <c r="D50" s="114"/>
      <c r="E50" s="73"/>
      <c r="F50" s="75"/>
      <c r="G50" s="73"/>
      <c r="H50" s="75"/>
      <c r="I50" s="73"/>
      <c r="J50" s="119"/>
      <c r="K50" s="121"/>
      <c r="L50" s="123"/>
      <c r="M50" s="126"/>
      <c r="N50" s="3"/>
      <c r="O50" s="81"/>
      <c r="P50" s="3"/>
      <c r="Q50" s="3"/>
      <c r="R50" s="3"/>
      <c r="S50" s="3"/>
      <c r="T50" s="3"/>
      <c r="U50" s="3"/>
      <c r="V50" s="3"/>
      <c r="W50" s="3"/>
      <c r="X50" s="3"/>
      <c r="Y50" s="3"/>
      <c r="Z50" s="3"/>
    </row>
    <row r="51" spans="1:26" ht="15.75" customHeight="1" x14ac:dyDescent="0.25">
      <c r="A51" s="3"/>
      <c r="B51" s="131"/>
      <c r="C51" s="133"/>
      <c r="D51" s="134"/>
      <c r="E51" s="133"/>
      <c r="F51" s="136"/>
      <c r="G51" s="133"/>
      <c r="H51" s="136"/>
      <c r="I51" s="133"/>
      <c r="J51" s="138"/>
      <c r="K51" s="139"/>
      <c r="L51" s="141"/>
      <c r="M51" s="144"/>
      <c r="N51" s="3"/>
      <c r="O51" s="81"/>
      <c r="P51" s="3"/>
      <c r="Q51" s="3"/>
      <c r="R51" s="3"/>
      <c r="S51" s="3"/>
      <c r="T51" s="3"/>
      <c r="U51" s="3"/>
      <c r="V51" s="3"/>
      <c r="W51" s="3"/>
      <c r="X51" s="3"/>
      <c r="Y51" s="3"/>
      <c r="Z51" s="3"/>
    </row>
    <row r="52" spans="1:26" ht="15.75" customHeight="1" x14ac:dyDescent="0.25">
      <c r="A52" s="3"/>
      <c r="B52" s="84" t="s">
        <v>155</v>
      </c>
      <c r="C52" s="93" t="s">
        <v>156</v>
      </c>
      <c r="D52" s="114"/>
      <c r="E52" s="73"/>
      <c r="F52" s="75"/>
      <c r="G52" s="73"/>
      <c r="H52" s="75"/>
      <c r="I52" s="73"/>
      <c r="J52" s="119"/>
      <c r="K52" s="121"/>
      <c r="L52" s="123"/>
      <c r="M52" s="126"/>
      <c r="N52" s="3"/>
      <c r="O52" s="81"/>
      <c r="P52" s="3"/>
      <c r="Q52" s="3"/>
      <c r="R52" s="3"/>
      <c r="S52" s="3"/>
      <c r="T52" s="3"/>
      <c r="U52" s="3"/>
      <c r="V52" s="3"/>
      <c r="W52" s="3"/>
      <c r="X52" s="3"/>
      <c r="Y52" s="3"/>
      <c r="Z52" s="3"/>
    </row>
    <row r="53" spans="1:26" ht="15.75" customHeight="1" x14ac:dyDescent="0.25">
      <c r="A53" s="3"/>
      <c r="B53" s="72"/>
      <c r="C53" s="73" t="s">
        <v>157</v>
      </c>
      <c r="D53" s="114" t="s">
        <v>158</v>
      </c>
      <c r="E53" s="73" t="s">
        <v>53</v>
      </c>
      <c r="F53" s="75">
        <v>425900</v>
      </c>
      <c r="G53" s="73" t="s">
        <v>55</v>
      </c>
      <c r="H53" s="75">
        <v>10862</v>
      </c>
      <c r="I53" s="184" t="s">
        <v>160</v>
      </c>
      <c r="J53" s="189">
        <f>Luke!D16</f>
        <v>9252251.5999999996</v>
      </c>
      <c r="K53" s="191">
        <f>(Luke!D18+Luke!D22+Luke!D26)</f>
        <v>929165.49600373663</v>
      </c>
      <c r="L53" s="123">
        <f>Luke!D19+Luke!D23+Luke!D27</f>
        <v>110.44585485141323</v>
      </c>
      <c r="M53" s="126">
        <f>Luke!D20+Luke!D24+Luke!D28</f>
        <v>16.260877546577824</v>
      </c>
      <c r="N53" s="3"/>
      <c r="O53" s="81" t="s">
        <v>95</v>
      </c>
      <c r="P53" s="3"/>
      <c r="Q53" s="3"/>
      <c r="R53" s="3"/>
      <c r="S53" s="3"/>
      <c r="T53" s="3"/>
      <c r="U53" s="3"/>
      <c r="V53" s="3"/>
      <c r="W53" s="3"/>
      <c r="X53" s="3"/>
      <c r="Y53" s="3"/>
      <c r="Z53" s="3"/>
    </row>
    <row r="54" spans="1:26" ht="15.75" customHeight="1" x14ac:dyDescent="0.25">
      <c r="A54" s="3"/>
      <c r="B54" s="131"/>
      <c r="C54" s="133"/>
      <c r="D54" s="114"/>
      <c r="E54" s="73"/>
      <c r="F54" s="75"/>
      <c r="G54" s="73"/>
      <c r="H54" s="75"/>
      <c r="I54" s="184"/>
      <c r="J54" s="189"/>
      <c r="K54" s="191"/>
      <c r="L54" s="123"/>
      <c r="M54" s="126"/>
      <c r="N54" s="3"/>
      <c r="O54" s="81"/>
      <c r="P54" s="3"/>
      <c r="Q54" s="3"/>
      <c r="R54" s="3"/>
      <c r="S54" s="3"/>
      <c r="T54" s="3"/>
      <c r="U54" s="3"/>
      <c r="V54" s="3"/>
      <c r="W54" s="3"/>
      <c r="X54" s="3"/>
      <c r="Y54" s="3"/>
      <c r="Z54" s="3"/>
    </row>
    <row r="55" spans="1:26" ht="15.75" customHeight="1" x14ac:dyDescent="0.25">
      <c r="A55" s="3"/>
      <c r="B55" s="199"/>
      <c r="C55" s="200"/>
      <c r="D55" s="200"/>
      <c r="E55" s="203" t="s">
        <v>170</v>
      </c>
      <c r="F55" s="207">
        <f>SUM(F11:F53)</f>
        <v>9378663</v>
      </c>
      <c r="G55" s="200"/>
      <c r="H55" s="208"/>
      <c r="I55" s="200"/>
      <c r="J55" s="207">
        <f t="shared" ref="J55:M55" si="0">SUM(J11:J53)</f>
        <v>225562126.86800003</v>
      </c>
      <c r="K55" s="207">
        <f t="shared" si="0"/>
        <v>24082981.027080312</v>
      </c>
      <c r="L55" s="207">
        <f t="shared" si="0"/>
        <v>460.99202746854405</v>
      </c>
      <c r="M55" s="211">
        <f t="shared" si="0"/>
        <v>266.71715641568943</v>
      </c>
      <c r="N55" s="3"/>
      <c r="O55" s="81"/>
      <c r="P55" s="3"/>
      <c r="Q55" s="3"/>
      <c r="R55" s="3"/>
      <c r="S55" s="3"/>
      <c r="T55" s="3"/>
      <c r="U55" s="3"/>
      <c r="V55" s="3"/>
      <c r="W55" s="3"/>
      <c r="X55" s="3"/>
      <c r="Y55" s="3"/>
      <c r="Z55" s="3"/>
    </row>
    <row r="56" spans="1:26" ht="15.75" customHeight="1" x14ac:dyDescent="0.25">
      <c r="A56" s="3"/>
      <c r="B56" s="72"/>
      <c r="C56" s="73"/>
      <c r="D56" s="73"/>
      <c r="E56" s="112"/>
      <c r="F56" s="213"/>
      <c r="G56" s="73"/>
      <c r="H56" s="75"/>
      <c r="I56" s="184"/>
      <c r="J56" s="213"/>
      <c r="K56" s="216"/>
      <c r="L56" s="213"/>
      <c r="M56" s="218"/>
      <c r="N56" s="3"/>
      <c r="O56" s="81"/>
      <c r="P56" s="3"/>
      <c r="Q56" s="3"/>
      <c r="R56" s="3"/>
      <c r="S56" s="3"/>
      <c r="T56" s="3"/>
      <c r="U56" s="3"/>
      <c r="V56" s="3"/>
      <c r="W56" s="3"/>
      <c r="X56" s="3"/>
      <c r="Y56" s="3"/>
      <c r="Z56" s="3"/>
    </row>
    <row r="57" spans="1:26" ht="15.75" customHeight="1" x14ac:dyDescent="0.25">
      <c r="A57" s="3"/>
      <c r="B57" s="72"/>
      <c r="C57" s="73"/>
      <c r="D57" s="73"/>
      <c r="E57" s="221" t="s">
        <v>178</v>
      </c>
      <c r="F57" s="222"/>
      <c r="G57" s="224"/>
      <c r="H57" s="225"/>
      <c r="I57" s="226"/>
      <c r="J57" s="222"/>
      <c r="K57" s="231">
        <f>(K55*0.90718474)/1000000</f>
        <v>21.847712881476784</v>
      </c>
      <c r="L57" s="235">
        <f>(L55*$J$425*0.90718474)/1000000</f>
        <v>1.1667917619013358E-2</v>
      </c>
      <c r="M57" s="239">
        <f>(M55*$J$426*0.90718474)/1000000</f>
        <v>6.6055553435646286E-2</v>
      </c>
      <c r="N57" s="3"/>
      <c r="O57" s="81"/>
      <c r="P57" s="3"/>
      <c r="Q57" s="3"/>
      <c r="R57" s="3"/>
      <c r="S57" s="3"/>
      <c r="T57" s="3"/>
      <c r="U57" s="3"/>
      <c r="V57" s="3"/>
      <c r="W57" s="3"/>
      <c r="X57" s="3"/>
      <c r="Y57" s="3"/>
      <c r="Z57" s="3"/>
    </row>
    <row r="58" spans="1:26" ht="15.75" customHeight="1" x14ac:dyDescent="0.25">
      <c r="A58" s="3"/>
      <c r="B58" s="72"/>
      <c r="C58" s="73"/>
      <c r="D58" s="114"/>
      <c r="E58" s="73"/>
      <c r="F58" s="75"/>
      <c r="G58" s="73"/>
      <c r="H58" s="75"/>
      <c r="I58" s="184"/>
      <c r="J58" s="75"/>
      <c r="K58" s="242"/>
      <c r="L58" s="123"/>
      <c r="M58" s="126"/>
      <c r="N58" s="3"/>
      <c r="O58" s="81"/>
      <c r="P58" s="3"/>
      <c r="Q58" s="3"/>
      <c r="R58" s="3"/>
      <c r="S58" s="3"/>
      <c r="T58" s="3"/>
      <c r="U58" s="3"/>
      <c r="V58" s="3"/>
      <c r="W58" s="3"/>
      <c r="X58" s="3"/>
      <c r="Y58" s="3"/>
      <c r="Z58" s="3"/>
    </row>
    <row r="59" spans="1:26" ht="15.75" customHeight="1" x14ac:dyDescent="0.25">
      <c r="A59" s="3"/>
      <c r="B59" s="72"/>
      <c r="C59" s="73"/>
      <c r="D59" s="114"/>
      <c r="E59" s="73"/>
      <c r="F59" s="75"/>
      <c r="G59" s="73"/>
      <c r="H59" s="75"/>
      <c r="I59" s="184"/>
      <c r="J59" s="75"/>
      <c r="K59" s="242"/>
      <c r="L59" s="123"/>
      <c r="M59" s="126"/>
      <c r="N59" s="3"/>
      <c r="O59" s="81"/>
      <c r="P59" s="3"/>
      <c r="Q59" s="3"/>
      <c r="R59" s="3"/>
      <c r="S59" s="3"/>
      <c r="T59" s="3"/>
      <c r="U59" s="3"/>
      <c r="V59" s="3"/>
      <c r="W59" s="3"/>
      <c r="X59" s="3"/>
      <c r="Y59" s="3"/>
      <c r="Z59" s="3"/>
    </row>
    <row r="60" spans="1:26" ht="15.75" customHeight="1" x14ac:dyDescent="0.25">
      <c r="A60" s="3"/>
      <c r="B60" s="111" t="s">
        <v>155</v>
      </c>
      <c r="C60" s="112" t="s">
        <v>156</v>
      </c>
      <c r="D60" s="114"/>
      <c r="E60" s="73"/>
      <c r="F60" s="75"/>
      <c r="G60" s="73"/>
      <c r="H60" s="75"/>
      <c r="I60" s="184"/>
      <c r="J60" s="75"/>
      <c r="K60" s="242"/>
      <c r="L60" s="123"/>
      <c r="M60" s="126"/>
      <c r="N60" s="3"/>
      <c r="O60" s="81"/>
      <c r="P60" s="3"/>
      <c r="Q60" s="3"/>
      <c r="R60" s="3"/>
      <c r="S60" s="3"/>
      <c r="T60" s="3"/>
      <c r="U60" s="3"/>
      <c r="V60" s="3"/>
      <c r="W60" s="3"/>
      <c r="X60" s="3"/>
      <c r="Y60" s="3"/>
      <c r="Z60" s="3"/>
    </row>
    <row r="61" spans="1:26" ht="15.75" customHeight="1" x14ac:dyDescent="0.25">
      <c r="A61" s="3"/>
      <c r="B61" s="72"/>
      <c r="C61" s="73" t="s">
        <v>191</v>
      </c>
      <c r="D61" s="114"/>
      <c r="E61" s="73"/>
      <c r="F61" s="75"/>
      <c r="G61" s="73"/>
      <c r="H61" s="75"/>
      <c r="I61" s="73"/>
      <c r="J61" s="123"/>
      <c r="K61" s="123"/>
      <c r="L61" s="123"/>
      <c r="M61" s="126"/>
      <c r="N61" s="3"/>
      <c r="O61" s="81"/>
      <c r="P61" s="3"/>
      <c r="Q61" s="3"/>
      <c r="R61" s="3"/>
      <c r="S61" s="3"/>
      <c r="T61" s="3"/>
      <c r="U61" s="3"/>
      <c r="V61" s="3"/>
      <c r="W61" s="3"/>
      <c r="X61" s="3"/>
      <c r="Y61" s="3"/>
      <c r="Z61" s="3"/>
    </row>
    <row r="62" spans="1:26" ht="15.75" customHeight="1" x14ac:dyDescent="0.25">
      <c r="A62" s="3"/>
      <c r="B62" s="247"/>
      <c r="C62" s="200" t="s">
        <v>193</v>
      </c>
      <c r="D62" s="248" t="s">
        <v>158</v>
      </c>
      <c r="E62" s="203" t="s">
        <v>195</v>
      </c>
      <c r="F62" s="207">
        <v>5518</v>
      </c>
      <c r="G62" s="203" t="s">
        <v>55</v>
      </c>
      <c r="H62" s="207">
        <v>4643</v>
      </c>
      <c r="I62" s="249" t="s">
        <v>60</v>
      </c>
      <c r="J62" s="207">
        <f>Luke!G16</f>
        <v>51240.148000000001</v>
      </c>
      <c r="K62" s="250">
        <f>Luke!G18+Luke!G22+Luke!G26</f>
        <v>5145.8368827459108</v>
      </c>
      <c r="L62" s="250">
        <f>Luke!G19+Luke!G23+Luke!G27</f>
        <v>0.61166321380332234</v>
      </c>
      <c r="M62" s="251">
        <f>Luke!G20+Luke!G24+Luke!G28</f>
        <v>9.0054811317120301E-2</v>
      </c>
      <c r="N62" s="3"/>
      <c r="O62" s="81" t="s">
        <v>95</v>
      </c>
      <c r="P62" s="3"/>
      <c r="Q62" s="3"/>
      <c r="R62" s="3"/>
      <c r="S62" s="3"/>
      <c r="T62" s="3"/>
      <c r="U62" s="3"/>
      <c r="V62" s="3"/>
      <c r="W62" s="3"/>
      <c r="X62" s="3"/>
      <c r="Y62" s="3"/>
      <c r="Z62" s="3"/>
    </row>
    <row r="63" spans="1:26" ht="15.75" customHeight="1" x14ac:dyDescent="0.25">
      <c r="A63" s="3"/>
      <c r="B63" s="72"/>
      <c r="C63" s="73"/>
      <c r="D63" s="114"/>
      <c r="E63" s="112"/>
      <c r="F63" s="213"/>
      <c r="G63" s="112"/>
      <c r="H63" s="213"/>
      <c r="I63" s="252"/>
      <c r="J63" s="213"/>
      <c r="K63" s="253"/>
      <c r="L63" s="253"/>
      <c r="M63" s="254"/>
      <c r="N63" s="3"/>
      <c r="O63" s="81"/>
      <c r="P63" s="3"/>
      <c r="Q63" s="3"/>
      <c r="R63" s="3"/>
      <c r="S63" s="3"/>
      <c r="T63" s="3"/>
      <c r="U63" s="3"/>
      <c r="V63" s="3"/>
      <c r="W63" s="3"/>
      <c r="X63" s="3"/>
      <c r="Y63" s="3"/>
      <c r="Z63" s="3"/>
    </row>
    <row r="64" spans="1:26" ht="15.75" customHeight="1" x14ac:dyDescent="0.25">
      <c r="A64" s="3"/>
      <c r="B64" s="72"/>
      <c r="C64" s="73"/>
      <c r="D64" s="114"/>
      <c r="E64" s="221" t="s">
        <v>202</v>
      </c>
      <c r="F64" s="222"/>
      <c r="G64" s="221"/>
      <c r="H64" s="222"/>
      <c r="I64" s="255"/>
      <c r="J64" s="222"/>
      <c r="K64" s="256">
        <f>(K62*0.90718474)/1000000</f>
        <v>4.6682246945562601E-3</v>
      </c>
      <c r="L64" s="258">
        <f>(L62*$J$425*0.90718474)/1000000</f>
        <v>1.5481473786930308E-5</v>
      </c>
      <c r="M64" s="263">
        <f>(M62*$J$426*0.90718474)/1000000</f>
        <v>2.2303103711198537E-5</v>
      </c>
      <c r="N64" s="3"/>
      <c r="O64" s="81"/>
      <c r="P64" s="3"/>
      <c r="Q64" s="3"/>
      <c r="R64" s="3"/>
      <c r="S64" s="3"/>
      <c r="T64" s="3"/>
      <c r="U64" s="3"/>
      <c r="V64" s="3"/>
      <c r="W64" s="3"/>
      <c r="X64" s="3"/>
      <c r="Y64" s="3"/>
      <c r="Z64" s="3"/>
    </row>
    <row r="65" spans="1:26" ht="15.75" customHeight="1" x14ac:dyDescent="0.25">
      <c r="A65" s="3"/>
      <c r="B65" s="72"/>
      <c r="C65" s="73"/>
      <c r="D65" s="114"/>
      <c r="E65" s="73"/>
      <c r="F65" s="75"/>
      <c r="G65" s="73"/>
      <c r="H65" s="75"/>
      <c r="I65" s="73"/>
      <c r="J65" s="123"/>
      <c r="K65" s="123"/>
      <c r="L65" s="123"/>
      <c r="M65" s="126"/>
      <c r="N65" s="3"/>
      <c r="O65" s="81"/>
      <c r="P65" s="3"/>
      <c r="Q65" s="3"/>
      <c r="R65" s="3"/>
      <c r="S65" s="3"/>
      <c r="T65" s="3"/>
      <c r="U65" s="3"/>
      <c r="V65" s="3"/>
      <c r="W65" s="3"/>
      <c r="X65" s="3"/>
      <c r="Y65" s="3"/>
      <c r="Z65" s="3"/>
    </row>
    <row r="66" spans="1:26" ht="15.75" customHeight="1" x14ac:dyDescent="0.25">
      <c r="A66" s="3"/>
      <c r="B66" s="265"/>
      <c r="C66" s="266"/>
      <c r="D66" s="268"/>
      <c r="E66" s="266"/>
      <c r="F66" s="269"/>
      <c r="G66" s="266"/>
      <c r="H66" s="269"/>
      <c r="I66" s="266"/>
      <c r="J66" s="270"/>
      <c r="K66" s="270"/>
      <c r="L66" s="270"/>
      <c r="M66" s="271"/>
      <c r="N66" s="3"/>
      <c r="O66" s="81"/>
      <c r="P66" s="3"/>
      <c r="Q66" s="3"/>
      <c r="R66" s="3"/>
      <c r="S66" s="3"/>
      <c r="T66" s="3"/>
      <c r="U66" s="3"/>
      <c r="V66" s="3"/>
      <c r="W66" s="3"/>
      <c r="X66" s="3"/>
      <c r="Y66" s="3"/>
      <c r="Z66" s="3"/>
    </row>
    <row r="67" spans="1:26" ht="15.75" customHeight="1" x14ac:dyDescent="0.25">
      <c r="A67" s="3"/>
      <c r="B67" s="3"/>
      <c r="C67" s="3"/>
      <c r="D67" s="3"/>
      <c r="E67" s="3"/>
      <c r="F67" s="3"/>
      <c r="G67" s="3"/>
      <c r="H67" s="3"/>
      <c r="I67" s="3"/>
      <c r="J67" s="3"/>
      <c r="K67" s="3"/>
      <c r="L67" s="3"/>
      <c r="M67" s="3"/>
      <c r="N67" s="3"/>
      <c r="O67" s="81"/>
      <c r="P67" s="3"/>
      <c r="Q67" s="3"/>
      <c r="R67" s="3"/>
      <c r="S67" s="3"/>
      <c r="T67" s="3"/>
      <c r="U67" s="3"/>
      <c r="V67" s="3"/>
      <c r="W67" s="3"/>
      <c r="X67" s="3"/>
      <c r="Y67" s="3"/>
      <c r="Z67" s="3"/>
    </row>
    <row r="68" spans="1:26" ht="15.75" customHeight="1" x14ac:dyDescent="0.25">
      <c r="A68" s="3"/>
      <c r="B68" s="3"/>
      <c r="C68" s="3"/>
      <c r="D68" s="3"/>
      <c r="E68" s="3"/>
      <c r="F68" s="3"/>
      <c r="G68" s="3"/>
      <c r="H68" s="3"/>
      <c r="I68" s="3"/>
      <c r="J68" s="3"/>
      <c r="K68" s="3"/>
      <c r="L68" s="3"/>
      <c r="M68" s="3"/>
      <c r="N68" s="3"/>
      <c r="O68" s="81"/>
      <c r="P68" s="3"/>
      <c r="Q68" s="3"/>
      <c r="R68" s="3"/>
      <c r="S68" s="3"/>
      <c r="T68" s="3"/>
      <c r="U68" s="3"/>
      <c r="V68" s="3"/>
      <c r="W68" s="3"/>
      <c r="X68" s="3"/>
      <c r="Y68" s="3"/>
      <c r="Z68" s="3"/>
    </row>
    <row r="69" spans="1:26" ht="15.75" customHeight="1" x14ac:dyDescent="0.25">
      <c r="A69" s="3"/>
      <c r="B69" s="3"/>
      <c r="C69" s="3"/>
      <c r="D69" s="3"/>
      <c r="E69" s="3"/>
      <c r="F69" s="3"/>
      <c r="G69" s="3"/>
      <c r="H69" s="3"/>
      <c r="I69" s="3"/>
      <c r="J69" s="3"/>
      <c r="K69" s="3"/>
      <c r="L69" s="3"/>
      <c r="M69" s="3"/>
      <c r="N69" s="3"/>
      <c r="O69" s="81"/>
      <c r="P69" s="3"/>
      <c r="Q69" s="3"/>
      <c r="R69" s="3"/>
      <c r="S69" s="3"/>
      <c r="T69" s="3"/>
      <c r="U69" s="3"/>
      <c r="V69" s="3"/>
      <c r="W69" s="3"/>
      <c r="X69" s="3"/>
      <c r="Y69" s="3"/>
      <c r="Z69" s="3"/>
    </row>
    <row r="70" spans="1:26" ht="15.75" customHeight="1" x14ac:dyDescent="0.25">
      <c r="A70" s="3"/>
      <c r="B70" s="3"/>
      <c r="C70" s="3"/>
      <c r="D70" s="3"/>
      <c r="E70" s="3"/>
      <c r="F70" s="3"/>
      <c r="G70" s="3"/>
      <c r="H70" s="3"/>
      <c r="I70" s="3"/>
      <c r="J70" s="3"/>
      <c r="K70" s="3"/>
      <c r="L70" s="3"/>
      <c r="M70" s="3"/>
      <c r="N70" s="3"/>
      <c r="O70" s="81"/>
      <c r="P70" s="3"/>
      <c r="Q70" s="3"/>
      <c r="R70" s="3"/>
      <c r="S70" s="3"/>
      <c r="T70" s="3"/>
      <c r="U70" s="3"/>
      <c r="V70" s="3"/>
      <c r="W70" s="3"/>
      <c r="X70" s="3"/>
      <c r="Y70" s="3"/>
      <c r="Z70" s="3"/>
    </row>
    <row r="71" spans="1:26" ht="15.75" customHeight="1" x14ac:dyDescent="0.25">
      <c r="A71" s="3"/>
      <c r="B71" s="35" t="s">
        <v>210</v>
      </c>
      <c r="C71" s="37"/>
      <c r="D71" s="3"/>
      <c r="E71" s="3"/>
      <c r="F71" s="3"/>
      <c r="G71" s="3"/>
      <c r="H71" s="3"/>
      <c r="I71" s="3"/>
      <c r="J71" s="3"/>
      <c r="K71" s="3"/>
      <c r="L71" s="3"/>
      <c r="M71" s="3"/>
      <c r="N71" s="3"/>
      <c r="O71" s="81"/>
      <c r="P71" s="3"/>
      <c r="Q71" s="3"/>
      <c r="R71" s="3"/>
      <c r="S71" s="3"/>
      <c r="T71" s="3"/>
      <c r="U71" s="3"/>
      <c r="V71" s="3"/>
      <c r="W71" s="3"/>
      <c r="X71" s="3"/>
      <c r="Y71" s="3"/>
      <c r="Z71" s="3"/>
    </row>
    <row r="72" spans="1:26" ht="15.75" customHeight="1" x14ac:dyDescent="0.25">
      <c r="A72" s="3"/>
      <c r="B72" s="3"/>
      <c r="C72" s="3"/>
      <c r="D72" s="3"/>
      <c r="E72" s="3"/>
      <c r="F72" s="3"/>
      <c r="G72" s="3"/>
      <c r="H72" s="3"/>
      <c r="I72" s="3"/>
      <c r="J72" s="3"/>
      <c r="K72" s="3"/>
      <c r="L72" s="3"/>
      <c r="M72" s="3"/>
      <c r="N72" s="3"/>
      <c r="O72" s="81"/>
      <c r="P72" s="3"/>
      <c r="Q72" s="3"/>
      <c r="R72" s="3"/>
      <c r="S72" s="3"/>
      <c r="T72" s="3"/>
      <c r="U72" s="3"/>
      <c r="V72" s="3"/>
      <c r="W72" s="3"/>
      <c r="X72" s="3"/>
      <c r="Y72" s="3"/>
      <c r="Z72" s="3"/>
    </row>
    <row r="73" spans="1:26" ht="15.75" customHeight="1" x14ac:dyDescent="0.25">
      <c r="A73" s="3"/>
      <c r="B73" s="279" t="s">
        <v>6</v>
      </c>
      <c r="C73" s="280" t="s">
        <v>7</v>
      </c>
      <c r="D73" s="280" t="s">
        <v>8</v>
      </c>
      <c r="E73" s="280" t="s">
        <v>9</v>
      </c>
      <c r="F73" s="280" t="s">
        <v>10</v>
      </c>
      <c r="G73" s="280" t="s">
        <v>47</v>
      </c>
      <c r="H73" s="280" t="s">
        <v>49</v>
      </c>
      <c r="I73" s="280" t="s">
        <v>50</v>
      </c>
      <c r="J73" s="281" t="s">
        <v>51</v>
      </c>
      <c r="K73" s="282" t="s">
        <v>213</v>
      </c>
      <c r="L73" s="280" t="s">
        <v>214</v>
      </c>
      <c r="M73" s="283" t="s">
        <v>215</v>
      </c>
      <c r="N73" s="3"/>
      <c r="O73" s="81"/>
      <c r="P73" s="3"/>
      <c r="Q73" s="3"/>
      <c r="R73" s="3"/>
      <c r="S73" s="3"/>
      <c r="T73" s="3"/>
      <c r="U73" s="3"/>
      <c r="V73" s="3"/>
      <c r="W73" s="3"/>
      <c r="X73" s="3"/>
      <c r="Y73" s="3"/>
      <c r="Z73" s="3"/>
    </row>
    <row r="74" spans="1:26" ht="15.75" customHeight="1" x14ac:dyDescent="0.25">
      <c r="A74" s="3"/>
      <c r="B74" s="285"/>
      <c r="C74" s="180"/>
      <c r="D74" s="180"/>
      <c r="E74" s="286" t="s">
        <v>219</v>
      </c>
      <c r="F74" s="180"/>
      <c r="G74" s="180"/>
      <c r="H74" s="180"/>
      <c r="I74" s="180"/>
      <c r="J74" s="287" t="s">
        <v>24</v>
      </c>
      <c r="K74" s="186" t="s">
        <v>25</v>
      </c>
      <c r="L74" s="180" t="s">
        <v>25</v>
      </c>
      <c r="M74" s="289" t="s">
        <v>25</v>
      </c>
      <c r="N74" s="3"/>
      <c r="O74" s="81"/>
      <c r="P74" s="3"/>
      <c r="Q74" s="3"/>
      <c r="R74" s="3"/>
      <c r="S74" s="3"/>
      <c r="T74" s="3"/>
      <c r="U74" s="3"/>
      <c r="V74" s="3"/>
      <c r="W74" s="3"/>
      <c r="X74" s="3"/>
      <c r="Y74" s="3"/>
      <c r="Z74" s="3"/>
    </row>
    <row r="75" spans="1:26" ht="15.75" customHeight="1" x14ac:dyDescent="0.25">
      <c r="A75" s="3"/>
      <c r="B75" s="291"/>
      <c r="C75" s="292"/>
      <c r="D75" s="292"/>
      <c r="E75" s="292"/>
      <c r="F75" s="292"/>
      <c r="G75" s="292"/>
      <c r="H75" s="292"/>
      <c r="I75" s="292"/>
      <c r="J75" s="293"/>
      <c r="K75" s="294"/>
      <c r="L75" s="179"/>
      <c r="M75" s="295"/>
      <c r="N75" s="3"/>
      <c r="O75" s="81"/>
      <c r="P75" s="3"/>
      <c r="Q75" s="3"/>
      <c r="R75" s="3"/>
      <c r="S75" s="3"/>
      <c r="T75" s="3"/>
      <c r="U75" s="3"/>
      <c r="V75" s="3"/>
      <c r="W75" s="3"/>
      <c r="X75" s="3"/>
      <c r="Y75" s="3"/>
      <c r="Z75" s="3"/>
    </row>
    <row r="76" spans="1:26" ht="15.75" customHeight="1" x14ac:dyDescent="0.25">
      <c r="A76" s="3"/>
      <c r="B76" s="297" t="s">
        <v>30</v>
      </c>
      <c r="C76" s="26" t="s">
        <v>31</v>
      </c>
      <c r="D76" s="24"/>
      <c r="E76" s="24"/>
      <c r="F76" s="38"/>
      <c r="G76" s="24"/>
      <c r="H76" s="24"/>
      <c r="I76" s="24"/>
      <c r="J76" s="298"/>
      <c r="K76" s="300"/>
      <c r="L76" s="24"/>
      <c r="M76" s="301"/>
      <c r="N76" s="3"/>
      <c r="O76" s="81"/>
      <c r="P76" s="3"/>
      <c r="Q76" s="3"/>
      <c r="R76" s="3"/>
      <c r="S76" s="3"/>
      <c r="T76" s="3"/>
      <c r="U76" s="3"/>
      <c r="V76" s="3"/>
      <c r="W76" s="3"/>
      <c r="X76" s="3"/>
      <c r="Y76" s="3"/>
      <c r="Z76" s="3"/>
    </row>
    <row r="77" spans="1:26" ht="15.75" customHeight="1" x14ac:dyDescent="0.25">
      <c r="A77" s="3"/>
      <c r="B77" s="244"/>
      <c r="C77" s="50" t="s">
        <v>48</v>
      </c>
      <c r="D77" s="50" t="s">
        <v>52</v>
      </c>
      <c r="E77" s="50" t="s">
        <v>65</v>
      </c>
      <c r="F77" s="52">
        <v>113500</v>
      </c>
      <c r="G77" s="50" t="s">
        <v>66</v>
      </c>
      <c r="H77" s="55">
        <v>140000</v>
      </c>
      <c r="I77" s="50" t="s">
        <v>67</v>
      </c>
      <c r="J77" s="302">
        <v>15890</v>
      </c>
      <c r="K77" s="71">
        <v>1627.9107228017742</v>
      </c>
      <c r="L77" s="71">
        <v>0.19253149772228581</v>
      </c>
      <c r="M77" s="303">
        <v>2.8009313712211079E-2</v>
      </c>
      <c r="N77" s="3"/>
      <c r="O77" s="81" t="s">
        <v>230</v>
      </c>
      <c r="P77" s="3"/>
      <c r="Q77" s="3"/>
      <c r="R77" s="3"/>
      <c r="S77" s="3"/>
      <c r="T77" s="3"/>
      <c r="U77" s="3"/>
      <c r="V77" s="3"/>
      <c r="W77" s="3"/>
      <c r="X77" s="3"/>
      <c r="Y77" s="3"/>
      <c r="Z77" s="3"/>
    </row>
    <row r="78" spans="1:26" ht="15.75" customHeight="1" x14ac:dyDescent="0.25">
      <c r="A78" s="3"/>
      <c r="B78" s="244"/>
      <c r="C78" s="49"/>
      <c r="D78" s="49"/>
      <c r="E78" s="49"/>
      <c r="F78" s="92"/>
      <c r="G78" s="49"/>
      <c r="H78" s="68"/>
      <c r="I78" s="49"/>
      <c r="J78" s="304"/>
      <c r="K78" s="168"/>
      <c r="L78" s="101"/>
      <c r="M78" s="305"/>
      <c r="N78" s="3"/>
      <c r="O78" s="81"/>
      <c r="P78" s="3"/>
      <c r="Q78" s="3"/>
      <c r="R78" s="3"/>
      <c r="S78" s="3"/>
      <c r="T78" s="3"/>
      <c r="U78" s="3"/>
      <c r="V78" s="3"/>
      <c r="W78" s="3"/>
      <c r="X78" s="3"/>
      <c r="Y78" s="3"/>
      <c r="Z78" s="3"/>
    </row>
    <row r="79" spans="1:26" ht="15.75" customHeight="1" x14ac:dyDescent="0.25">
      <c r="A79" s="3"/>
      <c r="B79" s="244"/>
      <c r="C79" s="49" t="s">
        <v>72</v>
      </c>
      <c r="D79" s="49" t="s">
        <v>73</v>
      </c>
      <c r="E79" s="49" t="s">
        <v>65</v>
      </c>
      <c r="F79" s="92">
        <v>665</v>
      </c>
      <c r="G79" s="49" t="s">
        <v>66</v>
      </c>
      <c r="H79" s="68">
        <v>140000</v>
      </c>
      <c r="I79" s="49" t="s">
        <v>67</v>
      </c>
      <c r="J79" s="308">
        <v>93.1</v>
      </c>
      <c r="K79" s="310">
        <v>7.48</v>
      </c>
      <c r="L79" s="109">
        <v>0</v>
      </c>
      <c r="M79" s="311">
        <v>0</v>
      </c>
      <c r="N79" s="3"/>
      <c r="O79" s="81" t="s">
        <v>230</v>
      </c>
      <c r="P79" s="3"/>
      <c r="Q79" s="3"/>
      <c r="R79" s="3"/>
      <c r="S79" s="3"/>
      <c r="T79" s="3"/>
      <c r="U79" s="3"/>
      <c r="V79" s="3"/>
      <c r="W79" s="3"/>
      <c r="X79" s="3"/>
      <c r="Y79" s="3"/>
      <c r="Z79" s="3"/>
    </row>
    <row r="80" spans="1:26" ht="15.75" customHeight="1" x14ac:dyDescent="0.25">
      <c r="A80" s="3"/>
      <c r="B80" s="278"/>
      <c r="C80" s="292"/>
      <c r="D80" s="179"/>
      <c r="E80" s="179"/>
      <c r="F80" s="313"/>
      <c r="G80" s="179"/>
      <c r="H80" s="313"/>
      <c r="I80" s="179"/>
      <c r="J80" s="315"/>
      <c r="K80" s="294"/>
      <c r="L80" s="316"/>
      <c r="M80" s="317"/>
      <c r="N80" s="3"/>
      <c r="O80" s="81"/>
      <c r="P80" s="3"/>
      <c r="Q80" s="3"/>
      <c r="R80" s="3"/>
      <c r="S80" s="3"/>
      <c r="T80" s="3"/>
      <c r="U80" s="3"/>
      <c r="V80" s="3"/>
      <c r="W80" s="3"/>
      <c r="X80" s="3"/>
      <c r="Y80" s="3"/>
      <c r="Z80" s="3"/>
    </row>
    <row r="81" spans="1:26" ht="15.75" customHeight="1" x14ac:dyDescent="0.25">
      <c r="A81" s="3"/>
      <c r="B81" s="297" t="s">
        <v>83</v>
      </c>
      <c r="C81" s="26" t="s">
        <v>84</v>
      </c>
      <c r="D81" s="24"/>
      <c r="E81" s="24"/>
      <c r="F81" s="38"/>
      <c r="G81" s="24"/>
      <c r="H81" s="38"/>
      <c r="I81" s="24"/>
      <c r="J81" s="298"/>
      <c r="K81" s="300"/>
      <c r="L81" s="143"/>
      <c r="M81" s="321"/>
      <c r="N81" s="3"/>
      <c r="O81" s="81"/>
      <c r="P81" s="3"/>
      <c r="Q81" s="3"/>
      <c r="R81" s="3"/>
      <c r="S81" s="3"/>
      <c r="T81" s="3"/>
      <c r="U81" s="3"/>
      <c r="V81" s="3"/>
      <c r="W81" s="3"/>
      <c r="X81" s="3"/>
      <c r="Y81" s="3"/>
      <c r="Z81" s="3"/>
    </row>
    <row r="82" spans="1:26" ht="15.75" customHeight="1" x14ac:dyDescent="0.25">
      <c r="A82" s="3"/>
      <c r="B82" s="244"/>
      <c r="C82" s="50" t="s">
        <v>88</v>
      </c>
      <c r="D82" s="155" t="s">
        <v>89</v>
      </c>
      <c r="E82" s="50" t="s">
        <v>92</v>
      </c>
      <c r="F82" s="52">
        <v>1080000</v>
      </c>
      <c r="G82" s="50" t="s">
        <v>66</v>
      </c>
      <c r="H82" s="55">
        <v>139</v>
      </c>
      <c r="I82" s="50" t="s">
        <v>94</v>
      </c>
      <c r="J82" s="322">
        <v>150.12</v>
      </c>
      <c r="K82" s="157">
        <v>17.680268317647489</v>
      </c>
      <c r="L82" s="161">
        <v>1.3260544686342993E-4</v>
      </c>
      <c r="M82" s="323">
        <v>9.9719296041299302E-5</v>
      </c>
      <c r="N82" s="3"/>
      <c r="O82" s="81" t="s">
        <v>230</v>
      </c>
      <c r="P82" s="3"/>
      <c r="Q82" s="3"/>
      <c r="R82" s="3"/>
      <c r="S82" s="3"/>
      <c r="T82" s="3"/>
      <c r="U82" s="3"/>
      <c r="V82" s="3"/>
      <c r="W82" s="3"/>
      <c r="X82" s="3"/>
      <c r="Y82" s="3"/>
      <c r="Z82" s="3"/>
    </row>
    <row r="83" spans="1:26" ht="15.75" customHeight="1" x14ac:dyDescent="0.25">
      <c r="A83" s="3"/>
      <c r="B83" s="244"/>
      <c r="C83" s="49"/>
      <c r="D83" s="154"/>
      <c r="E83" s="49"/>
      <c r="F83" s="68"/>
      <c r="G83" s="49"/>
      <c r="H83" s="68"/>
      <c r="I83" s="49"/>
      <c r="J83" s="324"/>
      <c r="K83" s="168"/>
      <c r="L83" s="107"/>
      <c r="M83" s="325"/>
      <c r="N83" s="3"/>
      <c r="O83" s="81"/>
      <c r="P83" s="3"/>
      <c r="Q83" s="3"/>
      <c r="R83" s="3"/>
      <c r="S83" s="3"/>
      <c r="T83" s="3"/>
      <c r="U83" s="3"/>
      <c r="V83" s="3"/>
      <c r="W83" s="3"/>
      <c r="X83" s="3"/>
      <c r="Y83" s="3"/>
      <c r="Z83" s="3"/>
    </row>
    <row r="84" spans="1:26" ht="15.75" customHeight="1" x14ac:dyDescent="0.25">
      <c r="A84" s="3"/>
      <c r="B84" s="244"/>
      <c r="C84" s="50" t="s">
        <v>97</v>
      </c>
      <c r="D84" s="155" t="s">
        <v>98</v>
      </c>
      <c r="E84" s="50" t="s">
        <v>92</v>
      </c>
      <c r="F84" s="52">
        <v>1284000</v>
      </c>
      <c r="G84" s="50" t="s">
        <v>66</v>
      </c>
      <c r="H84" s="55">
        <v>139</v>
      </c>
      <c r="I84" s="50" t="s">
        <v>94</v>
      </c>
      <c r="J84" s="322">
        <v>178.476</v>
      </c>
      <c r="K84" s="168">
        <v>18.523037689018818</v>
      </c>
      <c r="L84" s="169">
        <v>1.5769468121567734E-4</v>
      </c>
      <c r="M84" s="326">
        <v>1.1869492134513347E-4</v>
      </c>
      <c r="N84" s="3"/>
      <c r="O84" s="81" t="s">
        <v>230</v>
      </c>
      <c r="P84" s="3"/>
      <c r="Q84" s="3"/>
      <c r="R84" s="3"/>
      <c r="S84" s="3"/>
      <c r="T84" s="3"/>
      <c r="U84" s="3"/>
      <c r="V84" s="3"/>
      <c r="W84" s="3"/>
      <c r="X84" s="3"/>
      <c r="Y84" s="3"/>
      <c r="Z84" s="3"/>
    </row>
    <row r="85" spans="1:26" ht="15.75" customHeight="1" x14ac:dyDescent="0.25">
      <c r="A85" s="3"/>
      <c r="B85" s="327"/>
      <c r="C85" s="113"/>
      <c r="D85" s="171"/>
      <c r="E85" s="113"/>
      <c r="F85" s="118"/>
      <c r="G85" s="113"/>
      <c r="H85" s="118"/>
      <c r="I85" s="113"/>
      <c r="J85" s="328"/>
      <c r="K85" s="329"/>
      <c r="L85" s="122"/>
      <c r="M85" s="330"/>
      <c r="N85" s="3"/>
      <c r="O85" s="81"/>
      <c r="P85" s="3"/>
      <c r="Q85" s="3"/>
      <c r="R85" s="3"/>
      <c r="S85" s="3"/>
      <c r="T85" s="3"/>
      <c r="U85" s="3"/>
      <c r="V85" s="3"/>
      <c r="W85" s="3"/>
      <c r="X85" s="3"/>
      <c r="Y85" s="3"/>
      <c r="Z85" s="3"/>
    </row>
    <row r="86" spans="1:26" ht="15.75" customHeight="1" x14ac:dyDescent="0.25">
      <c r="A86" s="3"/>
      <c r="B86" s="297" t="s">
        <v>100</v>
      </c>
      <c r="C86" s="26" t="s">
        <v>101</v>
      </c>
      <c r="D86" s="42"/>
      <c r="E86" s="24"/>
      <c r="F86" s="38"/>
      <c r="G86" s="24"/>
      <c r="H86" s="38"/>
      <c r="I86" s="24"/>
      <c r="J86" s="298"/>
      <c r="K86" s="300"/>
      <c r="L86" s="143"/>
      <c r="M86" s="321"/>
      <c r="N86" s="3"/>
      <c r="O86" s="81"/>
      <c r="P86" s="3"/>
      <c r="Q86" s="3"/>
      <c r="R86" s="3"/>
      <c r="S86" s="3"/>
      <c r="T86" s="3"/>
      <c r="U86" s="3"/>
      <c r="V86" s="3"/>
      <c r="W86" s="3"/>
      <c r="X86" s="3"/>
      <c r="Y86" s="3"/>
      <c r="Z86" s="3"/>
    </row>
    <row r="87" spans="1:26" ht="15.75" customHeight="1" x14ac:dyDescent="0.25">
      <c r="A87" s="3"/>
      <c r="B87" s="244"/>
      <c r="C87" s="49" t="s">
        <v>168</v>
      </c>
      <c r="D87" s="154" t="s">
        <v>169</v>
      </c>
      <c r="E87" s="49" t="s">
        <v>92</v>
      </c>
      <c r="F87" s="92">
        <v>121000</v>
      </c>
      <c r="G87" s="49" t="s">
        <v>66</v>
      </c>
      <c r="H87" s="68">
        <v>139</v>
      </c>
      <c r="I87" s="49" t="s">
        <v>94</v>
      </c>
      <c r="J87" s="332">
        <v>16819</v>
      </c>
      <c r="K87" s="168">
        <v>1320</v>
      </c>
      <c r="L87" s="202">
        <v>1.2999999999999999E-2</v>
      </c>
      <c r="M87" s="305">
        <v>1.6E-2</v>
      </c>
      <c r="N87" s="3"/>
      <c r="O87" s="81" t="s">
        <v>230</v>
      </c>
      <c r="P87" s="3"/>
      <c r="Q87" s="3"/>
      <c r="R87" s="3"/>
      <c r="S87" s="3"/>
      <c r="T87" s="3"/>
      <c r="U87" s="3"/>
      <c r="V87" s="3"/>
      <c r="W87" s="3"/>
      <c r="X87" s="3"/>
      <c r="Y87" s="3"/>
      <c r="Z87" s="3"/>
    </row>
    <row r="88" spans="1:26" ht="15.75" customHeight="1" x14ac:dyDescent="0.25">
      <c r="A88" s="3"/>
      <c r="B88" s="244"/>
      <c r="C88" s="49"/>
      <c r="D88" s="154"/>
      <c r="E88" s="49"/>
      <c r="F88" s="68"/>
      <c r="G88" s="49"/>
      <c r="H88" s="68"/>
      <c r="I88" s="49"/>
      <c r="J88" s="333"/>
      <c r="K88" s="52"/>
      <c r="L88" s="153"/>
      <c r="M88" s="325"/>
      <c r="N88" s="3"/>
      <c r="O88" s="81"/>
      <c r="P88" s="3"/>
      <c r="Q88" s="3"/>
      <c r="R88" s="3"/>
      <c r="S88" s="3"/>
      <c r="T88" s="3"/>
      <c r="U88" s="3"/>
      <c r="V88" s="3"/>
      <c r="W88" s="3"/>
      <c r="X88" s="3"/>
      <c r="Y88" s="3"/>
      <c r="Z88" s="3"/>
    </row>
    <row r="89" spans="1:26" ht="15.75" customHeight="1" x14ac:dyDescent="0.25">
      <c r="A89" s="3"/>
      <c r="B89" s="244"/>
      <c r="C89" s="49" t="s">
        <v>172</v>
      </c>
      <c r="D89" s="154" t="s">
        <v>173</v>
      </c>
      <c r="E89" s="49" t="s">
        <v>92</v>
      </c>
      <c r="F89" s="92">
        <v>15000</v>
      </c>
      <c r="G89" s="49" t="s">
        <v>66</v>
      </c>
      <c r="H89" s="68">
        <v>139</v>
      </c>
      <c r="I89" s="49" t="s">
        <v>94</v>
      </c>
      <c r="J89" s="332">
        <v>2085</v>
      </c>
      <c r="K89" s="168">
        <v>164</v>
      </c>
      <c r="L89" s="202">
        <v>2E-3</v>
      </c>
      <c r="M89" s="305">
        <v>2E-3</v>
      </c>
      <c r="N89" s="3"/>
      <c r="O89" s="81" t="s">
        <v>230</v>
      </c>
      <c r="P89" s="3"/>
      <c r="Q89" s="3"/>
      <c r="R89" s="3"/>
      <c r="S89" s="3"/>
      <c r="T89" s="3"/>
      <c r="U89" s="3"/>
      <c r="V89" s="3"/>
      <c r="W89" s="3"/>
      <c r="X89" s="3"/>
      <c r="Y89" s="3"/>
      <c r="Z89" s="3"/>
    </row>
    <row r="90" spans="1:26" ht="15.75" customHeight="1" x14ac:dyDescent="0.25">
      <c r="A90" s="3"/>
      <c r="B90" s="244"/>
      <c r="C90" s="49"/>
      <c r="D90" s="154"/>
      <c r="E90" s="49"/>
      <c r="F90" s="92"/>
      <c r="G90" s="49"/>
      <c r="H90" s="68"/>
      <c r="I90" s="49"/>
      <c r="J90" s="333"/>
      <c r="K90" s="52"/>
      <c r="L90" s="153"/>
      <c r="M90" s="325"/>
      <c r="N90" s="3"/>
      <c r="O90" s="81"/>
      <c r="P90" s="3"/>
      <c r="Q90" s="3"/>
      <c r="R90" s="3"/>
      <c r="S90" s="3"/>
      <c r="T90" s="3"/>
      <c r="U90" s="3"/>
      <c r="V90" s="3"/>
      <c r="W90" s="3"/>
      <c r="X90" s="3"/>
      <c r="Y90" s="3"/>
      <c r="Z90" s="3"/>
    </row>
    <row r="91" spans="1:26" ht="15.75" customHeight="1" x14ac:dyDescent="0.25">
      <c r="A91" s="3"/>
      <c r="B91" s="327"/>
      <c r="C91" s="113" t="s">
        <v>175</v>
      </c>
      <c r="D91" s="171" t="s">
        <v>176</v>
      </c>
      <c r="E91" s="113" t="s">
        <v>92</v>
      </c>
      <c r="F91" s="116">
        <v>89000</v>
      </c>
      <c r="G91" s="113" t="s">
        <v>66</v>
      </c>
      <c r="H91" s="118">
        <v>139</v>
      </c>
      <c r="I91" s="113" t="s">
        <v>94</v>
      </c>
      <c r="J91" s="338">
        <v>12371</v>
      </c>
      <c r="K91" s="329">
        <v>968</v>
      </c>
      <c r="L91" s="219">
        <v>0.01</v>
      </c>
      <c r="M91" s="339">
        <v>1.2E-2</v>
      </c>
      <c r="N91" s="3"/>
      <c r="O91" s="81" t="s">
        <v>230</v>
      </c>
      <c r="P91" s="3"/>
      <c r="Q91" s="3"/>
      <c r="R91" s="3"/>
      <c r="S91" s="3"/>
      <c r="T91" s="3"/>
      <c r="U91" s="3"/>
      <c r="V91" s="3"/>
      <c r="W91" s="3"/>
      <c r="X91" s="3"/>
      <c r="Y91" s="3"/>
      <c r="Z91" s="3"/>
    </row>
    <row r="92" spans="1:26" ht="15.75" customHeight="1" x14ac:dyDescent="0.25">
      <c r="A92" s="3"/>
      <c r="B92" s="278"/>
      <c r="C92" s="179"/>
      <c r="D92" s="179"/>
      <c r="E92" s="179"/>
      <c r="F92" s="313"/>
      <c r="G92" s="179"/>
      <c r="H92" s="313"/>
      <c r="I92" s="179"/>
      <c r="J92" s="315"/>
      <c r="K92" s="294"/>
      <c r="L92" s="316"/>
      <c r="M92" s="317"/>
      <c r="N92" s="3"/>
      <c r="O92" s="81"/>
      <c r="P92" s="3"/>
      <c r="Q92" s="3"/>
      <c r="R92" s="3"/>
      <c r="S92" s="3"/>
      <c r="T92" s="3"/>
      <c r="U92" s="3"/>
      <c r="V92" s="3"/>
      <c r="W92" s="3"/>
      <c r="X92" s="3"/>
      <c r="Y92" s="3"/>
      <c r="Z92" s="3"/>
    </row>
    <row r="93" spans="1:26" ht="15.75" customHeight="1" x14ac:dyDescent="0.25">
      <c r="A93" s="3"/>
      <c r="B93" s="297" t="s">
        <v>108</v>
      </c>
      <c r="C93" s="26" t="s">
        <v>110</v>
      </c>
      <c r="D93" s="24"/>
      <c r="E93" s="24"/>
      <c r="F93" s="38"/>
      <c r="G93" s="24"/>
      <c r="H93" s="38"/>
      <c r="I93" s="24"/>
      <c r="J93" s="340"/>
      <c r="K93" s="300"/>
      <c r="L93" s="143"/>
      <c r="M93" s="321"/>
      <c r="N93" s="3"/>
      <c r="O93" s="81"/>
      <c r="P93" s="3"/>
      <c r="Q93" s="3"/>
      <c r="R93" s="3"/>
      <c r="S93" s="3"/>
      <c r="T93" s="3"/>
      <c r="U93" s="3"/>
      <c r="V93" s="3"/>
      <c r="W93" s="3"/>
      <c r="X93" s="3"/>
      <c r="Y93" s="3"/>
      <c r="Z93" s="3"/>
    </row>
    <row r="94" spans="1:26" ht="15.75" customHeight="1" x14ac:dyDescent="0.25">
      <c r="A94" s="3"/>
      <c r="B94" s="244"/>
      <c r="C94" s="49"/>
      <c r="D94" s="49"/>
      <c r="E94" s="49"/>
      <c r="F94" s="68"/>
      <c r="G94" s="49"/>
      <c r="H94" s="68"/>
      <c r="I94" s="49"/>
      <c r="J94" s="333"/>
      <c r="K94" s="52"/>
      <c r="L94" s="107"/>
      <c r="M94" s="325"/>
      <c r="N94" s="3"/>
      <c r="O94" s="81"/>
      <c r="P94" s="3"/>
      <c r="Q94" s="3"/>
      <c r="R94" s="3"/>
      <c r="S94" s="3"/>
      <c r="T94" s="3"/>
      <c r="U94" s="3"/>
      <c r="V94" s="3"/>
      <c r="W94" s="3"/>
      <c r="X94" s="3"/>
      <c r="Y94" s="3"/>
      <c r="Z94" s="3"/>
    </row>
    <row r="95" spans="1:26" ht="15.75" customHeight="1" x14ac:dyDescent="0.25">
      <c r="A95" s="3"/>
      <c r="B95" s="244"/>
      <c r="C95" s="50" t="s">
        <v>111</v>
      </c>
      <c r="D95" s="155" t="s">
        <v>89</v>
      </c>
      <c r="E95" s="50" t="s">
        <v>187</v>
      </c>
      <c r="F95" s="52">
        <v>757726</v>
      </c>
      <c r="G95" s="50" t="s">
        <v>66</v>
      </c>
      <c r="H95" s="55">
        <v>137572</v>
      </c>
      <c r="I95" s="50" t="s">
        <v>67</v>
      </c>
      <c r="J95" s="322">
        <v>104241.881272</v>
      </c>
      <c r="K95" s="168">
        <v>11245.385398090562</v>
      </c>
      <c r="L95" s="169">
        <v>8.2187363707763347E-2</v>
      </c>
      <c r="M95" s="326">
        <v>6.5777586792228462E-2</v>
      </c>
      <c r="N95" s="3"/>
      <c r="O95" s="81" t="s">
        <v>230</v>
      </c>
      <c r="P95" s="3"/>
      <c r="Q95" s="3"/>
      <c r="R95" s="3"/>
      <c r="S95" s="3"/>
      <c r="T95" s="3"/>
      <c r="U95" s="3"/>
      <c r="V95" s="3"/>
      <c r="W95" s="3"/>
      <c r="X95" s="3"/>
      <c r="Y95" s="3"/>
      <c r="Z95" s="3"/>
    </row>
    <row r="96" spans="1:26" ht="15.75" customHeight="1" x14ac:dyDescent="0.25">
      <c r="A96" s="3"/>
      <c r="B96" s="244"/>
      <c r="C96" s="49"/>
      <c r="D96" s="49"/>
      <c r="E96" s="49"/>
      <c r="F96" s="68"/>
      <c r="G96" s="49"/>
      <c r="H96" s="68"/>
      <c r="I96" s="49"/>
      <c r="J96" s="332"/>
      <c r="K96" s="52"/>
      <c r="L96" s="107"/>
      <c r="M96" s="325"/>
      <c r="N96" s="3"/>
      <c r="O96" s="81"/>
      <c r="P96" s="3"/>
      <c r="Q96" s="3"/>
      <c r="R96" s="3"/>
      <c r="S96" s="3"/>
      <c r="T96" s="3"/>
      <c r="U96" s="3"/>
      <c r="V96" s="3"/>
      <c r="W96" s="3"/>
      <c r="X96" s="3"/>
      <c r="Y96" s="3"/>
      <c r="Z96" s="3"/>
    </row>
    <row r="97" spans="1:26" ht="15.75" customHeight="1" x14ac:dyDescent="0.25">
      <c r="A97" s="3"/>
      <c r="B97" s="244"/>
      <c r="C97" s="50" t="s">
        <v>114</v>
      </c>
      <c r="D97" s="155" t="s">
        <v>98</v>
      </c>
      <c r="E97" s="50" t="s">
        <v>187</v>
      </c>
      <c r="F97" s="52">
        <v>47448</v>
      </c>
      <c r="G97" s="50" t="s">
        <v>66</v>
      </c>
      <c r="H97" s="55">
        <v>137658</v>
      </c>
      <c r="I97" s="50" t="s">
        <v>67</v>
      </c>
      <c r="J97" s="322">
        <v>6531.5967840000003</v>
      </c>
      <c r="K97" s="168">
        <v>701.03180350719674</v>
      </c>
      <c r="L97" s="169">
        <v>5.1239178346359441E-3</v>
      </c>
      <c r="M97" s="326">
        <v>4.0991342677087553E-3</v>
      </c>
      <c r="N97" s="3"/>
      <c r="O97" s="81" t="s">
        <v>230</v>
      </c>
      <c r="P97" s="3"/>
      <c r="Q97" s="3"/>
      <c r="R97" s="3"/>
      <c r="S97" s="3"/>
      <c r="T97" s="3"/>
      <c r="U97" s="3"/>
      <c r="V97" s="3"/>
      <c r="W97" s="3"/>
      <c r="X97" s="3"/>
      <c r="Y97" s="3"/>
      <c r="Z97" s="3"/>
    </row>
    <row r="98" spans="1:26" ht="15.75" customHeight="1" x14ac:dyDescent="0.25">
      <c r="A98" s="3"/>
      <c r="B98" s="244"/>
      <c r="C98" s="49"/>
      <c r="D98" s="154"/>
      <c r="E98" s="49"/>
      <c r="F98" s="68"/>
      <c r="G98" s="49"/>
      <c r="H98" s="68"/>
      <c r="I98" s="49"/>
      <c r="J98" s="332"/>
      <c r="K98" s="52"/>
      <c r="L98" s="107"/>
      <c r="M98" s="325"/>
      <c r="N98" s="3"/>
      <c r="O98" s="81"/>
      <c r="P98" s="3"/>
      <c r="Q98" s="3"/>
      <c r="R98" s="3"/>
      <c r="S98" s="3"/>
      <c r="T98" s="3"/>
      <c r="U98" s="3"/>
      <c r="V98" s="3"/>
      <c r="W98" s="3"/>
      <c r="X98" s="3"/>
      <c r="Y98" s="3"/>
      <c r="Z98" s="3"/>
    </row>
    <row r="99" spans="1:26" ht="15.75" customHeight="1" x14ac:dyDescent="0.25">
      <c r="A99" s="3"/>
      <c r="B99" s="244"/>
      <c r="C99" s="49" t="s">
        <v>222</v>
      </c>
      <c r="D99" s="154" t="s">
        <v>223</v>
      </c>
      <c r="E99" s="49" t="s">
        <v>187</v>
      </c>
      <c r="F99" s="92">
        <v>63080</v>
      </c>
      <c r="G99" s="49" t="s">
        <v>66</v>
      </c>
      <c r="H99" s="68">
        <v>137630</v>
      </c>
      <c r="I99" s="49" t="s">
        <v>67</v>
      </c>
      <c r="J99" s="332">
        <v>8681.7003999999997</v>
      </c>
      <c r="K99" s="168">
        <v>1550</v>
      </c>
      <c r="L99" s="296">
        <v>2.0000000000000001E-4</v>
      </c>
      <c r="M99" s="305">
        <v>3.5000000000000003E-2</v>
      </c>
      <c r="N99" s="3"/>
      <c r="O99" s="81" t="s">
        <v>230</v>
      </c>
      <c r="P99" s="3"/>
      <c r="Q99" s="3"/>
      <c r="R99" s="3"/>
      <c r="S99" s="3"/>
      <c r="T99" s="3"/>
      <c r="U99" s="3"/>
      <c r="V99" s="3"/>
      <c r="W99" s="3"/>
      <c r="X99" s="3"/>
      <c r="Y99" s="3"/>
      <c r="Z99" s="3"/>
    </row>
    <row r="100" spans="1:26" ht="15.75" customHeight="1" x14ac:dyDescent="0.25">
      <c r="A100" s="3"/>
      <c r="B100" s="244"/>
      <c r="C100" s="49"/>
      <c r="D100" s="154"/>
      <c r="E100" s="49"/>
      <c r="F100" s="68"/>
      <c r="G100" s="49"/>
      <c r="H100" s="68"/>
      <c r="I100" s="49"/>
      <c r="J100" s="333"/>
      <c r="K100" s="52"/>
      <c r="L100" s="107"/>
      <c r="M100" s="325"/>
      <c r="N100" s="3"/>
      <c r="O100" s="81"/>
      <c r="P100" s="3"/>
      <c r="Q100" s="3"/>
      <c r="R100" s="3"/>
      <c r="S100" s="3"/>
      <c r="T100" s="3"/>
      <c r="U100" s="3"/>
      <c r="V100" s="3"/>
      <c r="W100" s="3"/>
      <c r="X100" s="3"/>
      <c r="Y100" s="3"/>
      <c r="Z100" s="3"/>
    </row>
    <row r="101" spans="1:26" ht="15.75" customHeight="1" x14ac:dyDescent="0.25">
      <c r="A101" s="3"/>
      <c r="B101" s="244"/>
      <c r="C101" s="49" t="s">
        <v>225</v>
      </c>
      <c r="D101" s="154" t="s">
        <v>226</v>
      </c>
      <c r="E101" s="49" t="s">
        <v>187</v>
      </c>
      <c r="F101" s="92">
        <v>111736</v>
      </c>
      <c r="G101" s="49" t="s">
        <v>66</v>
      </c>
      <c r="H101" s="68">
        <v>137630</v>
      </c>
      <c r="I101" s="49" t="s">
        <v>67</v>
      </c>
      <c r="J101" s="332">
        <v>10527</v>
      </c>
      <c r="K101" s="52">
        <v>854</v>
      </c>
      <c r="L101" s="299">
        <v>2.9999999999999997E-4</v>
      </c>
      <c r="M101" s="325">
        <v>6.2E-2</v>
      </c>
      <c r="N101" s="3"/>
      <c r="O101" s="81" t="s">
        <v>36</v>
      </c>
      <c r="P101" s="3"/>
      <c r="Q101" s="3"/>
      <c r="R101" s="3"/>
      <c r="S101" s="3"/>
      <c r="T101" s="3"/>
      <c r="U101" s="3"/>
      <c r="V101" s="3"/>
      <c r="W101" s="3"/>
      <c r="X101" s="3"/>
      <c r="Y101" s="3"/>
      <c r="Z101" s="3"/>
    </row>
    <row r="102" spans="1:26" ht="15.75" customHeight="1" x14ac:dyDescent="0.25">
      <c r="A102" s="3"/>
      <c r="B102" s="244"/>
      <c r="C102" s="49"/>
      <c r="D102" s="154"/>
      <c r="E102" s="49"/>
      <c r="F102" s="68"/>
      <c r="G102" s="49"/>
      <c r="H102" s="68"/>
      <c r="I102" s="49"/>
      <c r="J102" s="333"/>
      <c r="K102" s="52"/>
      <c r="L102" s="107"/>
      <c r="M102" s="325"/>
      <c r="N102" s="3"/>
      <c r="O102" s="81"/>
      <c r="P102" s="3"/>
      <c r="Q102" s="3"/>
      <c r="R102" s="3"/>
      <c r="S102" s="3"/>
      <c r="T102" s="3"/>
      <c r="U102" s="3"/>
      <c r="V102" s="3"/>
      <c r="W102" s="3"/>
      <c r="X102" s="3"/>
      <c r="Y102" s="3"/>
      <c r="Z102" s="3"/>
    </row>
    <row r="103" spans="1:26" ht="15.75" customHeight="1" x14ac:dyDescent="0.25">
      <c r="A103" s="3"/>
      <c r="B103" s="244"/>
      <c r="C103" s="50" t="s">
        <v>228</v>
      </c>
      <c r="D103" s="155" t="s">
        <v>229</v>
      </c>
      <c r="E103" s="50" t="s">
        <v>187</v>
      </c>
      <c r="F103" s="52">
        <v>269708</v>
      </c>
      <c r="G103" s="50" t="s">
        <v>66</v>
      </c>
      <c r="H103" s="55">
        <v>139001</v>
      </c>
      <c r="I103" s="50" t="s">
        <v>67</v>
      </c>
      <c r="J103" s="322">
        <v>37489.681707999996</v>
      </c>
      <c r="K103" s="168">
        <v>2444.017633327051</v>
      </c>
      <c r="L103" s="169">
        <v>1.4580915764344652E-2</v>
      </c>
      <c r="M103" s="326">
        <v>5.9111820666262097E-2</v>
      </c>
      <c r="N103" s="3"/>
      <c r="O103" s="81" t="s">
        <v>230</v>
      </c>
      <c r="P103" s="3"/>
      <c r="Q103" s="3"/>
      <c r="R103" s="3"/>
      <c r="S103" s="3"/>
      <c r="T103" s="3"/>
      <c r="U103" s="3"/>
      <c r="V103" s="3"/>
      <c r="W103" s="3"/>
      <c r="X103" s="3"/>
      <c r="Y103" s="3"/>
      <c r="Z103" s="3"/>
    </row>
    <row r="104" spans="1:26" ht="15.75" customHeight="1" x14ac:dyDescent="0.25">
      <c r="A104" s="3"/>
      <c r="B104" s="244"/>
      <c r="C104" s="49"/>
      <c r="D104" s="154"/>
      <c r="E104" s="49"/>
      <c r="F104" s="68"/>
      <c r="G104" s="49"/>
      <c r="H104" s="68"/>
      <c r="I104" s="49"/>
      <c r="J104" s="332"/>
      <c r="K104" s="52"/>
      <c r="L104" s="107"/>
      <c r="M104" s="325"/>
      <c r="N104" s="3"/>
      <c r="O104" s="81"/>
      <c r="P104" s="3"/>
      <c r="Q104" s="3"/>
      <c r="R104" s="3"/>
      <c r="S104" s="3"/>
      <c r="T104" s="3"/>
      <c r="U104" s="3"/>
      <c r="V104" s="3"/>
      <c r="W104" s="3"/>
      <c r="X104" s="3"/>
      <c r="Y104" s="3"/>
      <c r="Z104" s="3"/>
    </row>
    <row r="105" spans="1:26" ht="15.75" customHeight="1" x14ac:dyDescent="0.25">
      <c r="A105" s="3"/>
      <c r="B105" s="244"/>
      <c r="C105" s="50" t="s">
        <v>233</v>
      </c>
      <c r="D105" s="155" t="s">
        <v>234</v>
      </c>
      <c r="E105" s="50" t="s">
        <v>187</v>
      </c>
      <c r="F105" s="52">
        <v>66485</v>
      </c>
      <c r="G105" s="50" t="s">
        <v>66</v>
      </c>
      <c r="H105" s="55">
        <v>139001</v>
      </c>
      <c r="I105" s="50" t="s">
        <v>67</v>
      </c>
      <c r="J105" s="322">
        <v>9241.4814850000002</v>
      </c>
      <c r="K105" s="168">
        <v>565.3152868808354</v>
      </c>
      <c r="L105" s="169">
        <v>3.7826957772946995E-3</v>
      </c>
      <c r="M105" s="326">
        <v>1.0316443028985546E-2</v>
      </c>
      <c r="N105" s="3"/>
      <c r="O105" s="81" t="s">
        <v>230</v>
      </c>
      <c r="P105" s="3"/>
      <c r="Q105" s="3"/>
      <c r="R105" s="3"/>
      <c r="S105" s="3"/>
      <c r="T105" s="3"/>
      <c r="U105" s="3"/>
      <c r="V105" s="3"/>
      <c r="W105" s="3"/>
      <c r="X105" s="3"/>
      <c r="Y105" s="3"/>
      <c r="Z105" s="3"/>
    </row>
    <row r="106" spans="1:26" ht="15.75" customHeight="1" x14ac:dyDescent="0.25">
      <c r="A106" s="3"/>
      <c r="B106" s="244"/>
      <c r="C106" s="49"/>
      <c r="D106" s="154"/>
      <c r="E106" s="49"/>
      <c r="F106" s="68"/>
      <c r="G106" s="49"/>
      <c r="H106" s="68"/>
      <c r="I106" s="49"/>
      <c r="J106" s="332"/>
      <c r="K106" s="52"/>
      <c r="L106" s="107"/>
      <c r="M106" s="325"/>
      <c r="N106" s="3"/>
      <c r="O106" s="81"/>
      <c r="P106" s="3"/>
      <c r="Q106" s="3"/>
      <c r="R106" s="3"/>
      <c r="S106" s="3"/>
      <c r="T106" s="3"/>
      <c r="U106" s="3"/>
      <c r="V106" s="3"/>
      <c r="W106" s="3"/>
      <c r="X106" s="3"/>
      <c r="Y106" s="3"/>
      <c r="Z106" s="3"/>
    </row>
    <row r="107" spans="1:26" ht="15.75" customHeight="1" x14ac:dyDescent="0.25">
      <c r="A107" s="3"/>
      <c r="B107" s="244"/>
      <c r="C107" s="50" t="s">
        <v>237</v>
      </c>
      <c r="D107" s="155" t="s">
        <v>238</v>
      </c>
      <c r="E107" s="50" t="s">
        <v>187</v>
      </c>
      <c r="F107" s="52">
        <v>145075</v>
      </c>
      <c r="G107" s="50" t="s">
        <v>66</v>
      </c>
      <c r="H107" s="55">
        <v>139001</v>
      </c>
      <c r="I107" s="50" t="s">
        <v>67</v>
      </c>
      <c r="J107" s="322">
        <v>20165.570075</v>
      </c>
      <c r="K107" s="168">
        <v>1167.5515959444067</v>
      </c>
      <c r="L107" s="169">
        <v>7.3810337159427898E-3</v>
      </c>
      <c r="M107" s="326">
        <v>2.0666894404639813E-2</v>
      </c>
      <c r="N107" s="3"/>
      <c r="O107" s="81" t="s">
        <v>230</v>
      </c>
      <c r="P107" s="3"/>
      <c r="Q107" s="3"/>
      <c r="R107" s="3"/>
      <c r="S107" s="3"/>
      <c r="T107" s="3"/>
      <c r="U107" s="3"/>
      <c r="V107" s="3"/>
      <c r="W107" s="3"/>
      <c r="X107" s="3"/>
      <c r="Y107" s="3"/>
      <c r="Z107" s="3"/>
    </row>
    <row r="108" spans="1:26" ht="15.75" customHeight="1" x14ac:dyDescent="0.25">
      <c r="A108" s="3"/>
      <c r="B108" s="244"/>
      <c r="C108" s="49"/>
      <c r="D108" s="154"/>
      <c r="E108" s="49"/>
      <c r="F108" s="68"/>
      <c r="G108" s="49"/>
      <c r="H108" s="68"/>
      <c r="I108" s="49"/>
      <c r="J108" s="332"/>
      <c r="K108" s="52"/>
      <c r="L108" s="107"/>
      <c r="M108" s="325"/>
      <c r="N108" s="3"/>
      <c r="O108" s="81"/>
      <c r="P108" s="3"/>
      <c r="Q108" s="3"/>
      <c r="R108" s="3"/>
      <c r="S108" s="3"/>
      <c r="T108" s="3"/>
      <c r="U108" s="3"/>
      <c r="V108" s="3"/>
      <c r="W108" s="3"/>
      <c r="X108" s="3"/>
      <c r="Y108" s="3"/>
      <c r="Z108" s="3"/>
    </row>
    <row r="109" spans="1:26" ht="15.75" customHeight="1" x14ac:dyDescent="0.25">
      <c r="A109" s="3"/>
      <c r="B109" s="244"/>
      <c r="C109" s="50" t="s">
        <v>246</v>
      </c>
      <c r="D109" s="155" t="s">
        <v>247</v>
      </c>
      <c r="E109" s="50" t="s">
        <v>187</v>
      </c>
      <c r="F109" s="52">
        <v>209727</v>
      </c>
      <c r="G109" s="50" t="s">
        <v>66</v>
      </c>
      <c r="H109" s="55">
        <v>139001</v>
      </c>
      <c r="I109" s="50" t="s">
        <v>67</v>
      </c>
      <c r="J109" s="322">
        <v>29152.262727000001</v>
      </c>
      <c r="K109" s="168">
        <v>1960.3415059859005</v>
      </c>
      <c r="L109" s="169">
        <v>1.2381211735791457E-2</v>
      </c>
      <c r="M109" s="326">
        <v>3.9568821011292277E-2</v>
      </c>
      <c r="N109" s="3"/>
      <c r="O109" s="81" t="s">
        <v>230</v>
      </c>
      <c r="P109" s="3"/>
      <c r="Q109" s="3"/>
      <c r="R109" s="3"/>
      <c r="S109" s="3"/>
      <c r="T109" s="3"/>
      <c r="U109" s="3"/>
      <c r="V109" s="3"/>
      <c r="W109" s="3"/>
      <c r="X109" s="3"/>
      <c r="Y109" s="3"/>
      <c r="Z109" s="3"/>
    </row>
    <row r="110" spans="1:26" ht="15.75" customHeight="1" x14ac:dyDescent="0.25">
      <c r="A110" s="3"/>
      <c r="B110" s="244"/>
      <c r="C110" s="49"/>
      <c r="D110" s="154"/>
      <c r="E110" s="49"/>
      <c r="F110" s="68"/>
      <c r="G110" s="49"/>
      <c r="H110" s="68"/>
      <c r="I110" s="49"/>
      <c r="J110" s="332"/>
      <c r="K110" s="52"/>
      <c r="L110" s="107"/>
      <c r="M110" s="325"/>
      <c r="N110" s="3"/>
      <c r="O110" s="81"/>
      <c r="P110" s="3"/>
      <c r="Q110" s="3"/>
      <c r="R110" s="3"/>
      <c r="S110" s="3"/>
      <c r="T110" s="3"/>
      <c r="U110" s="3"/>
      <c r="V110" s="3"/>
      <c r="W110" s="3"/>
      <c r="X110" s="3"/>
      <c r="Y110" s="3"/>
      <c r="Z110" s="3"/>
    </row>
    <row r="111" spans="1:26" ht="15.75" customHeight="1" x14ac:dyDescent="0.25">
      <c r="A111" s="3"/>
      <c r="B111" s="244"/>
      <c r="C111" s="49" t="s">
        <v>251</v>
      </c>
      <c r="D111" s="154" t="s">
        <v>252</v>
      </c>
      <c r="E111" s="49" t="s">
        <v>187</v>
      </c>
      <c r="F111" s="92">
        <v>661277</v>
      </c>
      <c r="G111" s="49" t="s">
        <v>66</v>
      </c>
      <c r="H111" s="68">
        <v>139001</v>
      </c>
      <c r="I111" s="49" t="s">
        <v>67</v>
      </c>
      <c r="J111" s="324">
        <v>91918.164277000003</v>
      </c>
      <c r="K111" s="52">
        <v>7510</v>
      </c>
      <c r="L111" s="107">
        <v>0.24</v>
      </c>
      <c r="M111" s="325">
        <v>0.37</v>
      </c>
      <c r="N111" s="3"/>
      <c r="O111" s="81" t="s">
        <v>230</v>
      </c>
      <c r="P111" s="3"/>
      <c r="Q111" s="3"/>
      <c r="R111" s="3"/>
      <c r="S111" s="3"/>
      <c r="T111" s="3"/>
      <c r="U111" s="3"/>
      <c r="V111" s="3"/>
      <c r="W111" s="3"/>
      <c r="X111" s="3"/>
      <c r="Y111" s="3"/>
      <c r="Z111" s="3"/>
    </row>
    <row r="112" spans="1:26" ht="15.75" customHeight="1" x14ac:dyDescent="0.25">
      <c r="A112" s="3"/>
      <c r="B112" s="244"/>
      <c r="C112" s="49" t="s">
        <v>256</v>
      </c>
      <c r="D112" s="154" t="s">
        <v>257</v>
      </c>
      <c r="E112" s="49" t="s">
        <v>187</v>
      </c>
      <c r="F112" s="92">
        <v>761546</v>
      </c>
      <c r="G112" s="49" t="s">
        <v>66</v>
      </c>
      <c r="H112" s="68">
        <v>139001</v>
      </c>
      <c r="I112" s="49" t="s">
        <v>67</v>
      </c>
      <c r="J112" s="324">
        <v>105855.65554599999</v>
      </c>
      <c r="K112" s="52">
        <v>8648</v>
      </c>
      <c r="L112" s="107">
        <v>0.28000000000000003</v>
      </c>
      <c r="M112" s="325">
        <v>0.42</v>
      </c>
      <c r="N112" s="3"/>
      <c r="O112" s="81" t="s">
        <v>230</v>
      </c>
      <c r="P112" s="3"/>
      <c r="Q112" s="3"/>
      <c r="R112" s="3"/>
      <c r="S112" s="3"/>
      <c r="T112" s="3"/>
      <c r="U112" s="3"/>
      <c r="V112" s="3"/>
      <c r="W112" s="3"/>
      <c r="X112" s="3"/>
      <c r="Y112" s="3"/>
      <c r="Z112" s="3"/>
    </row>
    <row r="113" spans="1:26" ht="15.75" customHeight="1" x14ac:dyDescent="0.25">
      <c r="A113" s="3"/>
      <c r="B113" s="244"/>
      <c r="C113" s="49" t="s">
        <v>259</v>
      </c>
      <c r="D113" s="154" t="s">
        <v>260</v>
      </c>
      <c r="E113" s="49" t="s">
        <v>187</v>
      </c>
      <c r="F113" s="92">
        <v>390</v>
      </c>
      <c r="G113" s="49" t="s">
        <v>66</v>
      </c>
      <c r="H113" s="68">
        <v>139001</v>
      </c>
      <c r="I113" s="49" t="s">
        <v>67</v>
      </c>
      <c r="J113" s="324">
        <v>54.210389999999997</v>
      </c>
      <c r="K113" s="52">
        <v>4</v>
      </c>
      <c r="L113" s="341">
        <v>1.3999999999999999E-4</v>
      </c>
      <c r="M113" s="347">
        <v>2.2000000000000001E-4</v>
      </c>
      <c r="N113" s="3"/>
      <c r="O113" s="81" t="s">
        <v>230</v>
      </c>
      <c r="P113" s="3"/>
      <c r="Q113" s="3"/>
      <c r="R113" s="3"/>
      <c r="S113" s="3"/>
      <c r="T113" s="3"/>
      <c r="U113" s="3"/>
      <c r="V113" s="3"/>
      <c r="W113" s="3"/>
      <c r="X113" s="3"/>
      <c r="Y113" s="3"/>
      <c r="Z113" s="3"/>
    </row>
    <row r="114" spans="1:26" ht="15.75" customHeight="1" x14ac:dyDescent="0.25">
      <c r="A114" s="3"/>
      <c r="B114" s="327"/>
      <c r="C114" s="113"/>
      <c r="D114" s="113"/>
      <c r="E114" s="113"/>
      <c r="F114" s="118"/>
      <c r="G114" s="113"/>
      <c r="H114" s="118"/>
      <c r="I114" s="113"/>
      <c r="J114" s="348"/>
      <c r="K114" s="350"/>
      <c r="L114" s="122"/>
      <c r="M114" s="330"/>
      <c r="N114" s="3"/>
      <c r="O114" s="81"/>
      <c r="P114" s="3"/>
      <c r="Q114" s="3"/>
      <c r="R114" s="3"/>
      <c r="S114" s="3"/>
      <c r="T114" s="3"/>
      <c r="U114" s="3"/>
      <c r="V114" s="3"/>
      <c r="W114" s="3"/>
      <c r="X114" s="3"/>
      <c r="Y114" s="3"/>
      <c r="Z114" s="3"/>
    </row>
    <row r="115" spans="1:26" ht="15.75" customHeight="1" x14ac:dyDescent="0.25">
      <c r="A115" s="3"/>
      <c r="B115" s="278"/>
      <c r="C115" s="179"/>
      <c r="D115" s="179"/>
      <c r="E115" s="179"/>
      <c r="F115" s="313"/>
      <c r="G115" s="179"/>
      <c r="H115" s="313"/>
      <c r="I115" s="179"/>
      <c r="J115" s="315"/>
      <c r="K115" s="294"/>
      <c r="L115" s="316"/>
      <c r="M115" s="317"/>
      <c r="N115" s="3"/>
      <c r="O115" s="81"/>
      <c r="P115" s="3"/>
      <c r="Q115" s="3"/>
      <c r="R115" s="3"/>
      <c r="S115" s="3"/>
      <c r="T115" s="3"/>
      <c r="U115" s="3"/>
      <c r="V115" s="3"/>
      <c r="W115" s="3"/>
      <c r="X115" s="3"/>
      <c r="Y115" s="3"/>
      <c r="Z115" s="3"/>
    </row>
    <row r="116" spans="1:26" ht="15.75" customHeight="1" x14ac:dyDescent="0.25">
      <c r="A116" s="3"/>
      <c r="B116" s="297" t="s">
        <v>262</v>
      </c>
      <c r="C116" s="26" t="s">
        <v>263</v>
      </c>
      <c r="D116" s="24"/>
      <c r="E116" s="24"/>
      <c r="F116" s="38"/>
      <c r="G116" s="24"/>
      <c r="H116" s="38"/>
      <c r="I116" s="24"/>
      <c r="J116" s="340"/>
      <c r="K116" s="300"/>
      <c r="L116" s="143"/>
      <c r="M116" s="321"/>
      <c r="N116" s="3"/>
      <c r="O116" s="81"/>
      <c r="P116" s="3"/>
      <c r="Q116" s="3"/>
      <c r="R116" s="3"/>
      <c r="S116" s="3"/>
      <c r="T116" s="3"/>
      <c r="U116" s="3"/>
      <c r="V116" s="3"/>
      <c r="W116" s="3"/>
      <c r="X116" s="3"/>
      <c r="Y116" s="3"/>
      <c r="Z116" s="3"/>
    </row>
    <row r="117" spans="1:26" ht="15.75" customHeight="1" x14ac:dyDescent="0.25">
      <c r="A117" s="3"/>
      <c r="B117" s="244"/>
      <c r="C117" s="50" t="s">
        <v>264</v>
      </c>
      <c r="D117" s="50" t="s">
        <v>265</v>
      </c>
      <c r="E117" s="50" t="s">
        <v>187</v>
      </c>
      <c r="F117" s="52">
        <v>148903</v>
      </c>
      <c r="G117" s="50" t="s">
        <v>66</v>
      </c>
      <c r="H117" s="55">
        <v>138464</v>
      </c>
      <c r="I117" s="50" t="s">
        <v>67</v>
      </c>
      <c r="J117" s="322">
        <v>20617.704991999999</v>
      </c>
      <c r="K117" s="59">
        <v>1208.7965920985203</v>
      </c>
      <c r="L117" s="71">
        <v>1.9890445045749772E-2</v>
      </c>
      <c r="M117" s="303">
        <v>3.9780890091499543E-2</v>
      </c>
      <c r="N117" s="3"/>
      <c r="O117" s="81" t="s">
        <v>230</v>
      </c>
      <c r="P117" s="3"/>
      <c r="Q117" s="3"/>
      <c r="R117" s="3"/>
      <c r="S117" s="3"/>
      <c r="T117" s="3"/>
      <c r="U117" s="3"/>
      <c r="V117" s="3"/>
      <c r="W117" s="3"/>
      <c r="X117" s="3"/>
      <c r="Y117" s="3"/>
      <c r="Z117" s="3"/>
    </row>
    <row r="118" spans="1:26" ht="15.75" customHeight="1" x14ac:dyDescent="0.25">
      <c r="A118" s="3"/>
      <c r="B118" s="327"/>
      <c r="C118" s="113"/>
      <c r="D118" s="113"/>
      <c r="E118" s="113"/>
      <c r="F118" s="118"/>
      <c r="G118" s="113"/>
      <c r="H118" s="118"/>
      <c r="I118" s="113"/>
      <c r="J118" s="338"/>
      <c r="K118" s="329"/>
      <c r="L118" s="122"/>
      <c r="M118" s="330"/>
      <c r="N118" s="3"/>
      <c r="O118" s="81"/>
      <c r="P118" s="3"/>
      <c r="Q118" s="3"/>
      <c r="R118" s="3"/>
      <c r="S118" s="3"/>
      <c r="T118" s="3"/>
      <c r="U118" s="3"/>
      <c r="V118" s="3"/>
      <c r="W118" s="3"/>
      <c r="X118" s="3"/>
      <c r="Y118" s="3"/>
      <c r="Z118" s="3"/>
    </row>
    <row r="119" spans="1:26" ht="15.75" customHeight="1" x14ac:dyDescent="0.25">
      <c r="A119" s="3"/>
      <c r="B119" s="297" t="s">
        <v>116</v>
      </c>
      <c r="C119" s="26" t="s">
        <v>117</v>
      </c>
      <c r="D119" s="24"/>
      <c r="E119" s="24"/>
      <c r="F119" s="38"/>
      <c r="G119" s="24"/>
      <c r="H119" s="38"/>
      <c r="I119" s="24"/>
      <c r="J119" s="340"/>
      <c r="K119" s="300"/>
      <c r="L119" s="143"/>
      <c r="M119" s="321"/>
      <c r="N119" s="3"/>
      <c r="O119" s="81"/>
      <c r="P119" s="3"/>
      <c r="Q119" s="3"/>
      <c r="R119" s="3"/>
      <c r="S119" s="3"/>
      <c r="T119" s="3"/>
      <c r="U119" s="3"/>
      <c r="V119" s="3"/>
      <c r="W119" s="3"/>
      <c r="X119" s="3"/>
      <c r="Y119" s="3"/>
      <c r="Z119" s="3"/>
    </row>
    <row r="120" spans="1:26" ht="15.75" customHeight="1" x14ac:dyDescent="0.25">
      <c r="A120" s="3"/>
      <c r="B120" s="244"/>
      <c r="C120" s="49"/>
      <c r="D120" s="49"/>
      <c r="E120" s="49"/>
      <c r="F120" s="68"/>
      <c r="G120" s="49"/>
      <c r="H120" s="68"/>
      <c r="I120" s="49"/>
      <c r="J120" s="353"/>
      <c r="K120" s="168"/>
      <c r="L120" s="101"/>
      <c r="M120" s="305"/>
      <c r="N120" s="3"/>
      <c r="O120" s="81"/>
      <c r="P120" s="3"/>
      <c r="Q120" s="3"/>
      <c r="R120" s="3"/>
      <c r="S120" s="3"/>
      <c r="T120" s="3"/>
      <c r="U120" s="3"/>
      <c r="V120" s="3"/>
      <c r="W120" s="3"/>
      <c r="X120" s="3"/>
      <c r="Y120" s="3"/>
      <c r="Z120" s="3"/>
    </row>
    <row r="121" spans="1:26" ht="15.75" customHeight="1" x14ac:dyDescent="0.25">
      <c r="A121" s="3"/>
      <c r="B121" s="327"/>
      <c r="C121" s="113" t="s">
        <v>277</v>
      </c>
      <c r="D121" s="113" t="s">
        <v>278</v>
      </c>
      <c r="E121" s="113" t="s">
        <v>279</v>
      </c>
      <c r="F121" s="116">
        <v>44000</v>
      </c>
      <c r="G121" s="113" t="s">
        <v>66</v>
      </c>
      <c r="H121" s="118">
        <v>139</v>
      </c>
      <c r="I121" s="113" t="s">
        <v>281</v>
      </c>
      <c r="J121" s="354">
        <v>6116</v>
      </c>
      <c r="K121" s="329">
        <v>478.5</v>
      </c>
      <c r="L121" s="355">
        <v>0</v>
      </c>
      <c r="M121" s="339">
        <v>0.01</v>
      </c>
      <c r="N121" s="3"/>
      <c r="O121" s="81" t="s">
        <v>230</v>
      </c>
      <c r="P121" s="3"/>
      <c r="Q121" s="3"/>
      <c r="R121" s="3"/>
      <c r="S121" s="3"/>
      <c r="T121" s="3"/>
      <c r="U121" s="3"/>
      <c r="V121" s="3"/>
      <c r="W121" s="3"/>
      <c r="X121" s="3"/>
      <c r="Y121" s="3"/>
      <c r="Z121" s="3"/>
    </row>
    <row r="122" spans="1:26" ht="15.75" customHeight="1" x14ac:dyDescent="0.25">
      <c r="A122" s="3"/>
      <c r="B122" s="297" t="s">
        <v>282</v>
      </c>
      <c r="C122" s="26" t="s">
        <v>283</v>
      </c>
      <c r="D122" s="24"/>
      <c r="E122" s="24"/>
      <c r="F122" s="38"/>
      <c r="G122" s="24"/>
      <c r="H122" s="38"/>
      <c r="I122" s="24"/>
      <c r="J122" s="340"/>
      <c r="K122" s="300"/>
      <c r="L122" s="143"/>
      <c r="M122" s="321"/>
      <c r="N122" s="3"/>
      <c r="O122" s="81"/>
      <c r="P122" s="3"/>
      <c r="Q122" s="3"/>
      <c r="R122" s="3"/>
      <c r="S122" s="3"/>
      <c r="T122" s="3"/>
      <c r="U122" s="3"/>
      <c r="V122" s="3"/>
      <c r="W122" s="3"/>
      <c r="X122" s="3"/>
      <c r="Y122" s="3"/>
      <c r="Z122" s="3"/>
    </row>
    <row r="123" spans="1:26" ht="15.75" customHeight="1" x14ac:dyDescent="0.25">
      <c r="A123" s="3"/>
      <c r="B123" s="244"/>
      <c r="C123" s="50" t="s">
        <v>284</v>
      </c>
      <c r="D123" s="50" t="s">
        <v>285</v>
      </c>
      <c r="E123" s="50" t="s">
        <v>279</v>
      </c>
      <c r="F123" s="52">
        <v>1512000</v>
      </c>
      <c r="G123" s="50" t="s">
        <v>66</v>
      </c>
      <c r="H123" s="55">
        <v>138</v>
      </c>
      <c r="I123" s="50" t="s">
        <v>281</v>
      </c>
      <c r="J123" s="356">
        <v>208656</v>
      </c>
      <c r="K123" s="168">
        <v>13718.601982468434</v>
      </c>
      <c r="L123" s="169">
        <v>0.64750574504260394</v>
      </c>
      <c r="M123" s="326">
        <v>0.2726339979126754</v>
      </c>
      <c r="N123" s="3"/>
      <c r="O123" s="81" t="s">
        <v>230</v>
      </c>
      <c r="P123" s="3"/>
      <c r="Q123" s="3"/>
      <c r="R123" s="3"/>
      <c r="S123" s="3"/>
      <c r="T123" s="3"/>
      <c r="U123" s="3"/>
      <c r="V123" s="3"/>
      <c r="W123" s="3"/>
      <c r="X123" s="3"/>
      <c r="Y123" s="3"/>
      <c r="Z123" s="3"/>
    </row>
    <row r="124" spans="1:26" ht="15.75" customHeight="1" x14ac:dyDescent="0.25">
      <c r="A124" s="3"/>
      <c r="B124" s="244"/>
      <c r="C124" s="49"/>
      <c r="D124" s="49"/>
      <c r="E124" s="49"/>
      <c r="F124" s="92"/>
      <c r="G124" s="49"/>
      <c r="H124" s="68"/>
      <c r="I124" s="49"/>
      <c r="J124" s="324"/>
      <c r="K124" s="52"/>
      <c r="L124" s="107"/>
      <c r="M124" s="325"/>
      <c r="N124" s="3"/>
      <c r="O124" s="81"/>
      <c r="P124" s="3"/>
      <c r="Q124" s="3"/>
      <c r="R124" s="3"/>
      <c r="S124" s="3"/>
      <c r="T124" s="3"/>
      <c r="U124" s="3"/>
      <c r="V124" s="3"/>
      <c r="W124" s="3"/>
      <c r="X124" s="3"/>
      <c r="Y124" s="3"/>
      <c r="Z124" s="3"/>
    </row>
    <row r="125" spans="1:26" ht="15.75" customHeight="1" x14ac:dyDescent="0.25">
      <c r="A125" s="3"/>
      <c r="B125" s="244"/>
      <c r="C125" s="49"/>
      <c r="D125" s="49"/>
      <c r="E125" s="49"/>
      <c r="F125" s="92"/>
      <c r="G125" s="49"/>
      <c r="H125" s="68"/>
      <c r="I125" s="49"/>
      <c r="J125" s="333"/>
      <c r="K125" s="52"/>
      <c r="L125" s="107"/>
      <c r="M125" s="325"/>
      <c r="N125" s="3"/>
      <c r="O125" s="81"/>
      <c r="P125" s="3"/>
      <c r="Q125" s="3"/>
      <c r="R125" s="3"/>
      <c r="S125" s="3"/>
      <c r="T125" s="3"/>
      <c r="U125" s="3"/>
      <c r="V125" s="3"/>
      <c r="W125" s="3"/>
      <c r="X125" s="3"/>
      <c r="Y125" s="3"/>
      <c r="Z125" s="3"/>
    </row>
    <row r="126" spans="1:26" ht="15.75" customHeight="1" x14ac:dyDescent="0.25">
      <c r="A126" s="3"/>
      <c r="B126" s="244"/>
      <c r="C126" s="49" t="s">
        <v>287</v>
      </c>
      <c r="D126" s="91" t="s">
        <v>288</v>
      </c>
      <c r="E126" s="49" t="s">
        <v>279</v>
      </c>
      <c r="F126" s="92">
        <v>533000</v>
      </c>
      <c r="G126" s="49" t="s">
        <v>66</v>
      </c>
      <c r="H126" s="68">
        <v>138</v>
      </c>
      <c r="I126" s="49" t="s">
        <v>281</v>
      </c>
      <c r="J126" s="324">
        <v>73554</v>
      </c>
      <c r="K126" s="52">
        <v>5773</v>
      </c>
      <c r="L126" s="107">
        <v>0.06</v>
      </c>
      <c r="M126" s="325">
        <v>7.0000000000000007E-2</v>
      </c>
      <c r="N126" s="3"/>
      <c r="O126" s="81" t="s">
        <v>230</v>
      </c>
      <c r="P126" s="3"/>
      <c r="Q126" s="3"/>
      <c r="R126" s="3"/>
      <c r="S126" s="3"/>
      <c r="T126" s="3"/>
      <c r="U126" s="3"/>
      <c r="V126" s="3"/>
      <c r="W126" s="3"/>
      <c r="X126" s="3"/>
      <c r="Y126" s="3"/>
      <c r="Z126" s="3"/>
    </row>
    <row r="127" spans="1:26" ht="15.75" customHeight="1" x14ac:dyDescent="0.25">
      <c r="A127" s="3"/>
      <c r="B127" s="244"/>
      <c r="C127" s="49"/>
      <c r="D127" s="49"/>
      <c r="E127" s="49"/>
      <c r="F127" s="92"/>
      <c r="G127" s="49"/>
      <c r="H127" s="68"/>
      <c r="I127" s="49"/>
      <c r="J127" s="333"/>
      <c r="K127" s="52"/>
      <c r="L127" s="107"/>
      <c r="M127" s="325"/>
      <c r="N127" s="3"/>
      <c r="O127" s="81"/>
      <c r="P127" s="3"/>
      <c r="Q127" s="3"/>
      <c r="R127" s="3"/>
      <c r="S127" s="3"/>
      <c r="T127" s="3"/>
      <c r="U127" s="3"/>
      <c r="V127" s="3"/>
      <c r="W127" s="3"/>
      <c r="X127" s="3"/>
      <c r="Y127" s="3"/>
      <c r="Z127" s="3"/>
    </row>
    <row r="128" spans="1:26" ht="15.75" customHeight="1" x14ac:dyDescent="0.25">
      <c r="A128" s="3"/>
      <c r="B128" s="244"/>
      <c r="C128" s="49" t="s">
        <v>290</v>
      </c>
      <c r="D128" s="91" t="s">
        <v>291</v>
      </c>
      <c r="E128" s="49" t="s">
        <v>279</v>
      </c>
      <c r="F128" s="92">
        <v>517000</v>
      </c>
      <c r="G128" s="49" t="s">
        <v>66</v>
      </c>
      <c r="H128" s="68">
        <v>138</v>
      </c>
      <c r="I128" s="49" t="s">
        <v>281</v>
      </c>
      <c r="J128" s="324">
        <v>71346</v>
      </c>
      <c r="K128" s="52">
        <v>5603</v>
      </c>
      <c r="L128" s="107">
        <v>0.06</v>
      </c>
      <c r="M128" s="325">
        <v>7.0000000000000007E-2</v>
      </c>
      <c r="N128" s="3"/>
      <c r="O128" s="81" t="s">
        <v>230</v>
      </c>
      <c r="P128" s="3"/>
      <c r="Q128" s="3"/>
      <c r="R128" s="3"/>
      <c r="S128" s="3"/>
      <c r="T128" s="3"/>
      <c r="U128" s="3"/>
      <c r="V128" s="3"/>
      <c r="W128" s="3"/>
      <c r="X128" s="3"/>
      <c r="Y128" s="3"/>
      <c r="Z128" s="3"/>
    </row>
    <row r="129" spans="1:26" ht="15.75" customHeight="1" x14ac:dyDescent="0.25">
      <c r="A129" s="3"/>
      <c r="B129" s="244"/>
      <c r="C129" s="49"/>
      <c r="D129" s="49"/>
      <c r="E129" s="49"/>
      <c r="F129" s="92"/>
      <c r="G129" s="49"/>
      <c r="H129" s="68"/>
      <c r="I129" s="49"/>
      <c r="J129" s="333"/>
      <c r="K129" s="52"/>
      <c r="L129" s="107"/>
      <c r="M129" s="325"/>
      <c r="N129" s="3"/>
      <c r="O129" s="81"/>
      <c r="P129" s="3"/>
      <c r="Q129" s="3"/>
      <c r="R129" s="3"/>
      <c r="S129" s="3"/>
      <c r="T129" s="3"/>
      <c r="U129" s="3"/>
      <c r="V129" s="3"/>
      <c r="W129" s="3"/>
      <c r="X129" s="3"/>
      <c r="Y129" s="3"/>
      <c r="Z129" s="3"/>
    </row>
    <row r="130" spans="1:26" ht="15.75" customHeight="1" x14ac:dyDescent="0.25">
      <c r="A130" s="3"/>
      <c r="B130" s="244"/>
      <c r="C130" s="49" t="s">
        <v>293</v>
      </c>
      <c r="D130" s="91" t="s">
        <v>294</v>
      </c>
      <c r="E130" s="49" t="s">
        <v>279</v>
      </c>
      <c r="F130" s="92">
        <v>611000</v>
      </c>
      <c r="G130" s="49" t="s">
        <v>66</v>
      </c>
      <c r="H130" s="68">
        <v>138</v>
      </c>
      <c r="I130" s="49" t="s">
        <v>281</v>
      </c>
      <c r="J130" s="324">
        <v>84318</v>
      </c>
      <c r="K130" s="52">
        <v>6619</v>
      </c>
      <c r="L130" s="107">
        <v>7.0000000000000007E-2</v>
      </c>
      <c r="M130" s="325">
        <v>0.08</v>
      </c>
      <c r="N130" s="3"/>
      <c r="O130" s="81" t="s">
        <v>230</v>
      </c>
      <c r="P130" s="3"/>
      <c r="Q130" s="3"/>
      <c r="R130" s="3"/>
      <c r="S130" s="3"/>
      <c r="T130" s="3"/>
      <c r="U130" s="3"/>
      <c r="V130" s="3"/>
      <c r="W130" s="3"/>
      <c r="X130" s="3"/>
      <c r="Y130" s="3"/>
      <c r="Z130" s="3"/>
    </row>
    <row r="131" spans="1:26" ht="15.75" customHeight="1" x14ac:dyDescent="0.25">
      <c r="A131" s="3"/>
      <c r="B131" s="244"/>
      <c r="C131" s="49"/>
      <c r="D131" s="49"/>
      <c r="E131" s="49"/>
      <c r="F131" s="92"/>
      <c r="G131" s="49"/>
      <c r="H131" s="68"/>
      <c r="I131" s="49"/>
      <c r="J131" s="333"/>
      <c r="K131" s="52"/>
      <c r="L131" s="107"/>
      <c r="M131" s="325"/>
      <c r="N131" s="3"/>
      <c r="O131" s="81"/>
      <c r="P131" s="3"/>
      <c r="Q131" s="3"/>
      <c r="R131" s="3"/>
      <c r="S131" s="3"/>
      <c r="T131" s="3"/>
      <c r="U131" s="3"/>
      <c r="V131" s="3"/>
      <c r="W131" s="3"/>
      <c r="X131" s="3"/>
      <c r="Y131" s="3"/>
      <c r="Z131" s="3"/>
    </row>
    <row r="132" spans="1:26" ht="15.75" customHeight="1" x14ac:dyDescent="0.25">
      <c r="A132" s="3"/>
      <c r="B132" s="327"/>
      <c r="C132" s="113" t="s">
        <v>296</v>
      </c>
      <c r="D132" s="193" t="s">
        <v>297</v>
      </c>
      <c r="E132" s="113" t="s">
        <v>279</v>
      </c>
      <c r="F132" s="116">
        <v>232000</v>
      </c>
      <c r="G132" s="113" t="s">
        <v>66</v>
      </c>
      <c r="H132" s="118">
        <v>138</v>
      </c>
      <c r="I132" s="113" t="s">
        <v>281</v>
      </c>
      <c r="J132" s="328">
        <v>32016</v>
      </c>
      <c r="K132" s="350">
        <v>2509</v>
      </c>
      <c r="L132" s="122">
        <v>0.03</v>
      </c>
      <c r="M132" s="330">
        <v>0.03</v>
      </c>
      <c r="N132" s="3"/>
      <c r="O132" s="81" t="s">
        <v>230</v>
      </c>
      <c r="P132" s="3"/>
      <c r="Q132" s="3"/>
      <c r="R132" s="3"/>
      <c r="S132" s="3"/>
      <c r="T132" s="3"/>
      <c r="U132" s="3"/>
      <c r="V132" s="3"/>
      <c r="W132" s="3"/>
      <c r="X132" s="3"/>
      <c r="Y132" s="3"/>
      <c r="Z132" s="3"/>
    </row>
    <row r="133" spans="1:26" ht="15.75" customHeight="1" x14ac:dyDescent="0.25">
      <c r="A133" s="3"/>
      <c r="B133" s="278"/>
      <c r="C133" s="179"/>
      <c r="D133" s="179"/>
      <c r="E133" s="179"/>
      <c r="F133" s="313"/>
      <c r="G133" s="179"/>
      <c r="H133" s="313"/>
      <c r="I133" s="179"/>
      <c r="J133" s="315"/>
      <c r="K133" s="294"/>
      <c r="L133" s="316"/>
      <c r="M133" s="317"/>
      <c r="N133" s="3"/>
      <c r="O133" s="81"/>
      <c r="P133" s="3"/>
      <c r="Q133" s="3"/>
      <c r="R133" s="3"/>
      <c r="S133" s="3"/>
      <c r="T133" s="3"/>
      <c r="U133" s="3"/>
      <c r="V133" s="3"/>
      <c r="W133" s="3"/>
      <c r="X133" s="3"/>
      <c r="Y133" s="3"/>
      <c r="Z133" s="3"/>
    </row>
    <row r="134" spans="1:26" ht="15.75" customHeight="1" x14ac:dyDescent="0.25">
      <c r="A134" s="3"/>
      <c r="B134" s="297" t="s">
        <v>124</v>
      </c>
      <c r="C134" s="26" t="s">
        <v>125</v>
      </c>
      <c r="D134" s="24"/>
      <c r="E134" s="24"/>
      <c r="F134" s="38"/>
      <c r="G134" s="24"/>
      <c r="H134" s="38"/>
      <c r="I134" s="24"/>
      <c r="J134" s="298"/>
      <c r="K134" s="300"/>
      <c r="L134" s="143"/>
      <c r="M134" s="321"/>
      <c r="N134" s="3"/>
      <c r="O134" s="81"/>
      <c r="P134" s="3"/>
      <c r="Q134" s="3"/>
      <c r="R134" s="3"/>
      <c r="S134" s="3"/>
      <c r="T134" s="3"/>
      <c r="U134" s="3"/>
      <c r="V134" s="3"/>
      <c r="W134" s="3"/>
      <c r="X134" s="3"/>
      <c r="Y134" s="3"/>
      <c r="Z134" s="3"/>
    </row>
    <row r="135" spans="1:26" ht="15.75" customHeight="1" x14ac:dyDescent="0.25">
      <c r="A135" s="3"/>
      <c r="B135" s="244"/>
      <c r="C135" s="50" t="s">
        <v>127</v>
      </c>
      <c r="D135" s="50" t="s">
        <v>128</v>
      </c>
      <c r="E135" s="50" t="s">
        <v>299</v>
      </c>
      <c r="F135" s="52">
        <v>43079</v>
      </c>
      <c r="G135" s="50" t="s">
        <v>66</v>
      </c>
      <c r="H135" s="55">
        <v>141000</v>
      </c>
      <c r="I135" s="50" t="s">
        <v>300</v>
      </c>
      <c r="J135" s="360">
        <v>6074.1390000000001</v>
      </c>
      <c r="K135" s="168">
        <v>726.18253604675374</v>
      </c>
      <c r="L135" s="169">
        <v>3.7958420158212E-3</v>
      </c>
      <c r="M135" s="326">
        <v>3.7958420158212E-3</v>
      </c>
      <c r="N135" s="3"/>
      <c r="O135" s="81" t="s">
        <v>230</v>
      </c>
      <c r="P135" s="3"/>
      <c r="Q135" s="3"/>
      <c r="R135" s="3"/>
      <c r="S135" s="3"/>
      <c r="T135" s="3"/>
      <c r="U135" s="3"/>
      <c r="V135" s="3"/>
      <c r="W135" s="3"/>
      <c r="X135" s="3"/>
      <c r="Y135" s="3"/>
      <c r="Z135" s="3"/>
    </row>
    <row r="136" spans="1:26" ht="15.75" customHeight="1" x14ac:dyDescent="0.25">
      <c r="A136" s="3"/>
      <c r="B136" s="244"/>
      <c r="C136" s="49"/>
      <c r="D136" s="49"/>
      <c r="E136" s="361"/>
      <c r="F136" s="92"/>
      <c r="G136" s="361"/>
      <c r="H136" s="68"/>
      <c r="I136" s="361"/>
      <c r="J136" s="324"/>
      <c r="K136" s="52"/>
      <c r="L136" s="107"/>
      <c r="M136" s="325"/>
      <c r="N136" s="3"/>
      <c r="O136" s="81"/>
      <c r="P136" s="3"/>
      <c r="Q136" s="3"/>
      <c r="R136" s="3"/>
      <c r="S136" s="3"/>
      <c r="T136" s="3"/>
      <c r="U136" s="3"/>
      <c r="V136" s="3"/>
      <c r="W136" s="3"/>
      <c r="X136" s="3"/>
      <c r="Y136" s="3"/>
      <c r="Z136" s="3"/>
    </row>
    <row r="137" spans="1:26" ht="15.75" customHeight="1" x14ac:dyDescent="0.25">
      <c r="A137" s="3"/>
      <c r="B137" s="244"/>
      <c r="C137" s="50" t="s">
        <v>130</v>
      </c>
      <c r="D137" s="50" t="s">
        <v>131</v>
      </c>
      <c r="E137" s="50" t="s">
        <v>299</v>
      </c>
      <c r="F137" s="52">
        <v>111914</v>
      </c>
      <c r="G137" s="50" t="s">
        <v>66</v>
      </c>
      <c r="H137" s="55">
        <v>141000</v>
      </c>
      <c r="I137" s="50" t="s">
        <v>300</v>
      </c>
      <c r="J137" s="322">
        <v>15779.874</v>
      </c>
      <c r="K137" s="168">
        <v>1562.7739686393236</v>
      </c>
      <c r="L137" s="169">
        <v>1.4047564297480409E-2</v>
      </c>
      <c r="M137" s="326">
        <v>2.8095128594960817E-2</v>
      </c>
      <c r="N137" s="3"/>
      <c r="O137" s="81" t="s">
        <v>230</v>
      </c>
      <c r="P137" s="3"/>
      <c r="Q137" s="3"/>
      <c r="R137" s="3"/>
      <c r="S137" s="3"/>
      <c r="T137" s="3"/>
      <c r="U137" s="3"/>
      <c r="V137" s="3"/>
      <c r="W137" s="3"/>
      <c r="X137" s="3"/>
      <c r="Y137" s="3"/>
      <c r="Z137" s="3"/>
    </row>
    <row r="138" spans="1:26" ht="15.75" customHeight="1" x14ac:dyDescent="0.25">
      <c r="A138" s="3"/>
      <c r="B138" s="278"/>
      <c r="C138" s="179"/>
      <c r="D138" s="179"/>
      <c r="E138" s="179"/>
      <c r="F138" s="362"/>
      <c r="G138" s="179"/>
      <c r="H138" s="313"/>
      <c r="I138" s="179"/>
      <c r="J138" s="363"/>
      <c r="K138" s="364"/>
      <c r="L138" s="316"/>
      <c r="M138" s="317"/>
      <c r="N138" s="3"/>
      <c r="O138" s="81"/>
      <c r="P138" s="3"/>
      <c r="Q138" s="3"/>
      <c r="R138" s="3"/>
      <c r="S138" s="3"/>
      <c r="T138" s="3"/>
      <c r="U138" s="3"/>
      <c r="V138" s="3"/>
      <c r="W138" s="3"/>
      <c r="X138" s="3"/>
      <c r="Y138" s="3"/>
      <c r="Z138" s="3"/>
    </row>
    <row r="139" spans="1:26" ht="15.75" customHeight="1" x14ac:dyDescent="0.25">
      <c r="A139" s="3"/>
      <c r="B139" s="297" t="s">
        <v>305</v>
      </c>
      <c r="C139" s="26" t="s">
        <v>306</v>
      </c>
      <c r="D139" s="24"/>
      <c r="E139" s="24"/>
      <c r="F139" s="38"/>
      <c r="G139" s="24"/>
      <c r="H139" s="38"/>
      <c r="I139" s="24"/>
      <c r="J139" s="298"/>
      <c r="K139" s="300"/>
      <c r="L139" s="143"/>
      <c r="M139" s="321"/>
      <c r="N139" s="3"/>
      <c r="O139" s="81"/>
      <c r="P139" s="3"/>
      <c r="Q139" s="3"/>
      <c r="R139" s="3"/>
      <c r="S139" s="3"/>
      <c r="T139" s="3"/>
      <c r="U139" s="3"/>
      <c r="V139" s="3"/>
      <c r="W139" s="3"/>
      <c r="X139" s="3"/>
      <c r="Y139" s="3"/>
      <c r="Z139" s="3"/>
    </row>
    <row r="140" spans="1:26" ht="15.75" customHeight="1" x14ac:dyDescent="0.25">
      <c r="A140" s="3"/>
      <c r="B140" s="244"/>
      <c r="C140" s="49"/>
      <c r="D140" s="49"/>
      <c r="E140" s="361"/>
      <c r="F140" s="68"/>
      <c r="G140" s="361"/>
      <c r="H140" s="68"/>
      <c r="I140" s="361"/>
      <c r="J140" s="333"/>
      <c r="K140" s="52"/>
      <c r="L140" s="153"/>
      <c r="M140" s="325"/>
      <c r="N140" s="3"/>
      <c r="O140" s="81"/>
      <c r="P140" s="3"/>
      <c r="Q140" s="3"/>
      <c r="R140" s="3"/>
      <c r="S140" s="3"/>
      <c r="T140" s="3"/>
      <c r="U140" s="3"/>
      <c r="V140" s="3"/>
      <c r="W140" s="3"/>
      <c r="X140" s="3"/>
      <c r="Y140" s="3"/>
      <c r="Z140" s="3"/>
    </row>
    <row r="141" spans="1:26" ht="15.75" customHeight="1" x14ac:dyDescent="0.25">
      <c r="A141" s="3"/>
      <c r="B141" s="244"/>
      <c r="C141" s="49" t="s">
        <v>308</v>
      </c>
      <c r="D141" s="49" t="s">
        <v>309</v>
      </c>
      <c r="E141" s="49" t="s">
        <v>299</v>
      </c>
      <c r="F141" s="92">
        <v>97000</v>
      </c>
      <c r="G141" s="49" t="s">
        <v>66</v>
      </c>
      <c r="H141" s="68">
        <v>139</v>
      </c>
      <c r="I141" s="361" t="s">
        <v>281</v>
      </c>
      <c r="J141" s="332">
        <v>13483</v>
      </c>
      <c r="K141" s="168">
        <v>1060</v>
      </c>
      <c r="L141" s="202">
        <v>0.01</v>
      </c>
      <c r="M141" s="305">
        <v>0.01</v>
      </c>
      <c r="N141" s="3"/>
      <c r="O141" s="81" t="s">
        <v>230</v>
      </c>
      <c r="P141" s="3"/>
      <c r="Q141" s="3"/>
      <c r="R141" s="3"/>
      <c r="S141" s="3"/>
      <c r="T141" s="3"/>
      <c r="U141" s="3"/>
      <c r="V141" s="3"/>
      <c r="W141" s="3"/>
      <c r="X141" s="3"/>
      <c r="Y141" s="3"/>
      <c r="Z141" s="3"/>
    </row>
    <row r="142" spans="1:26" ht="15.75" customHeight="1" x14ac:dyDescent="0.25">
      <c r="A142" s="3"/>
      <c r="B142" s="244"/>
      <c r="C142" s="49"/>
      <c r="D142" s="49"/>
      <c r="E142" s="361"/>
      <c r="F142" s="68"/>
      <c r="G142" s="361"/>
      <c r="H142" s="68"/>
      <c r="I142" s="361"/>
      <c r="J142" s="333"/>
      <c r="K142" s="52"/>
      <c r="L142" s="153"/>
      <c r="M142" s="325"/>
      <c r="N142" s="3"/>
      <c r="O142" s="81"/>
      <c r="P142" s="3"/>
      <c r="Q142" s="3"/>
      <c r="R142" s="3"/>
      <c r="S142" s="3"/>
      <c r="T142" s="3"/>
      <c r="U142" s="3"/>
      <c r="V142" s="3"/>
      <c r="W142" s="3"/>
      <c r="X142" s="3"/>
      <c r="Y142" s="3"/>
      <c r="Z142" s="3"/>
    </row>
    <row r="143" spans="1:26" ht="15.75" customHeight="1" x14ac:dyDescent="0.25">
      <c r="A143" s="3"/>
      <c r="B143" s="327"/>
      <c r="C143" s="113" t="s">
        <v>311</v>
      </c>
      <c r="D143" s="113" t="s">
        <v>312</v>
      </c>
      <c r="E143" s="113" t="s">
        <v>299</v>
      </c>
      <c r="F143" s="116">
        <v>105000</v>
      </c>
      <c r="G143" s="113" t="s">
        <v>66</v>
      </c>
      <c r="H143" s="118">
        <v>139</v>
      </c>
      <c r="I143" s="366" t="s">
        <v>281</v>
      </c>
      <c r="J143" s="338">
        <v>14595</v>
      </c>
      <c r="K143" s="329">
        <v>1150</v>
      </c>
      <c r="L143" s="219">
        <v>1.0999999999999999E-2</v>
      </c>
      <c r="M143" s="339">
        <v>0.01</v>
      </c>
      <c r="N143" s="3"/>
      <c r="O143" s="81" t="s">
        <v>230</v>
      </c>
      <c r="P143" s="3"/>
      <c r="Q143" s="3"/>
      <c r="R143" s="3"/>
      <c r="S143" s="3"/>
      <c r="T143" s="3"/>
      <c r="U143" s="3"/>
      <c r="V143" s="3"/>
      <c r="W143" s="3"/>
      <c r="X143" s="3"/>
      <c r="Y143" s="3"/>
      <c r="Z143" s="3"/>
    </row>
    <row r="144" spans="1:26" ht="15.75" customHeight="1" x14ac:dyDescent="0.25">
      <c r="A144" s="3"/>
      <c r="B144" s="278"/>
      <c r="C144" s="179"/>
      <c r="D144" s="179"/>
      <c r="E144" s="367"/>
      <c r="F144" s="313"/>
      <c r="G144" s="367"/>
      <c r="H144" s="313"/>
      <c r="I144" s="367"/>
      <c r="J144" s="315"/>
      <c r="K144" s="294"/>
      <c r="L144" s="316"/>
      <c r="M144" s="317"/>
      <c r="N144" s="3"/>
      <c r="O144" s="81"/>
      <c r="P144" s="3"/>
      <c r="Q144" s="3"/>
      <c r="R144" s="3"/>
      <c r="S144" s="3"/>
      <c r="T144" s="3"/>
      <c r="U144" s="3"/>
      <c r="V144" s="3"/>
      <c r="W144" s="3"/>
      <c r="X144" s="3"/>
      <c r="Y144" s="3"/>
      <c r="Z144" s="3"/>
    </row>
    <row r="145" spans="1:26" ht="15.75" customHeight="1" x14ac:dyDescent="0.25">
      <c r="A145" s="3"/>
      <c r="B145" s="278"/>
      <c r="C145" s="179"/>
      <c r="D145" s="179"/>
      <c r="E145" s="367"/>
      <c r="F145" s="313"/>
      <c r="G145" s="367"/>
      <c r="H145" s="313"/>
      <c r="I145" s="367"/>
      <c r="J145" s="315"/>
      <c r="K145" s="294"/>
      <c r="L145" s="316"/>
      <c r="M145" s="317"/>
      <c r="N145" s="3"/>
      <c r="O145" s="81"/>
      <c r="P145" s="3"/>
      <c r="Q145" s="3"/>
      <c r="R145" s="3"/>
      <c r="S145" s="3"/>
      <c r="T145" s="3"/>
      <c r="U145" s="3"/>
      <c r="V145" s="3"/>
      <c r="W145" s="3"/>
      <c r="X145" s="3"/>
      <c r="Y145" s="3"/>
      <c r="Z145" s="3"/>
    </row>
    <row r="146" spans="1:26" ht="15.75" customHeight="1" x14ac:dyDescent="0.25">
      <c r="A146" s="3"/>
      <c r="B146" s="297" t="s">
        <v>316</v>
      </c>
      <c r="C146" s="26" t="s">
        <v>317</v>
      </c>
      <c r="D146" s="24"/>
      <c r="E146" s="368"/>
      <c r="F146" s="38"/>
      <c r="G146" s="368"/>
      <c r="H146" s="38"/>
      <c r="I146" s="368"/>
      <c r="J146" s="340"/>
      <c r="K146" s="300"/>
      <c r="L146" s="143"/>
      <c r="M146" s="321"/>
      <c r="N146" s="3"/>
      <c r="O146" s="81"/>
      <c r="P146" s="3"/>
      <c r="Q146" s="3"/>
      <c r="R146" s="3"/>
      <c r="S146" s="3"/>
      <c r="T146" s="3"/>
      <c r="U146" s="3"/>
      <c r="V146" s="3"/>
      <c r="W146" s="3"/>
      <c r="X146" s="3"/>
      <c r="Y146" s="3"/>
      <c r="Z146" s="3"/>
    </row>
    <row r="147" spans="1:26" ht="15.75" customHeight="1" x14ac:dyDescent="0.25">
      <c r="A147" s="3"/>
      <c r="B147" s="244"/>
      <c r="C147" s="50" t="s">
        <v>320</v>
      </c>
      <c r="D147" s="50" t="s">
        <v>321</v>
      </c>
      <c r="E147" s="50" t="s">
        <v>299</v>
      </c>
      <c r="F147" s="52">
        <v>72528</v>
      </c>
      <c r="G147" s="50" t="s">
        <v>66</v>
      </c>
      <c r="H147" s="55">
        <v>140208</v>
      </c>
      <c r="I147" s="50" t="s">
        <v>322</v>
      </c>
      <c r="J147" s="360">
        <v>10169.005824</v>
      </c>
      <c r="K147" s="168">
        <v>781.71200395904316</v>
      </c>
      <c r="L147" s="169">
        <v>9.0484903061039471E-3</v>
      </c>
      <c r="M147" s="326">
        <v>1.6804339139907334E-2</v>
      </c>
      <c r="N147" s="3"/>
      <c r="O147" s="81" t="s">
        <v>230</v>
      </c>
      <c r="P147" s="3"/>
      <c r="Q147" s="3"/>
      <c r="R147" s="3"/>
      <c r="S147" s="3"/>
      <c r="T147" s="3"/>
      <c r="U147" s="3"/>
      <c r="V147" s="3"/>
      <c r="W147" s="3"/>
      <c r="X147" s="3"/>
      <c r="Y147" s="3"/>
      <c r="Z147" s="3"/>
    </row>
    <row r="148" spans="1:26" ht="15.75" customHeight="1" x14ac:dyDescent="0.25">
      <c r="A148" s="3"/>
      <c r="B148" s="244"/>
      <c r="C148" s="49"/>
      <c r="D148" s="49"/>
      <c r="E148" s="361"/>
      <c r="F148" s="92"/>
      <c r="G148" s="361"/>
      <c r="H148" s="68"/>
      <c r="I148" s="361"/>
      <c r="J148" s="332"/>
      <c r="K148" s="310"/>
      <c r="L148" s="107"/>
      <c r="M148" s="325"/>
      <c r="N148" s="3"/>
      <c r="O148" s="81"/>
      <c r="P148" s="3"/>
      <c r="Q148" s="3"/>
      <c r="R148" s="3"/>
      <c r="S148" s="3"/>
      <c r="T148" s="3"/>
      <c r="U148" s="3"/>
      <c r="V148" s="3"/>
      <c r="W148" s="3"/>
      <c r="X148" s="3"/>
      <c r="Y148" s="3"/>
      <c r="Z148" s="3"/>
    </row>
    <row r="149" spans="1:26" ht="15.75" customHeight="1" x14ac:dyDescent="0.25">
      <c r="A149" s="3"/>
      <c r="B149" s="244"/>
      <c r="C149" s="49" t="s">
        <v>323</v>
      </c>
      <c r="D149" s="49" t="s">
        <v>324</v>
      </c>
      <c r="E149" s="49" t="s">
        <v>299</v>
      </c>
      <c r="F149" s="92">
        <v>17927</v>
      </c>
      <c r="G149" s="49" t="s">
        <v>66</v>
      </c>
      <c r="H149" s="68">
        <v>140163</v>
      </c>
      <c r="I149" s="49" t="s">
        <v>322</v>
      </c>
      <c r="J149" s="332">
        <v>2512.7021009999999</v>
      </c>
      <c r="K149" s="169">
        <v>199.89</v>
      </c>
      <c r="L149" s="369">
        <v>0</v>
      </c>
      <c r="M149" s="370">
        <v>0.01</v>
      </c>
      <c r="N149" s="3"/>
      <c r="O149" s="81" t="s">
        <v>230</v>
      </c>
      <c r="P149" s="3"/>
      <c r="Q149" s="3"/>
      <c r="R149" s="3"/>
      <c r="S149" s="3"/>
      <c r="T149" s="3"/>
      <c r="U149" s="3"/>
      <c r="V149" s="3"/>
      <c r="W149" s="3"/>
      <c r="X149" s="3"/>
      <c r="Y149" s="3"/>
      <c r="Z149" s="3"/>
    </row>
    <row r="150" spans="1:26" ht="15.75" customHeight="1" x14ac:dyDescent="0.25">
      <c r="A150" s="3"/>
      <c r="B150" s="244"/>
      <c r="C150" s="49"/>
      <c r="D150" s="49"/>
      <c r="E150" s="361"/>
      <c r="F150" s="92"/>
      <c r="G150" s="361"/>
      <c r="H150" s="68"/>
      <c r="I150" s="361"/>
      <c r="J150" s="333"/>
      <c r="K150" s="310"/>
      <c r="L150" s="109"/>
      <c r="M150" s="311"/>
      <c r="N150" s="3"/>
      <c r="O150" s="81"/>
      <c r="P150" s="3"/>
      <c r="Q150" s="3"/>
      <c r="R150" s="3"/>
      <c r="S150" s="3"/>
      <c r="T150" s="3"/>
      <c r="U150" s="3"/>
      <c r="V150" s="3"/>
      <c r="W150" s="3"/>
      <c r="X150" s="3"/>
      <c r="Y150" s="3"/>
      <c r="Z150" s="3"/>
    </row>
    <row r="151" spans="1:26" ht="15.75" customHeight="1" x14ac:dyDescent="0.25">
      <c r="A151" s="3"/>
      <c r="B151" s="327"/>
      <c r="C151" s="113" t="s">
        <v>326</v>
      </c>
      <c r="D151" s="113" t="s">
        <v>265</v>
      </c>
      <c r="E151" s="113" t="s">
        <v>299</v>
      </c>
      <c r="F151" s="116">
        <v>36090</v>
      </c>
      <c r="G151" s="113" t="s">
        <v>66</v>
      </c>
      <c r="H151" s="118">
        <v>140085</v>
      </c>
      <c r="I151" s="113" t="s">
        <v>322</v>
      </c>
      <c r="J151" s="338">
        <v>5055.6676500000003</v>
      </c>
      <c r="K151" s="371">
        <v>396.87</v>
      </c>
      <c r="L151" s="355">
        <v>0</v>
      </c>
      <c r="M151" s="372">
        <v>0</v>
      </c>
      <c r="N151" s="3"/>
      <c r="O151" s="81" t="s">
        <v>230</v>
      </c>
      <c r="P151" s="3"/>
      <c r="Q151" s="3"/>
      <c r="R151" s="3"/>
      <c r="S151" s="3"/>
      <c r="T151" s="3"/>
      <c r="U151" s="3"/>
      <c r="V151" s="3"/>
      <c r="W151" s="3"/>
      <c r="X151" s="3"/>
      <c r="Y151" s="3"/>
      <c r="Z151" s="3"/>
    </row>
    <row r="152" spans="1:26" ht="15.75" customHeight="1" x14ac:dyDescent="0.25">
      <c r="A152" s="3"/>
      <c r="B152" s="278"/>
      <c r="C152" s="179"/>
      <c r="D152" s="179"/>
      <c r="E152" s="367"/>
      <c r="F152" s="313"/>
      <c r="G152" s="367"/>
      <c r="H152" s="313"/>
      <c r="I152" s="367"/>
      <c r="J152" s="315"/>
      <c r="K152" s="364"/>
      <c r="L152" s="316"/>
      <c r="M152" s="317"/>
      <c r="N152" s="3"/>
      <c r="O152" s="81"/>
      <c r="P152" s="3"/>
      <c r="Q152" s="3"/>
      <c r="R152" s="3"/>
      <c r="S152" s="3"/>
      <c r="T152" s="3"/>
      <c r="U152" s="3"/>
      <c r="V152" s="3"/>
      <c r="W152" s="3"/>
      <c r="X152" s="3"/>
      <c r="Y152" s="3"/>
      <c r="Z152" s="3"/>
    </row>
    <row r="153" spans="1:26" ht="15.75" customHeight="1" x14ac:dyDescent="0.25">
      <c r="A153" s="3"/>
      <c r="B153" s="297" t="s">
        <v>134</v>
      </c>
      <c r="C153" s="376" t="s">
        <v>135</v>
      </c>
      <c r="D153" s="24"/>
      <c r="E153" s="24"/>
      <c r="F153" s="38"/>
      <c r="G153" s="24"/>
      <c r="H153" s="38"/>
      <c r="I153" s="24"/>
      <c r="J153" s="298"/>
      <c r="K153" s="377"/>
      <c r="L153" s="143"/>
      <c r="M153" s="321"/>
      <c r="N153" s="3"/>
      <c r="O153" s="81"/>
      <c r="P153" s="3"/>
      <c r="Q153" s="3"/>
      <c r="R153" s="3"/>
      <c r="S153" s="3"/>
      <c r="T153" s="3"/>
      <c r="U153" s="3"/>
      <c r="V153" s="3"/>
      <c r="W153" s="3"/>
      <c r="X153" s="3"/>
      <c r="Y153" s="3"/>
      <c r="Z153" s="3"/>
    </row>
    <row r="154" spans="1:26" ht="15.75" customHeight="1" x14ac:dyDescent="0.25">
      <c r="A154" s="3"/>
      <c r="B154" s="244"/>
      <c r="C154" s="50" t="s">
        <v>136</v>
      </c>
      <c r="D154" s="155" t="s">
        <v>137</v>
      </c>
      <c r="E154" s="50" t="s">
        <v>299</v>
      </c>
      <c r="F154" s="52">
        <v>262249</v>
      </c>
      <c r="G154" s="50" t="s">
        <v>66</v>
      </c>
      <c r="H154" s="55">
        <v>139181</v>
      </c>
      <c r="I154" s="50" t="s">
        <v>67</v>
      </c>
      <c r="J154" s="322">
        <v>36500.078069000003</v>
      </c>
      <c r="K154" s="168">
        <v>3558.102273556568</v>
      </c>
      <c r="L154" s="169">
        <v>2.6014907621387723E-2</v>
      </c>
      <c r="M154" s="326">
        <v>5.5498469592293813E-2</v>
      </c>
      <c r="N154" s="3"/>
      <c r="O154" s="81" t="s">
        <v>230</v>
      </c>
      <c r="P154" s="3"/>
      <c r="Q154" s="3"/>
      <c r="R154" s="3"/>
      <c r="S154" s="3"/>
      <c r="T154" s="3"/>
      <c r="U154" s="3"/>
      <c r="V154" s="3"/>
      <c r="W154" s="3"/>
      <c r="X154" s="3"/>
      <c r="Y154" s="3"/>
      <c r="Z154" s="3"/>
    </row>
    <row r="155" spans="1:26" ht="15.75" customHeight="1" x14ac:dyDescent="0.25">
      <c r="A155" s="3"/>
      <c r="B155" s="244"/>
      <c r="C155" s="49"/>
      <c r="D155" s="154"/>
      <c r="E155" s="49"/>
      <c r="F155" s="92"/>
      <c r="G155" s="49"/>
      <c r="H155" s="68"/>
      <c r="I155" s="49"/>
      <c r="J155" s="332"/>
      <c r="K155" s="52"/>
      <c r="L155" s="107"/>
      <c r="M155" s="325"/>
      <c r="N155" s="3"/>
      <c r="O155" s="81"/>
      <c r="P155" s="3"/>
      <c r="Q155" s="3"/>
      <c r="R155" s="3"/>
      <c r="S155" s="3"/>
      <c r="T155" s="3"/>
      <c r="U155" s="3"/>
      <c r="V155" s="3"/>
      <c r="W155" s="3"/>
      <c r="X155" s="3"/>
      <c r="Y155" s="3"/>
      <c r="Z155" s="3"/>
    </row>
    <row r="156" spans="1:26" ht="15.75" customHeight="1" x14ac:dyDescent="0.25">
      <c r="A156" s="3"/>
      <c r="B156" s="244"/>
      <c r="C156" s="50" t="s">
        <v>141</v>
      </c>
      <c r="D156" s="155" t="s">
        <v>142</v>
      </c>
      <c r="E156" s="50" t="s">
        <v>299</v>
      </c>
      <c r="F156" s="52">
        <v>280645</v>
      </c>
      <c r="G156" s="50" t="s">
        <v>66</v>
      </c>
      <c r="H156" s="55">
        <v>139181</v>
      </c>
      <c r="I156" s="50" t="s">
        <v>67</v>
      </c>
      <c r="J156" s="322">
        <v>39060.451744999998</v>
      </c>
      <c r="K156" s="168">
        <v>3978.0954684942749</v>
      </c>
      <c r="L156" s="169">
        <v>2.9058403714348247E-2</v>
      </c>
      <c r="M156" s="326">
        <v>6.2213814740902249E-2</v>
      </c>
      <c r="N156" s="3"/>
      <c r="O156" s="81" t="s">
        <v>230</v>
      </c>
      <c r="P156" s="3"/>
      <c r="Q156" s="3"/>
      <c r="R156" s="3"/>
      <c r="S156" s="3"/>
      <c r="T156" s="3"/>
      <c r="U156" s="3"/>
      <c r="V156" s="3"/>
      <c r="W156" s="3"/>
      <c r="X156" s="3"/>
      <c r="Y156" s="3"/>
      <c r="Z156" s="3"/>
    </row>
    <row r="157" spans="1:26" ht="15.75" customHeight="1" x14ac:dyDescent="0.25">
      <c r="A157" s="3"/>
      <c r="B157" s="244"/>
      <c r="C157" s="49"/>
      <c r="D157" s="154"/>
      <c r="E157" s="49"/>
      <c r="F157" s="92"/>
      <c r="G157" s="49"/>
      <c r="H157" s="68"/>
      <c r="I157" s="49"/>
      <c r="J157" s="332"/>
      <c r="K157" s="168"/>
      <c r="L157" s="107"/>
      <c r="M157" s="325"/>
      <c r="N157" s="3"/>
      <c r="O157" s="81"/>
      <c r="P157" s="3"/>
      <c r="Q157" s="3"/>
      <c r="R157" s="3"/>
      <c r="S157" s="3"/>
      <c r="T157" s="3"/>
      <c r="U157" s="3"/>
      <c r="V157" s="3"/>
      <c r="W157" s="3"/>
      <c r="X157" s="3"/>
      <c r="Y157" s="3"/>
      <c r="Z157" s="3"/>
    </row>
    <row r="158" spans="1:26" ht="15.75" customHeight="1" x14ac:dyDescent="0.25">
      <c r="A158" s="3"/>
      <c r="B158" s="244"/>
      <c r="C158" s="50" t="s">
        <v>146</v>
      </c>
      <c r="D158" s="155" t="s">
        <v>147</v>
      </c>
      <c r="E158" s="50" t="s">
        <v>299</v>
      </c>
      <c r="F158" s="52">
        <v>258523</v>
      </c>
      <c r="G158" s="50" t="s">
        <v>66</v>
      </c>
      <c r="H158" s="55">
        <v>139181</v>
      </c>
      <c r="I158" s="50" t="s">
        <v>67</v>
      </c>
      <c r="J158" s="322">
        <v>35981.489663</v>
      </c>
      <c r="K158" s="168">
        <v>3624.5012122397807</v>
      </c>
      <c r="L158" s="169">
        <v>2.6494635039959927E-2</v>
      </c>
      <c r="M158" s="326">
        <v>5.6222037220074114E-2</v>
      </c>
      <c r="N158" s="3"/>
      <c r="O158" s="81" t="s">
        <v>230</v>
      </c>
      <c r="P158" s="3"/>
      <c r="Q158" s="3"/>
      <c r="R158" s="3"/>
      <c r="S158" s="3"/>
      <c r="T158" s="3"/>
      <c r="U158" s="3"/>
      <c r="V158" s="3"/>
      <c r="W158" s="3"/>
      <c r="X158" s="3"/>
      <c r="Y158" s="3"/>
      <c r="Z158" s="3"/>
    </row>
    <row r="159" spans="1:26" ht="15.75" customHeight="1" x14ac:dyDescent="0.25">
      <c r="A159" s="3"/>
      <c r="B159" s="244"/>
      <c r="C159" s="49"/>
      <c r="D159" s="49"/>
      <c r="E159" s="49"/>
      <c r="F159" s="92"/>
      <c r="G159" s="49"/>
      <c r="H159" s="68"/>
      <c r="I159" s="49"/>
      <c r="J159" s="332"/>
      <c r="K159" s="168"/>
      <c r="L159" s="107"/>
      <c r="M159" s="325"/>
      <c r="N159" s="3"/>
      <c r="O159" s="81"/>
      <c r="P159" s="3"/>
      <c r="Q159" s="3"/>
      <c r="R159" s="3"/>
      <c r="S159" s="3"/>
      <c r="T159" s="3"/>
      <c r="U159" s="3"/>
      <c r="V159" s="3"/>
      <c r="W159" s="3"/>
      <c r="X159" s="3"/>
      <c r="Y159" s="3"/>
      <c r="Z159" s="3"/>
    </row>
    <row r="160" spans="1:26" ht="15.75" customHeight="1" x14ac:dyDescent="0.25">
      <c r="A160" s="3"/>
      <c r="B160" s="244"/>
      <c r="C160" s="49" t="s">
        <v>341</v>
      </c>
      <c r="D160" s="154" t="s">
        <v>342</v>
      </c>
      <c r="E160" s="49" t="s">
        <v>104</v>
      </c>
      <c r="F160" s="92">
        <v>25757</v>
      </c>
      <c r="G160" s="49" t="s">
        <v>66</v>
      </c>
      <c r="H160" s="68">
        <v>139181</v>
      </c>
      <c r="I160" s="49" t="s">
        <v>67</v>
      </c>
      <c r="J160" s="353">
        <v>3584.8850170000001</v>
      </c>
      <c r="K160" s="168">
        <v>293</v>
      </c>
      <c r="L160" s="296">
        <v>6.9999999999999999E-4</v>
      </c>
      <c r="M160" s="305">
        <v>0.01</v>
      </c>
      <c r="N160" s="3"/>
      <c r="O160" s="81" t="s">
        <v>230</v>
      </c>
      <c r="P160" s="3"/>
      <c r="Q160" s="3"/>
      <c r="R160" s="3"/>
      <c r="S160" s="3"/>
      <c r="T160" s="3"/>
      <c r="U160" s="3"/>
      <c r="V160" s="3"/>
      <c r="W160" s="3"/>
      <c r="X160" s="3"/>
      <c r="Y160" s="3"/>
      <c r="Z160" s="3"/>
    </row>
    <row r="161" spans="1:26" ht="15.75" customHeight="1" x14ac:dyDescent="0.25">
      <c r="A161" s="3"/>
      <c r="B161" s="327"/>
      <c r="C161" s="113"/>
      <c r="D161" s="171"/>
      <c r="E161" s="113"/>
      <c r="F161" s="116"/>
      <c r="G161" s="113"/>
      <c r="H161" s="118"/>
      <c r="I161" s="113"/>
      <c r="J161" s="328"/>
      <c r="K161" s="350"/>
      <c r="L161" s="122"/>
      <c r="M161" s="330"/>
      <c r="N161" s="3"/>
      <c r="O161" s="81"/>
      <c r="P161" s="3"/>
      <c r="Q161" s="3"/>
      <c r="R161" s="3"/>
      <c r="S161" s="3"/>
      <c r="T161" s="3"/>
      <c r="U161" s="3"/>
      <c r="V161" s="3"/>
      <c r="W161" s="3"/>
      <c r="X161" s="3"/>
      <c r="Y161" s="3"/>
      <c r="Z161" s="3"/>
    </row>
    <row r="162" spans="1:26" ht="15.75" customHeight="1" x14ac:dyDescent="0.25">
      <c r="A162" s="3"/>
      <c r="B162" s="278"/>
      <c r="C162" s="179"/>
      <c r="D162" s="378"/>
      <c r="E162" s="179"/>
      <c r="F162" s="362"/>
      <c r="G162" s="179"/>
      <c r="H162" s="313"/>
      <c r="I162" s="179"/>
      <c r="J162" s="379"/>
      <c r="K162" s="294"/>
      <c r="L162" s="316"/>
      <c r="M162" s="317"/>
      <c r="N162" s="3"/>
      <c r="O162" s="81"/>
      <c r="P162" s="3"/>
      <c r="Q162" s="3"/>
      <c r="R162" s="3"/>
      <c r="S162" s="3"/>
      <c r="T162" s="3"/>
      <c r="U162" s="3"/>
      <c r="V162" s="3"/>
      <c r="W162" s="3"/>
      <c r="X162" s="3"/>
      <c r="Y162" s="3"/>
      <c r="Z162" s="3"/>
    </row>
    <row r="163" spans="1:26" ht="15.75" customHeight="1" x14ac:dyDescent="0.25">
      <c r="A163" s="3"/>
      <c r="B163" s="297" t="s">
        <v>344</v>
      </c>
      <c r="C163" s="376" t="s">
        <v>345</v>
      </c>
      <c r="D163" s="42"/>
      <c r="E163" s="24"/>
      <c r="F163" s="44"/>
      <c r="G163" s="24"/>
      <c r="H163" s="38"/>
      <c r="I163" s="24"/>
      <c r="J163" s="380"/>
      <c r="K163" s="300"/>
      <c r="L163" s="143"/>
      <c r="M163" s="321"/>
      <c r="N163" s="3"/>
      <c r="O163" s="81"/>
      <c r="P163" s="3"/>
      <c r="Q163" s="3"/>
      <c r="R163" s="3"/>
      <c r="S163" s="3"/>
      <c r="T163" s="3"/>
      <c r="U163" s="3"/>
      <c r="V163" s="3"/>
      <c r="W163" s="3"/>
      <c r="X163" s="3"/>
      <c r="Y163" s="3"/>
      <c r="Z163" s="3"/>
    </row>
    <row r="164" spans="1:26" ht="15.75" customHeight="1" x14ac:dyDescent="0.25">
      <c r="A164" s="3"/>
      <c r="B164" s="244"/>
      <c r="C164" s="50" t="s">
        <v>347</v>
      </c>
      <c r="D164" s="155" t="s">
        <v>348</v>
      </c>
      <c r="E164" s="50" t="s">
        <v>104</v>
      </c>
      <c r="F164" s="52">
        <v>128653</v>
      </c>
      <c r="G164" s="50" t="s">
        <v>66</v>
      </c>
      <c r="H164" s="55">
        <v>139181</v>
      </c>
      <c r="I164" s="50" t="s">
        <v>67</v>
      </c>
      <c r="J164" s="322">
        <v>17906.053193</v>
      </c>
      <c r="K164" s="168">
        <v>885.01950770852966</v>
      </c>
      <c r="L164" s="169">
        <v>7.2305515335664192E-2</v>
      </c>
      <c r="M164" s="326">
        <v>3.0988078000998939E-2</v>
      </c>
      <c r="N164" s="3"/>
      <c r="O164" s="81" t="s">
        <v>230</v>
      </c>
      <c r="P164" s="3"/>
      <c r="Q164" s="3"/>
      <c r="R164" s="3"/>
      <c r="S164" s="3"/>
      <c r="T164" s="3"/>
      <c r="U164" s="3"/>
      <c r="V164" s="3"/>
      <c r="W164" s="3"/>
      <c r="X164" s="3"/>
      <c r="Y164" s="3"/>
      <c r="Z164" s="3"/>
    </row>
    <row r="165" spans="1:26" ht="15.75" customHeight="1" x14ac:dyDescent="0.25">
      <c r="A165" s="3"/>
      <c r="B165" s="244"/>
      <c r="C165" s="49"/>
      <c r="D165" s="154"/>
      <c r="E165" s="49"/>
      <c r="F165" s="92"/>
      <c r="G165" s="49"/>
      <c r="H165" s="68"/>
      <c r="I165" s="49"/>
      <c r="J165" s="324"/>
      <c r="K165" s="52"/>
      <c r="L165" s="107"/>
      <c r="M165" s="325"/>
      <c r="N165" s="3"/>
      <c r="O165" s="81"/>
      <c r="P165" s="3"/>
      <c r="Q165" s="3"/>
      <c r="R165" s="3"/>
      <c r="S165" s="3"/>
      <c r="T165" s="3"/>
      <c r="U165" s="3"/>
      <c r="V165" s="3"/>
      <c r="W165" s="3"/>
      <c r="X165" s="3"/>
      <c r="Y165" s="3"/>
      <c r="Z165" s="3"/>
    </row>
    <row r="166" spans="1:26" ht="15.75" customHeight="1" x14ac:dyDescent="0.25">
      <c r="A166" s="3"/>
      <c r="B166" s="257"/>
      <c r="C166" s="50" t="s">
        <v>350</v>
      </c>
      <c r="D166" s="155" t="s">
        <v>352</v>
      </c>
      <c r="E166" s="50" t="s">
        <v>104</v>
      </c>
      <c r="F166" s="52">
        <v>117793</v>
      </c>
      <c r="G166" s="50" t="s">
        <v>66</v>
      </c>
      <c r="H166" s="55">
        <v>139181</v>
      </c>
      <c r="I166" s="50" t="s">
        <v>67</v>
      </c>
      <c r="J166" s="322">
        <v>16394.547533000001</v>
      </c>
      <c r="K166" s="168">
        <v>779.24991399101225</v>
      </c>
      <c r="L166" s="169">
        <v>6.4247427866609669E-2</v>
      </c>
      <c r="M166" s="326">
        <v>2.855441238515985E-2</v>
      </c>
      <c r="N166" s="3"/>
      <c r="O166" s="81" t="s">
        <v>230</v>
      </c>
      <c r="P166" s="3"/>
      <c r="Q166" s="3"/>
      <c r="R166" s="3"/>
      <c r="S166" s="3"/>
      <c r="T166" s="3"/>
      <c r="U166" s="3"/>
      <c r="V166" s="3"/>
      <c r="W166" s="3"/>
      <c r="X166" s="3"/>
      <c r="Y166" s="3"/>
      <c r="Z166" s="3"/>
    </row>
    <row r="167" spans="1:26" ht="15.75" customHeight="1" x14ac:dyDescent="0.25">
      <c r="A167" s="3"/>
      <c r="B167" s="381"/>
      <c r="C167" s="292"/>
      <c r="D167" s="292"/>
      <c r="E167" s="292"/>
      <c r="F167" s="382"/>
      <c r="G167" s="292"/>
      <c r="H167" s="383"/>
      <c r="I167" s="292"/>
      <c r="J167" s="384"/>
      <c r="K167" s="385"/>
      <c r="L167" s="386"/>
      <c r="M167" s="387"/>
      <c r="N167" s="3"/>
      <c r="O167" s="81"/>
      <c r="P167" s="3"/>
      <c r="Q167" s="3"/>
      <c r="R167" s="3"/>
      <c r="S167" s="3"/>
      <c r="T167" s="3"/>
      <c r="U167" s="3"/>
      <c r="V167" s="3"/>
      <c r="W167" s="3"/>
      <c r="X167" s="3"/>
      <c r="Y167" s="3"/>
      <c r="Z167" s="3"/>
    </row>
    <row r="168" spans="1:26" ht="15.75" customHeight="1" x14ac:dyDescent="0.25">
      <c r="A168" s="3"/>
      <c r="B168" s="297" t="s">
        <v>148</v>
      </c>
      <c r="C168" s="376" t="s">
        <v>150</v>
      </c>
      <c r="D168" s="24"/>
      <c r="E168" s="24"/>
      <c r="F168" s="44"/>
      <c r="G168" s="24"/>
      <c r="H168" s="38"/>
      <c r="I168" s="24"/>
      <c r="J168" s="298"/>
      <c r="K168" s="300"/>
      <c r="L168" s="143"/>
      <c r="M168" s="321"/>
      <c r="N168" s="3"/>
      <c r="O168" s="81"/>
      <c r="P168" s="3"/>
      <c r="Q168" s="3"/>
      <c r="R168" s="3"/>
      <c r="S168" s="3"/>
      <c r="T168" s="3"/>
      <c r="U168" s="3"/>
      <c r="V168" s="3"/>
      <c r="W168" s="3"/>
      <c r="X168" s="3"/>
      <c r="Y168" s="3"/>
      <c r="Z168" s="3"/>
    </row>
    <row r="169" spans="1:26" ht="15.75" customHeight="1" x14ac:dyDescent="0.25">
      <c r="A169" s="3"/>
      <c r="B169" s="244"/>
      <c r="C169" s="50" t="s">
        <v>151</v>
      </c>
      <c r="D169" s="155">
        <v>1</v>
      </c>
      <c r="E169" s="50" t="s">
        <v>299</v>
      </c>
      <c r="F169" s="52">
        <v>560730</v>
      </c>
      <c r="G169" s="50" t="s">
        <v>66</v>
      </c>
      <c r="H169" s="55">
        <v>140057</v>
      </c>
      <c r="I169" s="50" t="s">
        <v>355</v>
      </c>
      <c r="J169" s="322">
        <v>78534.161609999996</v>
      </c>
      <c r="K169" s="169">
        <v>8915.9397047808707</v>
      </c>
      <c r="L169" s="169">
        <v>6.5169473700270111E-2</v>
      </c>
      <c r="M169" s="326">
        <v>0.13902821056057624</v>
      </c>
      <c r="N169" s="3"/>
      <c r="O169" s="81" t="s">
        <v>230</v>
      </c>
      <c r="P169" s="3"/>
      <c r="Q169" s="3"/>
      <c r="R169" s="3"/>
      <c r="S169" s="3"/>
      <c r="T169" s="3"/>
      <c r="U169" s="3"/>
      <c r="V169" s="3"/>
      <c r="W169" s="3"/>
      <c r="X169" s="3"/>
      <c r="Y169" s="3"/>
      <c r="Z169" s="3"/>
    </row>
    <row r="170" spans="1:26" ht="15.75" customHeight="1" x14ac:dyDescent="0.25">
      <c r="A170" s="3"/>
      <c r="B170" s="244"/>
      <c r="C170" s="49"/>
      <c r="D170" s="154"/>
      <c r="E170" s="49"/>
      <c r="F170" s="92"/>
      <c r="G170" s="49"/>
      <c r="H170" s="68"/>
      <c r="I170" s="49"/>
      <c r="J170" s="324"/>
      <c r="K170" s="52"/>
      <c r="L170" s="107"/>
      <c r="M170" s="325"/>
      <c r="N170" s="3"/>
      <c r="O170" s="81"/>
      <c r="P170" s="3"/>
      <c r="Q170" s="3"/>
      <c r="R170" s="3"/>
      <c r="S170" s="3"/>
      <c r="T170" s="3"/>
      <c r="U170" s="3"/>
      <c r="V170" s="3"/>
      <c r="W170" s="3"/>
      <c r="X170" s="3"/>
      <c r="Y170" s="3"/>
      <c r="Z170" s="3"/>
    </row>
    <row r="171" spans="1:26" ht="15.75" customHeight="1" x14ac:dyDescent="0.25">
      <c r="A171" s="3"/>
      <c r="B171" s="244"/>
      <c r="C171" s="49"/>
      <c r="D171" s="154"/>
      <c r="E171" s="49"/>
      <c r="F171" s="92"/>
      <c r="G171" s="49"/>
      <c r="H171" s="68"/>
      <c r="I171" s="49"/>
      <c r="J171" s="333"/>
      <c r="K171" s="52"/>
      <c r="L171" s="107"/>
      <c r="M171" s="325"/>
      <c r="N171" s="3"/>
      <c r="O171" s="81"/>
      <c r="P171" s="3"/>
      <c r="Q171" s="3"/>
      <c r="R171" s="3"/>
      <c r="S171" s="3"/>
      <c r="T171" s="3"/>
      <c r="U171" s="3"/>
      <c r="V171" s="3"/>
      <c r="W171" s="3"/>
      <c r="X171" s="3"/>
      <c r="Y171" s="3"/>
      <c r="Z171" s="3"/>
    </row>
    <row r="172" spans="1:26" ht="15.75" customHeight="1" x14ac:dyDescent="0.25">
      <c r="A172" s="3"/>
      <c r="B172" s="244"/>
      <c r="C172" s="50" t="s">
        <v>152</v>
      </c>
      <c r="D172" s="155">
        <v>2</v>
      </c>
      <c r="E172" s="50" t="s">
        <v>299</v>
      </c>
      <c r="F172" s="52">
        <v>330721</v>
      </c>
      <c r="G172" s="50" t="s">
        <v>66</v>
      </c>
      <c r="H172" s="55">
        <v>140092</v>
      </c>
      <c r="I172" s="50" t="s">
        <v>355</v>
      </c>
      <c r="J172" s="322">
        <v>46331.366331999998</v>
      </c>
      <c r="K172" s="168">
        <v>4688.4930230757882</v>
      </c>
      <c r="L172" s="168">
        <v>3.6331536153834797E-2</v>
      </c>
      <c r="M172" s="388">
        <v>7.749779727530319E-2</v>
      </c>
      <c r="N172" s="3"/>
      <c r="O172" s="81" t="s">
        <v>230</v>
      </c>
      <c r="P172" s="3"/>
      <c r="Q172" s="3"/>
      <c r="R172" s="3"/>
      <c r="S172" s="3"/>
      <c r="T172" s="3"/>
      <c r="U172" s="3"/>
      <c r="V172" s="3"/>
      <c r="W172" s="3"/>
      <c r="X172" s="3"/>
      <c r="Y172" s="3"/>
      <c r="Z172" s="3"/>
    </row>
    <row r="173" spans="1:26" ht="15.75" customHeight="1" x14ac:dyDescent="0.25">
      <c r="A173" s="3"/>
      <c r="B173" s="244"/>
      <c r="C173" s="49"/>
      <c r="D173" s="154"/>
      <c r="E173" s="49"/>
      <c r="F173" s="92"/>
      <c r="G173" s="49"/>
      <c r="H173" s="68"/>
      <c r="I173" s="49"/>
      <c r="J173" s="324"/>
      <c r="K173" s="52"/>
      <c r="L173" s="107"/>
      <c r="M173" s="325"/>
      <c r="N173" s="3"/>
      <c r="O173" s="81"/>
      <c r="P173" s="3"/>
      <c r="Q173" s="3"/>
      <c r="R173" s="3"/>
      <c r="S173" s="3"/>
      <c r="T173" s="3"/>
      <c r="U173" s="3"/>
      <c r="V173" s="3"/>
      <c r="W173" s="3"/>
      <c r="X173" s="3"/>
      <c r="Y173" s="3"/>
      <c r="Z173" s="3"/>
    </row>
    <row r="174" spans="1:26" ht="15.75" customHeight="1" x14ac:dyDescent="0.25">
      <c r="A174" s="3"/>
      <c r="B174" s="244"/>
      <c r="C174" s="49"/>
      <c r="D174" s="154"/>
      <c r="E174" s="49"/>
      <c r="F174" s="92"/>
      <c r="G174" s="49"/>
      <c r="H174" s="68"/>
      <c r="I174" s="49"/>
      <c r="J174" s="324"/>
      <c r="K174" s="52"/>
      <c r="L174" s="107"/>
      <c r="M174" s="325"/>
      <c r="N174" s="3"/>
      <c r="O174" s="81"/>
      <c r="P174" s="3"/>
      <c r="Q174" s="3"/>
      <c r="R174" s="3"/>
      <c r="S174" s="3"/>
      <c r="T174" s="3"/>
      <c r="U174" s="3"/>
      <c r="V174" s="3"/>
      <c r="W174" s="3"/>
      <c r="X174" s="3"/>
      <c r="Y174" s="3"/>
      <c r="Z174" s="3"/>
    </row>
    <row r="175" spans="1:26" ht="15.75" customHeight="1" x14ac:dyDescent="0.25">
      <c r="A175" s="3"/>
      <c r="B175" s="244"/>
      <c r="C175" s="49" t="s">
        <v>360</v>
      </c>
      <c r="D175" s="154" t="s">
        <v>361</v>
      </c>
      <c r="E175" s="49" t="s">
        <v>104</v>
      </c>
      <c r="F175" s="92">
        <v>469111</v>
      </c>
      <c r="G175" s="49" t="s">
        <v>66</v>
      </c>
      <c r="H175" s="68">
        <v>140162</v>
      </c>
      <c r="I175" s="49" t="s">
        <v>355</v>
      </c>
      <c r="J175" s="324">
        <v>65751.535982000001</v>
      </c>
      <c r="K175" s="52">
        <v>5372</v>
      </c>
      <c r="L175" s="153">
        <v>1.2999999999999999E-2</v>
      </c>
      <c r="M175" s="325">
        <v>0.3</v>
      </c>
      <c r="N175" s="3"/>
      <c r="O175" s="81" t="s">
        <v>230</v>
      </c>
      <c r="P175" s="3"/>
      <c r="Q175" s="3"/>
      <c r="R175" s="3"/>
      <c r="S175" s="3"/>
      <c r="T175" s="3"/>
      <c r="U175" s="3"/>
      <c r="V175" s="3"/>
      <c r="W175" s="3"/>
      <c r="X175" s="3"/>
      <c r="Y175" s="3"/>
      <c r="Z175" s="3"/>
    </row>
    <row r="176" spans="1:26" ht="15.75" customHeight="1" x14ac:dyDescent="0.25">
      <c r="A176" s="3"/>
      <c r="B176" s="244"/>
      <c r="C176" s="49" t="s">
        <v>363</v>
      </c>
      <c r="D176" s="154" t="s">
        <v>364</v>
      </c>
      <c r="E176" s="49" t="s">
        <v>104</v>
      </c>
      <c r="F176" s="92">
        <v>6581</v>
      </c>
      <c r="G176" s="49" t="s">
        <v>66</v>
      </c>
      <c r="H176" s="68">
        <v>140162</v>
      </c>
      <c r="I176" s="49" t="s">
        <v>355</v>
      </c>
      <c r="J176" s="324">
        <v>922.40612199999998</v>
      </c>
      <c r="K176" s="52">
        <v>75</v>
      </c>
      <c r="L176" s="299">
        <v>2.0000000000000001E-4</v>
      </c>
      <c r="M176" s="390">
        <v>4.0000000000000001E-3</v>
      </c>
      <c r="N176" s="3"/>
      <c r="O176" s="81" t="s">
        <v>230</v>
      </c>
      <c r="P176" s="3"/>
      <c r="Q176" s="3"/>
      <c r="R176" s="3"/>
      <c r="S176" s="3"/>
      <c r="T176" s="3"/>
      <c r="U176" s="3"/>
      <c r="V176" s="3"/>
      <c r="W176" s="3"/>
      <c r="X176" s="3"/>
      <c r="Y176" s="3"/>
      <c r="Z176" s="3"/>
    </row>
    <row r="177" spans="1:26" ht="15.75" customHeight="1" x14ac:dyDescent="0.25">
      <c r="A177" s="3"/>
      <c r="B177" s="244"/>
      <c r="C177" s="49" t="s">
        <v>365</v>
      </c>
      <c r="D177" s="154" t="s">
        <v>348</v>
      </c>
      <c r="E177" s="49" t="s">
        <v>104</v>
      </c>
      <c r="F177" s="92">
        <v>119770</v>
      </c>
      <c r="G177" s="49" t="s">
        <v>66</v>
      </c>
      <c r="H177" s="68">
        <v>140156</v>
      </c>
      <c r="I177" s="49" t="s">
        <v>355</v>
      </c>
      <c r="J177" s="324">
        <v>16786.484120000001</v>
      </c>
      <c r="K177" s="52">
        <v>1371</v>
      </c>
      <c r="L177" s="107">
        <v>7.0000000000000007E-2</v>
      </c>
      <c r="M177" s="325">
        <v>7.0000000000000007E-2</v>
      </c>
      <c r="N177" s="3"/>
      <c r="O177" s="81" t="s">
        <v>230</v>
      </c>
      <c r="P177" s="3"/>
      <c r="Q177" s="3"/>
      <c r="R177" s="3"/>
      <c r="S177" s="3"/>
      <c r="T177" s="3"/>
      <c r="U177" s="3"/>
      <c r="V177" s="3"/>
      <c r="W177" s="3"/>
      <c r="X177" s="3"/>
      <c r="Y177" s="3"/>
      <c r="Z177" s="3"/>
    </row>
    <row r="178" spans="1:26" ht="15.75" customHeight="1" x14ac:dyDescent="0.25">
      <c r="A178" s="3"/>
      <c r="B178" s="244"/>
      <c r="C178" s="49" t="s">
        <v>370</v>
      </c>
      <c r="D178" s="154" t="s">
        <v>352</v>
      </c>
      <c r="E178" s="49" t="s">
        <v>104</v>
      </c>
      <c r="F178" s="92">
        <v>115848</v>
      </c>
      <c r="G178" s="49" t="s">
        <v>66</v>
      </c>
      <c r="H178" s="68">
        <v>140162</v>
      </c>
      <c r="I178" s="49" t="s">
        <v>355</v>
      </c>
      <c r="J178" s="324">
        <v>16237.487375999999</v>
      </c>
      <c r="K178" s="52">
        <v>1327</v>
      </c>
      <c r="L178" s="107">
        <v>7.0000000000000007E-2</v>
      </c>
      <c r="M178" s="325">
        <v>7.0000000000000007E-2</v>
      </c>
      <c r="N178" s="3"/>
      <c r="O178" s="81" t="s">
        <v>230</v>
      </c>
      <c r="P178" s="3"/>
      <c r="Q178" s="3"/>
      <c r="R178" s="3"/>
      <c r="S178" s="3"/>
      <c r="T178" s="3"/>
      <c r="U178" s="3"/>
      <c r="V178" s="3"/>
      <c r="W178" s="3"/>
      <c r="X178" s="3"/>
      <c r="Y178" s="3"/>
      <c r="Z178" s="3"/>
    </row>
    <row r="179" spans="1:26" ht="15.75" customHeight="1" x14ac:dyDescent="0.25">
      <c r="A179" s="3"/>
      <c r="B179" s="244"/>
      <c r="C179" s="49" t="s">
        <v>371</v>
      </c>
      <c r="D179" s="154" t="s">
        <v>372</v>
      </c>
      <c r="E179" s="49" t="s">
        <v>373</v>
      </c>
      <c r="F179" s="92">
        <v>294735</v>
      </c>
      <c r="G179" s="49" t="s">
        <v>66</v>
      </c>
      <c r="H179" s="68">
        <v>140152</v>
      </c>
      <c r="I179" s="49" t="s">
        <v>355</v>
      </c>
      <c r="J179" s="324">
        <v>41307.699719999997</v>
      </c>
      <c r="K179" s="52">
        <v>3750</v>
      </c>
      <c r="L179" s="107">
        <v>0.2</v>
      </c>
      <c r="M179" s="325">
        <v>0.2</v>
      </c>
      <c r="N179" s="3"/>
      <c r="O179" s="81" t="s">
        <v>230</v>
      </c>
      <c r="P179" s="3"/>
      <c r="Q179" s="3"/>
      <c r="R179" s="3"/>
      <c r="S179" s="3"/>
      <c r="T179" s="3"/>
      <c r="U179" s="3"/>
      <c r="V179" s="3"/>
      <c r="W179" s="3"/>
      <c r="X179" s="3"/>
      <c r="Y179" s="3"/>
      <c r="Z179" s="3"/>
    </row>
    <row r="180" spans="1:26" ht="15.75" customHeight="1" x14ac:dyDescent="0.25">
      <c r="A180" s="3"/>
      <c r="B180" s="244"/>
      <c r="C180" s="49" t="s">
        <v>374</v>
      </c>
      <c r="D180" s="154" t="s">
        <v>375</v>
      </c>
      <c r="E180" s="49" t="s">
        <v>373</v>
      </c>
      <c r="F180" s="92">
        <v>391937</v>
      </c>
      <c r="G180" s="49" t="s">
        <v>66</v>
      </c>
      <c r="H180" s="68">
        <v>140164</v>
      </c>
      <c r="I180" s="49" t="s">
        <v>355</v>
      </c>
      <c r="J180" s="324">
        <v>54935.457668000003</v>
      </c>
      <c r="K180" s="52">
        <v>4565</v>
      </c>
      <c r="L180" s="107">
        <v>0.2</v>
      </c>
      <c r="M180" s="325">
        <v>0.2</v>
      </c>
      <c r="N180" s="3"/>
      <c r="O180" s="81" t="s">
        <v>230</v>
      </c>
      <c r="P180" s="3"/>
      <c r="Q180" s="3"/>
      <c r="R180" s="3"/>
      <c r="S180" s="3"/>
      <c r="T180" s="3"/>
      <c r="U180" s="3"/>
      <c r="V180" s="3"/>
      <c r="W180" s="3"/>
      <c r="X180" s="3"/>
      <c r="Y180" s="3"/>
      <c r="Z180" s="3"/>
    </row>
    <row r="181" spans="1:26" ht="15.75" customHeight="1" x14ac:dyDescent="0.25">
      <c r="A181" s="3"/>
      <c r="B181" s="244"/>
      <c r="C181" s="49" t="s">
        <v>379</v>
      </c>
      <c r="D181" s="154" t="s">
        <v>380</v>
      </c>
      <c r="E181" s="49" t="s">
        <v>373</v>
      </c>
      <c r="F181" s="92">
        <v>259626</v>
      </c>
      <c r="G181" s="49" t="s">
        <v>66</v>
      </c>
      <c r="H181" s="68">
        <v>140154</v>
      </c>
      <c r="I181" s="49" t="s">
        <v>355</v>
      </c>
      <c r="J181" s="324">
        <v>36387.622404000002</v>
      </c>
      <c r="K181" s="52">
        <v>2926</v>
      </c>
      <c r="L181" s="107">
        <v>0.2</v>
      </c>
      <c r="M181" s="325">
        <v>0.1</v>
      </c>
      <c r="N181" s="3"/>
      <c r="O181" s="81" t="s">
        <v>230</v>
      </c>
      <c r="P181" s="3"/>
      <c r="Q181" s="3"/>
      <c r="R181" s="3"/>
      <c r="S181" s="3"/>
      <c r="T181" s="3"/>
      <c r="U181" s="3"/>
      <c r="V181" s="3"/>
      <c r="W181" s="3"/>
      <c r="X181" s="3"/>
      <c r="Y181" s="3"/>
      <c r="Z181" s="3"/>
    </row>
    <row r="182" spans="1:26" ht="15.75" customHeight="1" x14ac:dyDescent="0.25">
      <c r="A182" s="3"/>
      <c r="B182" s="244"/>
      <c r="C182" s="49" t="s">
        <v>382</v>
      </c>
      <c r="D182" s="154" t="s">
        <v>383</v>
      </c>
      <c r="E182" s="49" t="s">
        <v>373</v>
      </c>
      <c r="F182" s="92">
        <v>286912</v>
      </c>
      <c r="G182" s="49" t="s">
        <v>66</v>
      </c>
      <c r="H182" s="68">
        <v>140145</v>
      </c>
      <c r="I182" s="49" t="s">
        <v>355</v>
      </c>
      <c r="J182" s="324">
        <v>40209.28224</v>
      </c>
      <c r="K182" s="52">
        <v>3170</v>
      </c>
      <c r="L182" s="107">
        <v>0.2</v>
      </c>
      <c r="M182" s="325">
        <v>0.2</v>
      </c>
      <c r="N182" s="3"/>
      <c r="O182" s="81" t="s">
        <v>230</v>
      </c>
      <c r="P182" s="3"/>
      <c r="Q182" s="3"/>
      <c r="R182" s="3"/>
      <c r="S182" s="3"/>
      <c r="T182" s="3"/>
      <c r="U182" s="3"/>
      <c r="V182" s="3"/>
      <c r="W182" s="3"/>
      <c r="X182" s="3"/>
      <c r="Y182" s="3"/>
      <c r="Z182" s="3"/>
    </row>
    <row r="183" spans="1:26" ht="15.75" customHeight="1" x14ac:dyDescent="0.25">
      <c r="A183" s="3"/>
      <c r="B183" s="327"/>
      <c r="C183" s="113"/>
      <c r="D183" s="113"/>
      <c r="E183" s="113"/>
      <c r="F183" s="116"/>
      <c r="G183" s="113"/>
      <c r="H183" s="118"/>
      <c r="I183" s="113"/>
      <c r="J183" s="391"/>
      <c r="K183" s="350"/>
      <c r="L183" s="122"/>
      <c r="M183" s="330"/>
      <c r="N183" s="3"/>
      <c r="O183" s="81"/>
      <c r="P183" s="3"/>
      <c r="Q183" s="3"/>
      <c r="R183" s="3"/>
      <c r="S183" s="3"/>
      <c r="T183" s="3"/>
      <c r="U183" s="3"/>
      <c r="V183" s="3"/>
      <c r="W183" s="3"/>
      <c r="X183" s="3"/>
      <c r="Y183" s="3"/>
      <c r="Z183" s="3"/>
    </row>
    <row r="184" spans="1:26" ht="15.75" customHeight="1" x14ac:dyDescent="0.25">
      <c r="A184" s="3"/>
      <c r="B184" s="278"/>
      <c r="C184" s="392"/>
      <c r="D184" s="392"/>
      <c r="E184" s="392"/>
      <c r="F184" s="393"/>
      <c r="G184" s="392"/>
      <c r="H184" s="394"/>
      <c r="I184" s="392"/>
      <c r="J184" s="395"/>
      <c r="K184" s="396"/>
      <c r="L184" s="397"/>
      <c r="M184" s="398"/>
      <c r="N184" s="3"/>
      <c r="O184" s="81"/>
      <c r="P184" s="3"/>
      <c r="Q184" s="3"/>
      <c r="R184" s="3"/>
      <c r="S184" s="3"/>
      <c r="T184" s="3"/>
      <c r="U184" s="3"/>
      <c r="V184" s="3"/>
      <c r="W184" s="3"/>
      <c r="X184" s="3"/>
      <c r="Y184" s="3"/>
      <c r="Z184" s="3"/>
    </row>
    <row r="185" spans="1:26" ht="15.75" customHeight="1" x14ac:dyDescent="0.25">
      <c r="A185" s="3"/>
      <c r="B185" s="230" t="s">
        <v>387</v>
      </c>
      <c r="C185" s="180" t="s">
        <v>388</v>
      </c>
      <c r="D185" s="179"/>
      <c r="E185" s="179"/>
      <c r="F185" s="313"/>
      <c r="G185" s="179"/>
      <c r="H185" s="402"/>
      <c r="I185" s="179"/>
      <c r="J185" s="404"/>
      <c r="K185" s="121"/>
      <c r="L185" s="405"/>
      <c r="M185" s="406"/>
      <c r="N185" s="3"/>
      <c r="O185" s="81"/>
      <c r="P185" s="3"/>
      <c r="Q185" s="3"/>
      <c r="R185" s="3"/>
      <c r="S185" s="3"/>
      <c r="T185" s="3"/>
      <c r="U185" s="3"/>
      <c r="V185" s="3"/>
      <c r="W185" s="3"/>
      <c r="X185" s="3"/>
      <c r="Y185" s="3"/>
      <c r="Z185" s="3"/>
    </row>
    <row r="186" spans="1:26" ht="15.75" customHeight="1" x14ac:dyDescent="0.25">
      <c r="A186" s="3"/>
      <c r="B186" s="278"/>
      <c r="C186" s="179" t="s">
        <v>390</v>
      </c>
      <c r="D186" s="378">
        <v>1</v>
      </c>
      <c r="E186" s="179" t="s">
        <v>391</v>
      </c>
      <c r="F186" s="313">
        <f>(J186*1000000)/140000</f>
        <v>110157.14285714286</v>
      </c>
      <c r="G186" s="179" t="s">
        <v>66</v>
      </c>
      <c r="H186" s="402">
        <v>140000</v>
      </c>
      <c r="I186" s="179" t="s">
        <v>67</v>
      </c>
      <c r="J186" s="410">
        <v>15422</v>
      </c>
      <c r="K186" s="411">
        <v>918.6961865552779</v>
      </c>
      <c r="L186" s="411">
        <v>6.5874123999576206E-2</v>
      </c>
      <c r="M186" s="412">
        <v>2.2827666732526411E-2</v>
      </c>
      <c r="N186" s="3"/>
      <c r="O186" s="81" t="s">
        <v>230</v>
      </c>
      <c r="P186" s="3"/>
      <c r="Q186" s="3"/>
      <c r="R186" s="3"/>
      <c r="S186" s="3"/>
      <c r="T186" s="3"/>
      <c r="U186" s="3"/>
      <c r="V186" s="3"/>
      <c r="W186" s="3"/>
      <c r="X186" s="3"/>
      <c r="Y186" s="3"/>
      <c r="Z186" s="3"/>
    </row>
    <row r="187" spans="1:26" ht="15.75" customHeight="1" x14ac:dyDescent="0.25">
      <c r="A187" s="3"/>
      <c r="B187" s="278"/>
      <c r="C187" s="179"/>
      <c r="D187" s="378"/>
      <c r="E187" s="179"/>
      <c r="F187" s="313"/>
      <c r="G187" s="179"/>
      <c r="H187" s="402"/>
      <c r="I187" s="179"/>
      <c r="J187" s="404"/>
      <c r="K187" s="121"/>
      <c r="L187" s="405"/>
      <c r="M187" s="406"/>
      <c r="N187" s="3"/>
      <c r="O187" s="81"/>
      <c r="P187" s="3"/>
      <c r="Q187" s="3"/>
      <c r="R187" s="3"/>
      <c r="S187" s="3"/>
      <c r="T187" s="3"/>
      <c r="U187" s="3"/>
      <c r="V187" s="3"/>
      <c r="W187" s="3"/>
      <c r="X187" s="3"/>
      <c r="Y187" s="3"/>
      <c r="Z187" s="3"/>
    </row>
    <row r="188" spans="1:26" ht="15.75" customHeight="1" x14ac:dyDescent="0.25">
      <c r="A188" s="3"/>
      <c r="B188" s="278"/>
      <c r="C188" s="179" t="s">
        <v>396</v>
      </c>
      <c r="D188" s="378">
        <v>2</v>
      </c>
      <c r="E188" s="179" t="s">
        <v>391</v>
      </c>
      <c r="F188" s="313">
        <f>(J188*1000000)/H188</f>
        <v>111100</v>
      </c>
      <c r="G188" s="179" t="s">
        <v>66</v>
      </c>
      <c r="H188" s="402">
        <v>140000</v>
      </c>
      <c r="I188" s="179" t="s">
        <v>300</v>
      </c>
      <c r="J188" s="410">
        <v>15554</v>
      </c>
      <c r="K188" s="411">
        <v>926.76680407738411</v>
      </c>
      <c r="L188" s="411">
        <v>6.6329574791018017E-2</v>
      </c>
      <c r="M188" s="412">
        <v>2.2823079497984695E-2</v>
      </c>
      <c r="N188" s="3"/>
      <c r="O188" s="81" t="s">
        <v>230</v>
      </c>
      <c r="P188" s="3"/>
      <c r="Q188" s="3"/>
      <c r="R188" s="3"/>
      <c r="S188" s="3"/>
      <c r="T188" s="3"/>
      <c r="U188" s="3"/>
      <c r="V188" s="3"/>
      <c r="W188" s="3"/>
      <c r="X188" s="3"/>
      <c r="Y188" s="3"/>
      <c r="Z188" s="3"/>
    </row>
    <row r="189" spans="1:26" ht="15.75" customHeight="1" x14ac:dyDescent="0.25">
      <c r="A189" s="3"/>
      <c r="B189" s="278"/>
      <c r="C189" s="179"/>
      <c r="D189" s="179"/>
      <c r="E189" s="179"/>
      <c r="F189" s="313"/>
      <c r="G189" s="179"/>
      <c r="H189" s="313"/>
      <c r="I189" s="179"/>
      <c r="J189" s="293"/>
      <c r="K189" s="294"/>
      <c r="L189" s="316"/>
      <c r="M189" s="317"/>
      <c r="N189" s="3"/>
      <c r="O189" s="81"/>
      <c r="P189" s="3"/>
      <c r="Q189" s="3"/>
      <c r="R189" s="3"/>
      <c r="S189" s="3"/>
      <c r="T189" s="3"/>
      <c r="U189" s="3"/>
      <c r="V189" s="3"/>
      <c r="W189" s="3"/>
      <c r="X189" s="3"/>
      <c r="Y189" s="3"/>
      <c r="Z189" s="3"/>
    </row>
    <row r="190" spans="1:26" ht="15.75" customHeight="1" x14ac:dyDescent="0.25">
      <c r="A190" s="3"/>
      <c r="B190" s="297" t="s">
        <v>398</v>
      </c>
      <c r="C190" s="26" t="s">
        <v>399</v>
      </c>
      <c r="D190" s="24"/>
      <c r="E190" s="24"/>
      <c r="F190" s="38"/>
      <c r="G190" s="24"/>
      <c r="H190" s="38"/>
      <c r="I190" s="24"/>
      <c r="J190" s="298"/>
      <c r="K190" s="300"/>
      <c r="L190" s="143"/>
      <c r="M190" s="321"/>
      <c r="N190" s="3"/>
      <c r="O190" s="81"/>
      <c r="P190" s="3"/>
      <c r="Q190" s="3"/>
      <c r="R190" s="3"/>
      <c r="S190" s="3"/>
      <c r="T190" s="3"/>
      <c r="U190" s="3"/>
      <c r="V190" s="3"/>
      <c r="W190" s="3"/>
      <c r="X190" s="3"/>
      <c r="Y190" s="3"/>
      <c r="Z190" s="3"/>
    </row>
    <row r="191" spans="1:26" ht="15.75" customHeight="1" x14ac:dyDescent="0.25">
      <c r="A191" s="3"/>
      <c r="B191" s="244"/>
      <c r="C191" s="49" t="s">
        <v>401</v>
      </c>
      <c r="D191" s="49" t="s">
        <v>288</v>
      </c>
      <c r="E191" s="49" t="s">
        <v>402</v>
      </c>
      <c r="F191" s="68">
        <v>132000</v>
      </c>
      <c r="G191" s="49" t="s">
        <v>66</v>
      </c>
      <c r="H191" s="68">
        <v>139</v>
      </c>
      <c r="I191" s="49" t="s">
        <v>403</v>
      </c>
      <c r="J191" s="324">
        <v>18348</v>
      </c>
      <c r="K191" s="52">
        <v>1441</v>
      </c>
      <c r="L191" s="107">
        <v>0.01</v>
      </c>
      <c r="M191" s="325">
        <v>0.02</v>
      </c>
      <c r="N191" s="3"/>
      <c r="O191" s="81" t="s">
        <v>230</v>
      </c>
      <c r="P191" s="3"/>
      <c r="Q191" s="3"/>
      <c r="R191" s="3"/>
      <c r="S191" s="3"/>
      <c r="T191" s="3"/>
      <c r="U191" s="3"/>
      <c r="V191" s="3"/>
      <c r="W191" s="3"/>
      <c r="X191" s="3"/>
      <c r="Y191" s="3"/>
      <c r="Z191" s="3"/>
    </row>
    <row r="192" spans="1:26" ht="15.75" customHeight="1" x14ac:dyDescent="0.25">
      <c r="A192" s="3"/>
      <c r="B192" s="244"/>
      <c r="C192" s="49" t="s">
        <v>405</v>
      </c>
      <c r="D192" s="49" t="s">
        <v>291</v>
      </c>
      <c r="E192" s="49" t="s">
        <v>402</v>
      </c>
      <c r="F192" s="68">
        <v>167000</v>
      </c>
      <c r="G192" s="49" t="s">
        <v>66</v>
      </c>
      <c r="H192" s="68">
        <v>139</v>
      </c>
      <c r="I192" s="49" t="s">
        <v>403</v>
      </c>
      <c r="J192" s="324">
        <v>23213</v>
      </c>
      <c r="K192" s="52">
        <v>1827</v>
      </c>
      <c r="L192" s="107">
        <v>0.02</v>
      </c>
      <c r="M192" s="325">
        <v>0.02</v>
      </c>
      <c r="N192" s="3"/>
      <c r="O192" s="81" t="s">
        <v>230</v>
      </c>
      <c r="P192" s="3"/>
      <c r="Q192" s="3"/>
      <c r="R192" s="3"/>
      <c r="S192" s="3"/>
      <c r="T192" s="3"/>
      <c r="U192" s="3"/>
      <c r="V192" s="3"/>
      <c r="W192" s="3"/>
      <c r="X192" s="3"/>
      <c r="Y192" s="3"/>
      <c r="Z192" s="3"/>
    </row>
    <row r="193" spans="1:26" ht="15.75" customHeight="1" x14ac:dyDescent="0.25">
      <c r="A193" s="3"/>
      <c r="B193" s="244"/>
      <c r="C193" s="49" t="s">
        <v>407</v>
      </c>
      <c r="D193" s="49" t="s">
        <v>294</v>
      </c>
      <c r="E193" s="49" t="s">
        <v>402</v>
      </c>
      <c r="F193" s="68">
        <v>161000</v>
      </c>
      <c r="G193" s="49" t="s">
        <v>66</v>
      </c>
      <c r="H193" s="68">
        <v>139</v>
      </c>
      <c r="I193" s="49" t="s">
        <v>403</v>
      </c>
      <c r="J193" s="324">
        <v>22379</v>
      </c>
      <c r="K193" s="52">
        <v>1757</v>
      </c>
      <c r="L193" s="107">
        <v>0.02</v>
      </c>
      <c r="M193" s="325">
        <v>0.02</v>
      </c>
      <c r="N193" s="3"/>
      <c r="O193" s="81" t="s">
        <v>230</v>
      </c>
      <c r="P193" s="3"/>
      <c r="Q193" s="3"/>
      <c r="R193" s="3"/>
      <c r="S193" s="3"/>
      <c r="T193" s="3"/>
      <c r="U193" s="3"/>
      <c r="V193" s="3"/>
      <c r="W193" s="3"/>
      <c r="X193" s="3"/>
      <c r="Y193" s="3"/>
      <c r="Z193" s="3"/>
    </row>
    <row r="194" spans="1:26" ht="15.75" customHeight="1" x14ac:dyDescent="0.25">
      <c r="A194" s="3"/>
      <c r="B194" s="327"/>
      <c r="C194" s="113" t="s">
        <v>409</v>
      </c>
      <c r="D194" s="113" t="s">
        <v>297</v>
      </c>
      <c r="E194" s="113" t="s">
        <v>402</v>
      </c>
      <c r="F194" s="118">
        <v>187000</v>
      </c>
      <c r="G194" s="113" t="s">
        <v>66</v>
      </c>
      <c r="H194" s="118">
        <v>139</v>
      </c>
      <c r="I194" s="113" t="s">
        <v>403</v>
      </c>
      <c r="J194" s="328">
        <v>25993</v>
      </c>
      <c r="K194" s="350">
        <v>2042</v>
      </c>
      <c r="L194" s="122">
        <v>0.02</v>
      </c>
      <c r="M194" s="330">
        <v>0.02</v>
      </c>
      <c r="N194" s="3"/>
      <c r="O194" s="81" t="s">
        <v>230</v>
      </c>
      <c r="P194" s="3"/>
      <c r="Q194" s="3"/>
      <c r="R194" s="3"/>
      <c r="S194" s="3"/>
      <c r="T194" s="3"/>
      <c r="U194" s="3"/>
      <c r="V194" s="3"/>
      <c r="W194" s="3"/>
      <c r="X194" s="3"/>
      <c r="Y194" s="3"/>
      <c r="Z194" s="3"/>
    </row>
    <row r="195" spans="1:26" ht="15.75" customHeight="1" x14ac:dyDescent="0.25">
      <c r="A195" s="3"/>
      <c r="B195" s="297"/>
      <c r="C195" s="24"/>
      <c r="D195" s="24"/>
      <c r="E195" s="24"/>
      <c r="F195" s="38"/>
      <c r="G195" s="24"/>
      <c r="H195" s="38"/>
      <c r="I195" s="24"/>
      <c r="J195" s="340"/>
      <c r="K195" s="300"/>
      <c r="L195" s="143"/>
      <c r="M195" s="321"/>
      <c r="N195" s="3"/>
      <c r="O195" s="81"/>
      <c r="P195" s="3"/>
      <c r="Q195" s="3"/>
      <c r="R195" s="3"/>
      <c r="S195" s="3"/>
      <c r="T195" s="3"/>
      <c r="U195" s="3"/>
      <c r="V195" s="3"/>
      <c r="W195" s="3"/>
      <c r="X195" s="3"/>
      <c r="Y195" s="3"/>
      <c r="Z195" s="3"/>
    </row>
    <row r="196" spans="1:26" ht="15.75" customHeight="1" x14ac:dyDescent="0.25">
      <c r="A196" s="3"/>
      <c r="B196" s="418"/>
      <c r="C196" s="124"/>
      <c r="D196" s="113"/>
      <c r="E196" s="113"/>
      <c r="F196" s="118"/>
      <c r="G196" s="113"/>
      <c r="H196" s="118"/>
      <c r="I196" s="113"/>
      <c r="J196" s="391"/>
      <c r="K196" s="350"/>
      <c r="L196" s="128"/>
      <c r="M196" s="330"/>
      <c r="N196" s="3"/>
      <c r="O196" s="81"/>
      <c r="P196" s="3"/>
      <c r="Q196" s="3"/>
      <c r="R196" s="3"/>
      <c r="S196" s="3"/>
      <c r="T196" s="3"/>
      <c r="U196" s="3"/>
      <c r="V196" s="3"/>
      <c r="W196" s="3"/>
      <c r="X196" s="3"/>
      <c r="Y196" s="3"/>
      <c r="Z196" s="3"/>
    </row>
    <row r="197" spans="1:26" ht="15.75" customHeight="1" x14ac:dyDescent="0.25">
      <c r="A197" s="3"/>
      <c r="B197" s="297" t="s">
        <v>413</v>
      </c>
      <c r="C197" s="26" t="s">
        <v>414</v>
      </c>
      <c r="D197" s="24"/>
      <c r="E197" s="24"/>
      <c r="F197" s="419"/>
      <c r="G197" s="24"/>
      <c r="H197" s="38"/>
      <c r="I197" s="24"/>
      <c r="J197" s="421"/>
      <c r="K197" s="300"/>
      <c r="L197" s="422"/>
      <c r="M197" s="423"/>
      <c r="N197" s="3"/>
      <c r="O197" s="81"/>
      <c r="P197" s="3"/>
      <c r="Q197" s="3"/>
      <c r="R197" s="3"/>
      <c r="S197" s="3"/>
      <c r="T197" s="3"/>
      <c r="U197" s="3"/>
      <c r="V197" s="3"/>
      <c r="W197" s="3"/>
      <c r="X197" s="3"/>
      <c r="Y197" s="3"/>
      <c r="Z197" s="3"/>
    </row>
    <row r="198" spans="1:26" ht="15.75" customHeight="1" x14ac:dyDescent="0.25">
      <c r="A198" s="3"/>
      <c r="B198" s="424"/>
      <c r="C198" s="49" t="s">
        <v>418</v>
      </c>
      <c r="D198" s="3" t="s">
        <v>419</v>
      </c>
      <c r="E198" s="49" t="s">
        <v>420</v>
      </c>
      <c r="F198" s="68">
        <v>5471</v>
      </c>
      <c r="G198" s="49" t="s">
        <v>66</v>
      </c>
      <c r="H198" s="68">
        <v>137</v>
      </c>
      <c r="I198" s="49" t="s">
        <v>423</v>
      </c>
      <c r="J198" s="324">
        <v>749.52700000000004</v>
      </c>
      <c r="K198" s="310">
        <v>61.8</v>
      </c>
      <c r="L198" s="153">
        <v>3.0000000000000001E-3</v>
      </c>
      <c r="M198" s="426">
        <v>0</v>
      </c>
      <c r="N198" s="3"/>
      <c r="O198" s="81" t="s">
        <v>36</v>
      </c>
      <c r="P198" s="3"/>
      <c r="Q198" s="3"/>
      <c r="R198" s="3"/>
      <c r="S198" s="3"/>
      <c r="T198" s="3"/>
      <c r="U198" s="3"/>
      <c r="V198" s="3"/>
      <c r="W198" s="3"/>
      <c r="X198" s="3"/>
      <c r="Y198" s="3"/>
      <c r="Z198" s="3"/>
    </row>
    <row r="199" spans="1:26" ht="15.75" customHeight="1" x14ac:dyDescent="0.25">
      <c r="A199" s="3"/>
      <c r="B199" s="424"/>
      <c r="C199" s="49" t="s">
        <v>426</v>
      </c>
      <c r="D199" s="3" t="s">
        <v>427</v>
      </c>
      <c r="E199" s="49" t="s">
        <v>420</v>
      </c>
      <c r="F199" s="68">
        <v>5811</v>
      </c>
      <c r="G199" s="49" t="s">
        <v>66</v>
      </c>
      <c r="H199" s="68">
        <v>137</v>
      </c>
      <c r="I199" s="49" t="s">
        <v>423</v>
      </c>
      <c r="J199" s="324">
        <v>796.10699999999997</v>
      </c>
      <c r="K199" s="310">
        <v>65.7</v>
      </c>
      <c r="L199" s="153">
        <v>3.0000000000000001E-3</v>
      </c>
      <c r="M199" s="426">
        <v>0</v>
      </c>
      <c r="N199" s="3"/>
      <c r="O199" s="81" t="s">
        <v>36</v>
      </c>
      <c r="P199" s="3"/>
      <c r="Q199" s="3"/>
      <c r="R199" s="3"/>
      <c r="S199" s="3"/>
      <c r="T199" s="3"/>
      <c r="U199" s="3"/>
      <c r="V199" s="3"/>
      <c r="W199" s="3"/>
      <c r="X199" s="3"/>
      <c r="Y199" s="3"/>
      <c r="Z199" s="3"/>
    </row>
    <row r="200" spans="1:26" ht="15.75" customHeight="1" x14ac:dyDescent="0.25">
      <c r="A200" s="3"/>
      <c r="B200" s="424"/>
      <c r="C200" s="49" t="s">
        <v>429</v>
      </c>
      <c r="D200" s="3" t="s">
        <v>430</v>
      </c>
      <c r="E200" s="49" t="s">
        <v>420</v>
      </c>
      <c r="F200" s="68">
        <v>20420</v>
      </c>
      <c r="G200" s="49" t="s">
        <v>66</v>
      </c>
      <c r="H200" s="68">
        <v>137</v>
      </c>
      <c r="I200" s="49" t="s">
        <v>423</v>
      </c>
      <c r="J200" s="324">
        <v>2797.54</v>
      </c>
      <c r="K200" s="310">
        <v>230.7</v>
      </c>
      <c r="L200" s="153">
        <v>1.0999999999999999E-2</v>
      </c>
      <c r="M200" s="426">
        <v>1E-3</v>
      </c>
      <c r="N200" s="3"/>
      <c r="O200" s="81" t="s">
        <v>36</v>
      </c>
      <c r="P200" s="3"/>
      <c r="Q200" s="3"/>
      <c r="R200" s="3"/>
      <c r="S200" s="3"/>
      <c r="T200" s="3"/>
      <c r="U200" s="3"/>
      <c r="V200" s="3"/>
      <c r="W200" s="3"/>
      <c r="X200" s="3"/>
      <c r="Y200" s="3"/>
      <c r="Z200" s="3"/>
    </row>
    <row r="201" spans="1:26" ht="15.75" customHeight="1" x14ac:dyDescent="0.25">
      <c r="A201" s="3"/>
      <c r="B201" s="424"/>
      <c r="C201" s="49" t="s">
        <v>431</v>
      </c>
      <c r="D201" s="3" t="s">
        <v>321</v>
      </c>
      <c r="E201" s="49" t="s">
        <v>420</v>
      </c>
      <c r="F201" s="68">
        <v>20146</v>
      </c>
      <c r="G201" s="49" t="s">
        <v>66</v>
      </c>
      <c r="H201" s="68">
        <v>137</v>
      </c>
      <c r="I201" s="49" t="s">
        <v>423</v>
      </c>
      <c r="J201" s="324">
        <v>2760.002</v>
      </c>
      <c r="K201" s="310">
        <v>227.6</v>
      </c>
      <c r="L201" s="153">
        <v>1.0999999999999999E-2</v>
      </c>
      <c r="M201" s="426">
        <v>1E-3</v>
      </c>
      <c r="N201" s="3"/>
      <c r="O201" s="81" t="s">
        <v>36</v>
      </c>
      <c r="P201" s="3"/>
      <c r="Q201" s="3"/>
      <c r="R201" s="3"/>
      <c r="S201" s="3"/>
      <c r="T201" s="3"/>
      <c r="U201" s="3"/>
      <c r="V201" s="3"/>
      <c r="W201" s="3"/>
      <c r="X201" s="3"/>
      <c r="Y201" s="3"/>
      <c r="Z201" s="3"/>
    </row>
    <row r="202" spans="1:26" ht="15.75" customHeight="1" x14ac:dyDescent="0.25">
      <c r="A202" s="3"/>
      <c r="B202" s="424"/>
      <c r="C202" s="49" t="s">
        <v>433</v>
      </c>
      <c r="D202" s="3" t="s">
        <v>434</v>
      </c>
      <c r="E202" s="49" t="s">
        <v>420</v>
      </c>
      <c r="F202" s="68">
        <v>26491</v>
      </c>
      <c r="G202" s="49" t="s">
        <v>66</v>
      </c>
      <c r="H202" s="68">
        <v>137</v>
      </c>
      <c r="I202" s="49" t="s">
        <v>423</v>
      </c>
      <c r="J202" s="324">
        <v>3629.2669999999998</v>
      </c>
      <c r="K202" s="310">
        <v>299.3</v>
      </c>
      <c r="L202" s="153">
        <v>1.4999999999999999E-2</v>
      </c>
      <c r="M202" s="426">
        <v>1E-3</v>
      </c>
      <c r="N202" s="3"/>
      <c r="O202" s="81" t="s">
        <v>36</v>
      </c>
      <c r="P202" s="3"/>
      <c r="Q202" s="3"/>
      <c r="R202" s="3"/>
      <c r="S202" s="3"/>
      <c r="T202" s="3"/>
      <c r="U202" s="3"/>
      <c r="V202" s="3"/>
      <c r="W202" s="3"/>
      <c r="X202" s="3"/>
      <c r="Y202" s="3"/>
      <c r="Z202" s="3"/>
    </row>
    <row r="203" spans="1:26" ht="15.75" customHeight="1" x14ac:dyDescent="0.25">
      <c r="A203" s="3"/>
      <c r="B203" s="424"/>
      <c r="C203" s="49" t="s">
        <v>435</v>
      </c>
      <c r="D203" s="3" t="s">
        <v>436</v>
      </c>
      <c r="E203" s="49" t="s">
        <v>420</v>
      </c>
      <c r="F203" s="68">
        <v>30331</v>
      </c>
      <c r="G203" s="49" t="s">
        <v>66</v>
      </c>
      <c r="H203" s="68">
        <v>137</v>
      </c>
      <c r="I203" s="49" t="s">
        <v>423</v>
      </c>
      <c r="J203" s="324">
        <v>4155.3469999999998</v>
      </c>
      <c r="K203" s="310">
        <v>342.7</v>
      </c>
      <c r="L203" s="153">
        <v>1.7000000000000001E-2</v>
      </c>
      <c r="M203" s="426">
        <v>2E-3</v>
      </c>
      <c r="N203" s="3"/>
      <c r="O203" s="81" t="s">
        <v>36</v>
      </c>
      <c r="P203" s="3"/>
      <c r="Q203" s="3"/>
      <c r="R203" s="3"/>
      <c r="S203" s="3"/>
      <c r="T203" s="3"/>
      <c r="U203" s="3"/>
      <c r="V203" s="3"/>
      <c r="W203" s="3"/>
      <c r="X203" s="3"/>
      <c r="Y203" s="3"/>
      <c r="Z203" s="3"/>
    </row>
    <row r="204" spans="1:26" ht="15.75" customHeight="1" x14ac:dyDescent="0.25">
      <c r="A204" s="3"/>
      <c r="B204" s="424"/>
      <c r="C204" s="49" t="s">
        <v>438</v>
      </c>
      <c r="D204" s="3" t="s">
        <v>439</v>
      </c>
      <c r="E204" s="49" t="s">
        <v>420</v>
      </c>
      <c r="F204" s="68">
        <v>26760</v>
      </c>
      <c r="G204" s="49" t="s">
        <v>66</v>
      </c>
      <c r="H204" s="68">
        <v>137</v>
      </c>
      <c r="I204" s="49" t="s">
        <v>423</v>
      </c>
      <c r="J204" s="324">
        <v>3666.12</v>
      </c>
      <c r="K204" s="310">
        <v>302.39999999999998</v>
      </c>
      <c r="L204" s="153">
        <v>1.4999999999999999E-2</v>
      </c>
      <c r="M204" s="426">
        <v>1E-3</v>
      </c>
      <c r="N204" s="3"/>
      <c r="O204" s="81" t="s">
        <v>36</v>
      </c>
      <c r="P204" s="3"/>
      <c r="Q204" s="3"/>
      <c r="R204" s="3"/>
      <c r="S204" s="3"/>
      <c r="T204" s="3"/>
      <c r="U204" s="3"/>
      <c r="V204" s="3"/>
      <c r="W204" s="3"/>
      <c r="X204" s="3"/>
      <c r="Y204" s="3"/>
      <c r="Z204" s="3"/>
    </row>
    <row r="205" spans="1:26" ht="15.75" customHeight="1" x14ac:dyDescent="0.25">
      <c r="A205" s="3"/>
      <c r="B205" s="424"/>
      <c r="C205" s="49" t="s">
        <v>441</v>
      </c>
      <c r="D205" s="3" t="s">
        <v>442</v>
      </c>
      <c r="E205" s="49" t="s">
        <v>420</v>
      </c>
      <c r="F205" s="68">
        <v>38516</v>
      </c>
      <c r="G205" s="49" t="s">
        <v>66</v>
      </c>
      <c r="H205" s="68">
        <v>137</v>
      </c>
      <c r="I205" s="49" t="s">
        <v>423</v>
      </c>
      <c r="J205" s="324">
        <v>5276.692</v>
      </c>
      <c r="K205" s="310">
        <v>435.2</v>
      </c>
      <c r="L205" s="153">
        <v>2.1000000000000001E-2</v>
      </c>
      <c r="M205" s="426">
        <v>2E-3</v>
      </c>
      <c r="N205" s="3"/>
      <c r="O205" s="81" t="s">
        <v>36</v>
      </c>
      <c r="P205" s="3"/>
      <c r="Q205" s="3"/>
      <c r="R205" s="3"/>
      <c r="S205" s="3"/>
      <c r="T205" s="3"/>
      <c r="U205" s="3"/>
      <c r="V205" s="3"/>
      <c r="W205" s="3"/>
      <c r="X205" s="3"/>
      <c r="Y205" s="3"/>
      <c r="Z205" s="3"/>
    </row>
    <row r="206" spans="1:26" ht="15.75" customHeight="1" x14ac:dyDescent="0.25">
      <c r="A206" s="3"/>
      <c r="B206" s="424"/>
      <c r="C206" s="49" t="s">
        <v>443</v>
      </c>
      <c r="D206" s="3" t="s">
        <v>444</v>
      </c>
      <c r="E206" s="49" t="s">
        <v>420</v>
      </c>
      <c r="F206" s="68">
        <v>68406</v>
      </c>
      <c r="G206" s="49" t="s">
        <v>66</v>
      </c>
      <c r="H206" s="68">
        <v>137</v>
      </c>
      <c r="I206" s="49" t="s">
        <v>423</v>
      </c>
      <c r="J206" s="324">
        <v>9371.6219999999994</v>
      </c>
      <c r="K206" s="310">
        <v>773</v>
      </c>
      <c r="L206" s="153">
        <v>3.7999999999999999E-2</v>
      </c>
      <c r="M206" s="428">
        <v>4.0000000000000001E-3</v>
      </c>
      <c r="N206" s="3"/>
      <c r="O206" s="81" t="s">
        <v>36</v>
      </c>
      <c r="P206" s="3"/>
      <c r="Q206" s="3"/>
      <c r="R206" s="3"/>
      <c r="S206" s="3"/>
      <c r="T206" s="3"/>
      <c r="U206" s="3"/>
      <c r="V206" s="3"/>
      <c r="W206" s="3"/>
      <c r="X206" s="3"/>
      <c r="Y206" s="3"/>
      <c r="Z206" s="3"/>
    </row>
    <row r="207" spans="1:26" ht="15.75" customHeight="1" x14ac:dyDescent="0.25">
      <c r="A207" s="3"/>
      <c r="B207" s="327"/>
      <c r="C207" s="113" t="s">
        <v>446</v>
      </c>
      <c r="D207" s="3" t="s">
        <v>447</v>
      </c>
      <c r="E207" s="113" t="s">
        <v>420</v>
      </c>
      <c r="F207" s="170">
        <v>26650</v>
      </c>
      <c r="G207" s="113" t="s">
        <v>66</v>
      </c>
      <c r="H207" s="118">
        <v>137</v>
      </c>
      <c r="I207" s="113" t="s">
        <v>423</v>
      </c>
      <c r="J207" s="328">
        <v>3651.05</v>
      </c>
      <c r="K207" s="429">
        <v>301.10000000000002</v>
      </c>
      <c r="L207" s="430">
        <v>1.4999999999999999E-2</v>
      </c>
      <c r="M207" s="431">
        <v>1E-3</v>
      </c>
      <c r="N207" s="3"/>
      <c r="O207" s="81" t="s">
        <v>36</v>
      </c>
      <c r="P207" s="3"/>
      <c r="Q207" s="3"/>
      <c r="R207" s="3"/>
      <c r="S207" s="3"/>
      <c r="T207" s="3"/>
      <c r="U207" s="3"/>
      <c r="V207" s="3"/>
      <c r="W207" s="3"/>
      <c r="X207" s="3"/>
      <c r="Y207" s="3"/>
      <c r="Z207" s="3"/>
    </row>
    <row r="208" spans="1:26" ht="15.75" customHeight="1" x14ac:dyDescent="0.25">
      <c r="A208" s="3"/>
      <c r="B208" s="297"/>
      <c r="C208" s="24"/>
      <c r="D208" s="24"/>
      <c r="E208" s="24"/>
      <c r="F208" s="38"/>
      <c r="G208" s="24"/>
      <c r="H208" s="38"/>
      <c r="I208" s="24"/>
      <c r="J208" s="298"/>
      <c r="K208" s="432"/>
      <c r="L208" s="143"/>
      <c r="M208" s="423"/>
      <c r="N208" s="3"/>
      <c r="O208" s="81"/>
      <c r="P208" s="3"/>
      <c r="Q208" s="3"/>
      <c r="R208" s="3"/>
      <c r="S208" s="3"/>
      <c r="T208" s="3"/>
      <c r="U208" s="3"/>
      <c r="V208" s="3"/>
      <c r="W208" s="3"/>
      <c r="X208" s="3"/>
      <c r="Y208" s="3"/>
      <c r="Z208" s="3"/>
    </row>
    <row r="209" spans="1:26" ht="15.75" customHeight="1" x14ac:dyDescent="0.25">
      <c r="A209" s="3"/>
      <c r="B209" s="244" t="s">
        <v>449</v>
      </c>
      <c r="C209" s="61" t="s">
        <v>450</v>
      </c>
      <c r="D209" s="49"/>
      <c r="E209" s="49"/>
      <c r="F209" s="68"/>
      <c r="G209" s="49"/>
      <c r="H209" s="68"/>
      <c r="I209" s="49"/>
      <c r="J209" s="433"/>
      <c r="K209" s="108"/>
      <c r="L209" s="117"/>
      <c r="M209" s="434"/>
      <c r="N209" s="3"/>
      <c r="O209" s="81"/>
      <c r="P209" s="3"/>
      <c r="Q209" s="3"/>
      <c r="R209" s="3"/>
      <c r="S209" s="3"/>
      <c r="T209" s="3"/>
      <c r="U209" s="3"/>
      <c r="V209" s="3"/>
      <c r="W209" s="3"/>
      <c r="X209" s="3"/>
      <c r="Y209" s="3"/>
      <c r="Z209" s="3"/>
    </row>
    <row r="210" spans="1:26" ht="15.75" customHeight="1" x14ac:dyDescent="0.25">
      <c r="A210" s="3"/>
      <c r="B210" s="244"/>
      <c r="C210" s="49" t="s">
        <v>453</v>
      </c>
      <c r="D210" s="3" t="s">
        <v>454</v>
      </c>
      <c r="E210" s="49" t="s">
        <v>420</v>
      </c>
      <c r="F210" s="92">
        <v>5013</v>
      </c>
      <c r="G210" s="49" t="s">
        <v>66</v>
      </c>
      <c r="H210" s="68">
        <v>137000</v>
      </c>
      <c r="I210" s="49" t="s">
        <v>455</v>
      </c>
      <c r="J210" s="436">
        <v>687</v>
      </c>
      <c r="K210" s="169">
        <v>56.6</v>
      </c>
      <c r="L210" s="101">
        <v>3.0000000000000001E-3</v>
      </c>
      <c r="M210" s="305">
        <v>0</v>
      </c>
      <c r="N210" s="3"/>
      <c r="O210" s="81" t="s">
        <v>230</v>
      </c>
      <c r="P210" s="3"/>
      <c r="Q210" s="3"/>
      <c r="R210" s="3"/>
      <c r="S210" s="3"/>
      <c r="T210" s="3"/>
      <c r="U210" s="3"/>
      <c r="V210" s="3"/>
      <c r="W210" s="3"/>
      <c r="X210" s="3"/>
      <c r="Y210" s="3"/>
      <c r="Z210" s="3"/>
    </row>
    <row r="211" spans="1:26" ht="15.75" customHeight="1" x14ac:dyDescent="0.25">
      <c r="A211" s="3"/>
      <c r="B211" s="244"/>
      <c r="C211" s="49" t="s">
        <v>457</v>
      </c>
      <c r="D211" s="3" t="s">
        <v>458</v>
      </c>
      <c r="E211" s="49" t="s">
        <v>420</v>
      </c>
      <c r="F211" s="92">
        <v>5289</v>
      </c>
      <c r="G211" s="49" t="s">
        <v>66</v>
      </c>
      <c r="H211" s="68">
        <v>137000</v>
      </c>
      <c r="I211" s="49" t="s">
        <v>455</v>
      </c>
      <c r="J211" s="436">
        <v>725</v>
      </c>
      <c r="K211" s="169">
        <v>59.8</v>
      </c>
      <c r="L211" s="101">
        <v>3.0000000000000001E-3</v>
      </c>
      <c r="M211" s="305">
        <v>0</v>
      </c>
      <c r="N211" s="3"/>
      <c r="O211" s="81" t="s">
        <v>230</v>
      </c>
      <c r="P211" s="3"/>
      <c r="Q211" s="3"/>
      <c r="R211" s="3"/>
      <c r="S211" s="3"/>
      <c r="T211" s="3"/>
      <c r="U211" s="3"/>
      <c r="V211" s="3"/>
      <c r="W211" s="3"/>
      <c r="X211" s="3"/>
      <c r="Y211" s="3"/>
      <c r="Z211" s="3"/>
    </row>
    <row r="212" spans="1:26" ht="15.75" customHeight="1" x14ac:dyDescent="0.25">
      <c r="A212" s="3"/>
      <c r="B212" s="244"/>
      <c r="C212" s="49" t="s">
        <v>459</v>
      </c>
      <c r="D212" s="3" t="s">
        <v>460</v>
      </c>
      <c r="E212" s="49" t="s">
        <v>420</v>
      </c>
      <c r="F212" s="92">
        <v>44606</v>
      </c>
      <c r="G212" s="49" t="s">
        <v>66</v>
      </c>
      <c r="H212" s="68">
        <v>137000</v>
      </c>
      <c r="I212" s="49" t="s">
        <v>455</v>
      </c>
      <c r="J212" s="437">
        <v>6111</v>
      </c>
      <c r="K212" s="71">
        <v>504</v>
      </c>
      <c r="L212" s="438">
        <v>0</v>
      </c>
      <c r="M212" s="439">
        <v>0</v>
      </c>
      <c r="N212" s="3"/>
      <c r="O212" s="81" t="s">
        <v>230</v>
      </c>
      <c r="P212" s="3"/>
      <c r="Q212" s="3"/>
      <c r="R212" s="3"/>
      <c r="S212" s="3"/>
      <c r="T212" s="3"/>
      <c r="U212" s="3"/>
      <c r="V212" s="3"/>
      <c r="W212" s="3"/>
      <c r="X212" s="3"/>
      <c r="Y212" s="3"/>
      <c r="Z212" s="3"/>
    </row>
    <row r="213" spans="1:26" ht="15.75" customHeight="1" x14ac:dyDescent="0.25">
      <c r="A213" s="3"/>
      <c r="B213" s="244"/>
      <c r="C213" s="49" t="s">
        <v>462</v>
      </c>
      <c r="D213" s="3" t="s">
        <v>463</v>
      </c>
      <c r="E213" s="49" t="s">
        <v>420</v>
      </c>
      <c r="F213" s="92">
        <v>47695</v>
      </c>
      <c r="G213" s="49" t="s">
        <v>66</v>
      </c>
      <c r="H213" s="68">
        <v>137000</v>
      </c>
      <c r="I213" s="49" t="s">
        <v>455</v>
      </c>
      <c r="J213" s="436">
        <v>6534</v>
      </c>
      <c r="K213" s="169">
        <v>539</v>
      </c>
      <c r="L213" s="101">
        <v>0</v>
      </c>
      <c r="M213" s="305">
        <v>0</v>
      </c>
      <c r="N213" s="3"/>
      <c r="O213" s="81" t="s">
        <v>230</v>
      </c>
      <c r="P213" s="3"/>
      <c r="Q213" s="3"/>
      <c r="R213" s="3"/>
      <c r="S213" s="3"/>
      <c r="T213" s="3"/>
      <c r="U213" s="3"/>
      <c r="V213" s="3"/>
      <c r="W213" s="3"/>
      <c r="X213" s="3"/>
      <c r="Y213" s="3"/>
      <c r="Z213" s="3"/>
    </row>
    <row r="214" spans="1:26" ht="15.75" customHeight="1" x14ac:dyDescent="0.25">
      <c r="A214" s="3"/>
      <c r="B214" s="244"/>
      <c r="C214" s="49" t="s">
        <v>465</v>
      </c>
      <c r="D214" s="3" t="s">
        <v>466</v>
      </c>
      <c r="E214" s="49" t="s">
        <v>420</v>
      </c>
      <c r="F214" s="92">
        <v>45059</v>
      </c>
      <c r="G214" s="49" t="s">
        <v>66</v>
      </c>
      <c r="H214" s="68">
        <v>137000</v>
      </c>
      <c r="I214" s="49" t="s">
        <v>455</v>
      </c>
      <c r="J214" s="436">
        <v>6173</v>
      </c>
      <c r="K214" s="169">
        <v>488.68</v>
      </c>
      <c r="L214" s="101">
        <v>2.41E-2</v>
      </c>
      <c r="M214" s="305">
        <v>2.0999999999999999E-3</v>
      </c>
      <c r="N214" s="3"/>
      <c r="O214" s="81" t="s">
        <v>230</v>
      </c>
      <c r="P214" s="3"/>
      <c r="Q214" s="3"/>
      <c r="R214" s="3"/>
      <c r="S214" s="3"/>
      <c r="T214" s="3"/>
      <c r="U214" s="3"/>
      <c r="V214" s="3"/>
      <c r="W214" s="3"/>
      <c r="X214" s="3"/>
      <c r="Y214" s="3"/>
      <c r="Z214" s="3"/>
    </row>
    <row r="215" spans="1:26" ht="15.75" customHeight="1" x14ac:dyDescent="0.25">
      <c r="A215" s="3"/>
      <c r="B215" s="244"/>
      <c r="C215" s="49" t="s">
        <v>467</v>
      </c>
      <c r="D215" s="3" t="s">
        <v>468</v>
      </c>
      <c r="E215" s="49" t="s">
        <v>420</v>
      </c>
      <c r="F215" s="92">
        <v>58124</v>
      </c>
      <c r="G215" s="49" t="s">
        <v>66</v>
      </c>
      <c r="H215" s="68">
        <v>137000</v>
      </c>
      <c r="I215" s="49" t="s">
        <v>455</v>
      </c>
      <c r="J215" s="436">
        <v>7963</v>
      </c>
      <c r="K215" s="169">
        <v>638.66</v>
      </c>
      <c r="L215" s="101">
        <v>3.1300000000000001E-2</v>
      </c>
      <c r="M215" s="440">
        <v>3.3999999999999998E-3</v>
      </c>
      <c r="N215" s="3"/>
      <c r="O215" s="81" t="s">
        <v>230</v>
      </c>
      <c r="P215" s="3"/>
      <c r="Q215" s="3"/>
      <c r="R215" s="3"/>
      <c r="S215" s="3"/>
      <c r="T215" s="3"/>
      <c r="U215" s="3"/>
      <c r="V215" s="3"/>
      <c r="W215" s="3"/>
      <c r="X215" s="3"/>
      <c r="Y215" s="3"/>
      <c r="Z215" s="3"/>
    </row>
    <row r="216" spans="1:26" ht="15.75" customHeight="1" x14ac:dyDescent="0.25">
      <c r="A216" s="3"/>
      <c r="B216" s="244"/>
      <c r="C216" s="49" t="s">
        <v>470</v>
      </c>
      <c r="D216" s="3" t="s">
        <v>471</v>
      </c>
      <c r="E216" s="49" t="s">
        <v>420</v>
      </c>
      <c r="F216" s="92">
        <v>39785</v>
      </c>
      <c r="G216" s="49" t="s">
        <v>66</v>
      </c>
      <c r="H216" s="68">
        <v>137000</v>
      </c>
      <c r="I216" s="49" t="s">
        <v>455</v>
      </c>
      <c r="J216" s="436">
        <v>5451</v>
      </c>
      <c r="K216" s="169">
        <v>427.43</v>
      </c>
      <c r="L216" s="202">
        <v>2.12E-2</v>
      </c>
      <c r="M216" s="305">
        <v>2.2000000000000001E-3</v>
      </c>
      <c r="N216" s="3"/>
      <c r="O216" s="81" t="s">
        <v>230</v>
      </c>
      <c r="P216" s="3"/>
      <c r="Q216" s="3"/>
      <c r="R216" s="3"/>
      <c r="S216" s="3"/>
      <c r="T216" s="3"/>
      <c r="U216" s="3"/>
      <c r="V216" s="3"/>
      <c r="W216" s="3"/>
      <c r="X216" s="3"/>
      <c r="Y216" s="3"/>
      <c r="Z216" s="3"/>
    </row>
    <row r="217" spans="1:26" ht="15.75" customHeight="1" x14ac:dyDescent="0.25">
      <c r="A217" s="3"/>
      <c r="B217" s="327"/>
      <c r="C217" s="113" t="s">
        <v>473</v>
      </c>
      <c r="D217" s="3" t="s">
        <v>474</v>
      </c>
      <c r="E217" s="113" t="s">
        <v>420</v>
      </c>
      <c r="F217" s="116">
        <v>26150</v>
      </c>
      <c r="G217" s="113" t="s">
        <v>66</v>
      </c>
      <c r="H217" s="118">
        <v>137000</v>
      </c>
      <c r="I217" s="113" t="s">
        <v>455</v>
      </c>
      <c r="J217" s="441">
        <v>3583</v>
      </c>
      <c r="K217" s="371">
        <v>277.77999999999997</v>
      </c>
      <c r="L217" s="219">
        <v>1.3599999999999999E-2</v>
      </c>
      <c r="M217" s="339">
        <v>1.1999999999999999E-3</v>
      </c>
      <c r="N217" s="3"/>
      <c r="O217" s="81" t="s">
        <v>230</v>
      </c>
      <c r="P217" s="3"/>
      <c r="Q217" s="3"/>
      <c r="R217" s="3"/>
      <c r="S217" s="3"/>
      <c r="T217" s="3"/>
      <c r="U217" s="3"/>
      <c r="V217" s="3"/>
      <c r="W217" s="3"/>
      <c r="X217" s="3"/>
      <c r="Y217" s="3"/>
      <c r="Z217" s="3"/>
    </row>
    <row r="218" spans="1:26" ht="15.75" customHeight="1" x14ac:dyDescent="0.25">
      <c r="A218" s="3"/>
      <c r="B218" s="278"/>
      <c r="C218" s="179"/>
      <c r="D218" s="179"/>
      <c r="E218" s="179"/>
      <c r="F218" s="313"/>
      <c r="G218" s="179"/>
      <c r="H218" s="313"/>
      <c r="I218" s="179"/>
      <c r="J218" s="293"/>
      <c r="K218" s="442"/>
      <c r="L218" s="444"/>
      <c r="M218" s="445"/>
      <c r="N218" s="3"/>
      <c r="O218" s="81"/>
      <c r="P218" s="3"/>
      <c r="Q218" s="3"/>
      <c r="R218" s="3"/>
      <c r="S218" s="3"/>
      <c r="T218" s="3"/>
      <c r="U218" s="3"/>
      <c r="V218" s="3"/>
      <c r="W218" s="3"/>
      <c r="X218" s="3"/>
      <c r="Y218" s="3"/>
      <c r="Z218" s="3"/>
    </row>
    <row r="219" spans="1:26" ht="15.75" customHeight="1" x14ac:dyDescent="0.25">
      <c r="A219" s="3"/>
      <c r="B219" s="297" t="s">
        <v>476</v>
      </c>
      <c r="C219" s="26" t="s">
        <v>477</v>
      </c>
      <c r="D219" s="24"/>
      <c r="E219" s="26"/>
      <c r="F219" s="419"/>
      <c r="G219" s="24"/>
      <c r="H219" s="38"/>
      <c r="I219" s="24"/>
      <c r="J219" s="421"/>
      <c r="K219" s="446"/>
      <c r="L219" s="422"/>
      <c r="M219" s="423"/>
      <c r="N219" s="3"/>
      <c r="O219" s="81"/>
      <c r="P219" s="3"/>
      <c r="Q219" s="3"/>
      <c r="R219" s="3"/>
      <c r="S219" s="3"/>
      <c r="T219" s="3"/>
      <c r="U219" s="3"/>
      <c r="V219" s="3"/>
      <c r="W219" s="3"/>
      <c r="X219" s="3"/>
      <c r="Y219" s="3"/>
      <c r="Z219" s="3"/>
    </row>
    <row r="220" spans="1:26" ht="15.75" customHeight="1" x14ac:dyDescent="0.25">
      <c r="A220" s="3"/>
      <c r="B220" s="244"/>
      <c r="C220" s="49" t="s">
        <v>441</v>
      </c>
      <c r="D220" s="49" t="s">
        <v>478</v>
      </c>
      <c r="E220" s="49" t="s">
        <v>402</v>
      </c>
      <c r="F220" s="92">
        <v>9912</v>
      </c>
      <c r="G220" s="49" t="s">
        <v>66</v>
      </c>
      <c r="H220" s="68">
        <v>140983</v>
      </c>
      <c r="I220" s="49" t="s">
        <v>67</v>
      </c>
      <c r="J220" s="332">
        <v>1397.4234959999999</v>
      </c>
      <c r="K220" s="169">
        <v>110.02</v>
      </c>
      <c r="L220" s="101">
        <v>4.6211873811363886E-3</v>
      </c>
      <c r="M220" s="305">
        <v>9.2423747622727751E-4</v>
      </c>
      <c r="N220" s="3"/>
      <c r="O220" s="81" t="s">
        <v>230</v>
      </c>
      <c r="P220" s="3"/>
      <c r="Q220" s="3"/>
      <c r="R220" s="3"/>
      <c r="S220" s="3"/>
      <c r="T220" s="3"/>
      <c r="U220" s="3"/>
      <c r="V220" s="3"/>
      <c r="W220" s="3"/>
      <c r="X220" s="3"/>
      <c r="Y220" s="3"/>
      <c r="Z220" s="3"/>
    </row>
    <row r="221" spans="1:26" ht="15.75" customHeight="1" x14ac:dyDescent="0.25">
      <c r="A221" s="3"/>
      <c r="B221" s="244"/>
      <c r="C221" s="49" t="s">
        <v>443</v>
      </c>
      <c r="D221" s="49" t="s">
        <v>479</v>
      </c>
      <c r="E221" s="49" t="s">
        <v>402</v>
      </c>
      <c r="F221" s="92">
        <v>3968</v>
      </c>
      <c r="G221" s="49" t="s">
        <v>66</v>
      </c>
      <c r="H221" s="68">
        <v>140984</v>
      </c>
      <c r="I221" s="49" t="s">
        <v>67</v>
      </c>
      <c r="J221" s="332">
        <v>559.42451200000005</v>
      </c>
      <c r="K221" s="169">
        <v>44.04</v>
      </c>
      <c r="L221" s="101">
        <v>1.8499799831280226E-3</v>
      </c>
      <c r="M221" s="305">
        <v>3.699959966256045E-4</v>
      </c>
      <c r="N221" s="3"/>
      <c r="O221" s="81" t="s">
        <v>230</v>
      </c>
      <c r="P221" s="3"/>
      <c r="Q221" s="3"/>
      <c r="R221" s="3"/>
      <c r="S221" s="3"/>
      <c r="T221" s="3"/>
      <c r="U221" s="3"/>
      <c r="V221" s="3"/>
      <c r="W221" s="3"/>
      <c r="X221" s="3"/>
      <c r="Y221" s="3"/>
      <c r="Z221" s="3"/>
    </row>
    <row r="222" spans="1:26" ht="15.75" customHeight="1" x14ac:dyDescent="0.25">
      <c r="A222" s="3"/>
      <c r="B222" s="244"/>
      <c r="C222" s="49" t="s">
        <v>426</v>
      </c>
      <c r="D222" s="3" t="s">
        <v>481</v>
      </c>
      <c r="E222" s="3" t="s">
        <v>299</v>
      </c>
      <c r="F222" s="170">
        <v>5238</v>
      </c>
      <c r="G222" s="49" t="s">
        <v>66</v>
      </c>
      <c r="H222" s="68">
        <v>140987</v>
      </c>
      <c r="I222" s="49" t="s">
        <v>67</v>
      </c>
      <c r="J222" s="170">
        <f>F222*H222/1000000</f>
        <v>738.48990600000002</v>
      </c>
      <c r="K222" s="3">
        <v>58.14</v>
      </c>
      <c r="L222" s="3">
        <v>0</v>
      </c>
      <c r="M222" s="3">
        <v>0</v>
      </c>
      <c r="N222" s="3"/>
      <c r="O222" s="81"/>
      <c r="P222" s="3"/>
      <c r="Q222" s="3"/>
      <c r="R222" s="3"/>
      <c r="S222" s="3"/>
      <c r="T222" s="3"/>
      <c r="U222" s="3"/>
      <c r="V222" s="3"/>
      <c r="W222" s="3"/>
      <c r="X222" s="3"/>
      <c r="Y222" s="3"/>
      <c r="Z222" s="3"/>
    </row>
    <row r="223" spans="1:26" ht="15.75" customHeight="1" x14ac:dyDescent="0.25">
      <c r="A223" s="3"/>
      <c r="B223" s="244"/>
      <c r="C223" s="49" t="s">
        <v>484</v>
      </c>
      <c r="D223" s="49" t="s">
        <v>485</v>
      </c>
      <c r="E223" s="49" t="s">
        <v>402</v>
      </c>
      <c r="F223" s="92">
        <v>5198</v>
      </c>
      <c r="G223" s="49" t="s">
        <v>66</v>
      </c>
      <c r="H223" s="68">
        <v>140987</v>
      </c>
      <c r="I223" s="49" t="s">
        <v>67</v>
      </c>
      <c r="J223" s="332">
        <v>732.85042599999997</v>
      </c>
      <c r="K223" s="169">
        <v>57.7</v>
      </c>
      <c r="L223" s="101">
        <v>2.4234880482442E-3</v>
      </c>
      <c r="M223" s="305">
        <v>4.846976096488399E-4</v>
      </c>
      <c r="N223" s="3"/>
      <c r="O223" s="81" t="s">
        <v>230</v>
      </c>
      <c r="P223" s="3"/>
      <c r="Q223" s="3"/>
      <c r="R223" s="3"/>
      <c r="S223" s="3"/>
      <c r="T223" s="3"/>
      <c r="U223" s="3"/>
      <c r="V223" s="3"/>
      <c r="W223" s="3"/>
      <c r="X223" s="3"/>
      <c r="Y223" s="3"/>
      <c r="Z223" s="3"/>
    </row>
    <row r="224" spans="1:26" ht="15.75" customHeight="1" x14ac:dyDescent="0.25">
      <c r="A224" s="3"/>
      <c r="B224" s="327"/>
      <c r="C224" s="113"/>
      <c r="D224" s="113"/>
      <c r="E224" s="113"/>
      <c r="F224" s="118"/>
      <c r="G224" s="113"/>
      <c r="H224" s="118"/>
      <c r="I224" s="113"/>
      <c r="J224" s="449"/>
      <c r="K224" s="450"/>
      <c r="L224" s="122"/>
      <c r="M224" s="330"/>
      <c r="N224" s="3"/>
      <c r="O224" s="81"/>
      <c r="P224" s="3"/>
      <c r="Q224" s="3"/>
      <c r="R224" s="3"/>
      <c r="S224" s="3"/>
      <c r="T224" s="3"/>
      <c r="U224" s="3"/>
      <c r="V224" s="3"/>
      <c r="W224" s="3"/>
      <c r="X224" s="3"/>
      <c r="Y224" s="3"/>
      <c r="Z224" s="3"/>
    </row>
    <row r="225" spans="1:26" ht="15.75" customHeight="1" x14ac:dyDescent="0.25">
      <c r="A225" s="3"/>
      <c r="B225" s="278"/>
      <c r="C225" s="179"/>
      <c r="D225" s="179"/>
      <c r="E225" s="179"/>
      <c r="F225" s="313"/>
      <c r="G225" s="179"/>
      <c r="H225" s="313"/>
      <c r="I225" s="179"/>
      <c r="J225" s="293"/>
      <c r="K225" s="451"/>
      <c r="L225" s="444"/>
      <c r="M225" s="445"/>
      <c r="N225" s="3"/>
      <c r="O225" s="81"/>
      <c r="P225" s="3"/>
      <c r="Q225" s="3"/>
      <c r="R225" s="3"/>
      <c r="S225" s="3"/>
      <c r="T225" s="3"/>
      <c r="U225" s="3"/>
      <c r="V225" s="3"/>
      <c r="W225" s="3"/>
      <c r="X225" s="3"/>
      <c r="Y225" s="3"/>
      <c r="Z225" s="3"/>
    </row>
    <row r="226" spans="1:26" ht="15.75" customHeight="1" x14ac:dyDescent="0.25">
      <c r="A226" s="3"/>
      <c r="B226" s="297" t="s">
        <v>488</v>
      </c>
      <c r="C226" s="26" t="s">
        <v>489</v>
      </c>
      <c r="D226" s="24"/>
      <c r="E226" s="26"/>
      <c r="F226" s="419"/>
      <c r="G226" s="24"/>
      <c r="H226" s="38"/>
      <c r="I226" s="24"/>
      <c r="J226" s="340"/>
      <c r="K226" s="452"/>
      <c r="L226" s="422"/>
      <c r="M226" s="423"/>
      <c r="N226" s="3"/>
      <c r="O226" s="81"/>
      <c r="P226" s="3"/>
      <c r="Q226" s="3"/>
      <c r="R226" s="3"/>
      <c r="S226" s="3"/>
      <c r="T226" s="3"/>
      <c r="U226" s="3"/>
      <c r="V226" s="3"/>
      <c r="W226" s="3"/>
      <c r="X226" s="3"/>
      <c r="Y226" s="3"/>
      <c r="Z226" s="3"/>
    </row>
    <row r="227" spans="1:26" ht="15.75" customHeight="1" x14ac:dyDescent="0.25">
      <c r="A227" s="3"/>
      <c r="B227" s="244"/>
      <c r="C227" s="49" t="s">
        <v>490</v>
      </c>
      <c r="D227" s="49" t="s">
        <v>491</v>
      </c>
      <c r="E227" s="49" t="s">
        <v>402</v>
      </c>
      <c r="F227" s="92">
        <v>10166</v>
      </c>
      <c r="G227" s="49" t="s">
        <v>66</v>
      </c>
      <c r="H227" s="68">
        <v>141494</v>
      </c>
      <c r="I227" s="49" t="s">
        <v>67</v>
      </c>
      <c r="J227" s="332">
        <v>1438.4280040000001</v>
      </c>
      <c r="K227" s="168">
        <v>115</v>
      </c>
      <c r="L227" s="202">
        <v>6.0000000000000001E-3</v>
      </c>
      <c r="M227" s="370">
        <v>0</v>
      </c>
      <c r="N227" s="3"/>
      <c r="O227" s="81" t="s">
        <v>230</v>
      </c>
      <c r="P227" s="3"/>
      <c r="Q227" s="3"/>
      <c r="R227" s="3"/>
      <c r="S227" s="3"/>
      <c r="T227" s="3"/>
      <c r="U227" s="3"/>
      <c r="V227" s="3"/>
      <c r="W227" s="3"/>
      <c r="X227" s="3"/>
      <c r="Y227" s="3"/>
      <c r="Z227" s="3"/>
    </row>
    <row r="228" spans="1:26" ht="15.75" customHeight="1" x14ac:dyDescent="0.25">
      <c r="A228" s="3"/>
      <c r="B228" s="244"/>
      <c r="C228" s="49" t="s">
        <v>492</v>
      </c>
      <c r="D228" s="49" t="s">
        <v>493</v>
      </c>
      <c r="E228" s="49" t="s">
        <v>402</v>
      </c>
      <c r="F228" s="92">
        <v>10078</v>
      </c>
      <c r="G228" s="49" t="s">
        <v>66</v>
      </c>
      <c r="H228" s="68">
        <v>141494</v>
      </c>
      <c r="I228" s="49" t="s">
        <v>67</v>
      </c>
      <c r="J228" s="332">
        <v>1425.9765319999999</v>
      </c>
      <c r="K228" s="168">
        <v>114</v>
      </c>
      <c r="L228" s="202">
        <v>6.0000000000000001E-3</v>
      </c>
      <c r="M228" s="370">
        <v>0</v>
      </c>
      <c r="N228" s="3"/>
      <c r="O228" s="81" t="s">
        <v>230</v>
      </c>
      <c r="P228" s="3"/>
      <c r="Q228" s="3"/>
      <c r="R228" s="3"/>
      <c r="S228" s="3"/>
      <c r="T228" s="3"/>
      <c r="U228" s="3"/>
      <c r="V228" s="3"/>
      <c r="W228" s="3"/>
      <c r="X228" s="3"/>
      <c r="Y228" s="3"/>
      <c r="Z228" s="3"/>
    </row>
    <row r="229" spans="1:26" ht="15.75" customHeight="1" x14ac:dyDescent="0.25">
      <c r="A229" s="3"/>
      <c r="B229" s="244"/>
      <c r="C229" s="49" t="s">
        <v>496</v>
      </c>
      <c r="D229" s="49" t="s">
        <v>497</v>
      </c>
      <c r="E229" s="49" t="s">
        <v>402</v>
      </c>
      <c r="F229" s="92">
        <v>10166</v>
      </c>
      <c r="G229" s="49" t="s">
        <v>66</v>
      </c>
      <c r="H229" s="68">
        <v>141494</v>
      </c>
      <c r="I229" s="49" t="s">
        <v>67</v>
      </c>
      <c r="J229" s="332">
        <v>1438.4280040000001</v>
      </c>
      <c r="K229" s="168">
        <v>115</v>
      </c>
      <c r="L229" s="202">
        <v>6.0000000000000001E-3</v>
      </c>
      <c r="M229" s="370">
        <v>0</v>
      </c>
      <c r="N229" s="3"/>
      <c r="O229" s="81" t="s">
        <v>230</v>
      </c>
      <c r="P229" s="3"/>
      <c r="Q229" s="3"/>
      <c r="R229" s="3"/>
      <c r="S229" s="3"/>
      <c r="T229" s="3"/>
      <c r="U229" s="3"/>
      <c r="V229" s="3"/>
      <c r="W229" s="3"/>
      <c r="X229" s="3"/>
      <c r="Y229" s="3"/>
      <c r="Z229" s="3"/>
    </row>
    <row r="230" spans="1:26" ht="15.75" customHeight="1" x14ac:dyDescent="0.25">
      <c r="A230" s="3"/>
      <c r="B230" s="327"/>
      <c r="C230" s="113" t="s">
        <v>499</v>
      </c>
      <c r="D230" s="113" t="s">
        <v>500</v>
      </c>
      <c r="E230" s="113" t="s">
        <v>402</v>
      </c>
      <c r="F230" s="116">
        <v>10166.123</v>
      </c>
      <c r="G230" s="113" t="s">
        <v>66</v>
      </c>
      <c r="H230" s="118">
        <v>141494</v>
      </c>
      <c r="I230" s="113" t="s">
        <v>67</v>
      </c>
      <c r="J230" s="338">
        <v>1438.4454077619998</v>
      </c>
      <c r="K230" s="329">
        <v>115</v>
      </c>
      <c r="L230" s="219">
        <v>6.0000000000000001E-3</v>
      </c>
      <c r="M230" s="372">
        <v>0</v>
      </c>
      <c r="N230" s="3"/>
      <c r="O230" s="81" t="s">
        <v>230</v>
      </c>
      <c r="P230" s="3"/>
      <c r="Q230" s="3"/>
      <c r="R230" s="3"/>
      <c r="S230" s="3"/>
      <c r="T230" s="3"/>
      <c r="U230" s="3"/>
      <c r="V230" s="3"/>
      <c r="W230" s="3"/>
      <c r="X230" s="3"/>
      <c r="Y230" s="3"/>
      <c r="Z230" s="3"/>
    </row>
    <row r="231" spans="1:26" ht="15.75" customHeight="1" x14ac:dyDescent="0.25">
      <c r="A231" s="3"/>
      <c r="B231" s="278"/>
      <c r="C231" s="179"/>
      <c r="D231" s="179"/>
      <c r="E231" s="179"/>
      <c r="F231" s="313"/>
      <c r="G231" s="179"/>
      <c r="H231" s="313"/>
      <c r="I231" s="179"/>
      <c r="J231" s="293"/>
      <c r="K231" s="453"/>
      <c r="L231" s="444"/>
      <c r="M231" s="454"/>
      <c r="N231" s="3"/>
      <c r="O231" s="81"/>
      <c r="P231" s="3"/>
      <c r="Q231" s="3"/>
      <c r="R231" s="3"/>
      <c r="S231" s="3"/>
      <c r="T231" s="3"/>
      <c r="U231" s="3"/>
      <c r="V231" s="3"/>
      <c r="W231" s="3"/>
      <c r="X231" s="3"/>
      <c r="Y231" s="3"/>
      <c r="Z231" s="3"/>
    </row>
    <row r="232" spans="1:26" ht="15.75" customHeight="1" x14ac:dyDescent="0.25">
      <c r="A232" s="3"/>
      <c r="B232" s="297" t="s">
        <v>503</v>
      </c>
      <c r="C232" s="26" t="s">
        <v>504</v>
      </c>
      <c r="D232" s="24"/>
      <c r="E232" s="26"/>
      <c r="F232" s="419"/>
      <c r="G232" s="24"/>
      <c r="H232" s="24"/>
      <c r="I232" s="24"/>
      <c r="J232" s="223"/>
      <c r="K232" s="452"/>
      <c r="L232" s="422"/>
      <c r="M232" s="423"/>
      <c r="N232" s="3"/>
      <c r="O232" s="81"/>
      <c r="P232" s="3"/>
      <c r="Q232" s="3"/>
      <c r="R232" s="3"/>
      <c r="S232" s="3"/>
      <c r="T232" s="3"/>
      <c r="U232" s="3"/>
      <c r="V232" s="3"/>
      <c r="W232" s="3"/>
      <c r="X232" s="3"/>
      <c r="Y232" s="3"/>
      <c r="Z232" s="3"/>
    </row>
    <row r="233" spans="1:26" ht="15.75" customHeight="1" x14ac:dyDescent="0.25">
      <c r="A233" s="3"/>
      <c r="B233" s="244"/>
      <c r="C233" s="49" t="s">
        <v>505</v>
      </c>
      <c r="D233" s="49" t="s">
        <v>506</v>
      </c>
      <c r="E233" s="49" t="s">
        <v>402</v>
      </c>
      <c r="F233" s="92">
        <v>15847</v>
      </c>
      <c r="G233" s="49" t="s">
        <v>66</v>
      </c>
      <c r="H233" s="68">
        <v>137030</v>
      </c>
      <c r="I233" s="49" t="s">
        <v>67</v>
      </c>
      <c r="J233" s="455">
        <v>2171.5144100000002</v>
      </c>
      <c r="K233" s="169">
        <v>177.03694271254795</v>
      </c>
      <c r="L233" s="369">
        <v>7.1810550045652236E-3</v>
      </c>
      <c r="M233" s="370">
        <v>1.4362110009130446E-3</v>
      </c>
      <c r="N233" s="3"/>
      <c r="O233" s="81" t="s">
        <v>230</v>
      </c>
      <c r="P233" s="3"/>
      <c r="Q233" s="3"/>
      <c r="R233" s="3"/>
      <c r="S233" s="3"/>
      <c r="T233" s="3"/>
      <c r="U233" s="3"/>
      <c r="V233" s="3"/>
      <c r="W233" s="3"/>
      <c r="X233" s="3"/>
      <c r="Y233" s="3"/>
      <c r="Z233" s="3"/>
    </row>
    <row r="234" spans="1:26" ht="15.75" customHeight="1" x14ac:dyDescent="0.25">
      <c r="A234" s="3"/>
      <c r="B234" s="244"/>
      <c r="C234" s="49" t="s">
        <v>508</v>
      </c>
      <c r="D234" s="49" t="s">
        <v>509</v>
      </c>
      <c r="E234" s="49" t="s">
        <v>402</v>
      </c>
      <c r="F234" s="92">
        <v>6259</v>
      </c>
      <c r="G234" s="49" t="s">
        <v>66</v>
      </c>
      <c r="H234" s="68">
        <v>137030</v>
      </c>
      <c r="I234" s="49" t="s">
        <v>67</v>
      </c>
      <c r="J234" s="455">
        <v>857.67076999999995</v>
      </c>
      <c r="K234" s="169">
        <v>69.923280396153046</v>
      </c>
      <c r="L234" s="369">
        <v>2.836260697518377E-3</v>
      </c>
      <c r="M234" s="370">
        <v>5.672521395036754E-4</v>
      </c>
      <c r="N234" s="3"/>
      <c r="O234" s="81" t="s">
        <v>230</v>
      </c>
      <c r="P234" s="3"/>
      <c r="Q234" s="3"/>
      <c r="R234" s="3"/>
      <c r="S234" s="3"/>
      <c r="T234" s="3"/>
      <c r="U234" s="3"/>
      <c r="V234" s="3"/>
      <c r="W234" s="3"/>
      <c r="X234" s="3"/>
      <c r="Y234" s="3"/>
      <c r="Z234" s="3"/>
    </row>
    <row r="235" spans="1:26" ht="15.75" customHeight="1" x14ac:dyDescent="0.25">
      <c r="A235" s="3"/>
      <c r="B235" s="244"/>
      <c r="C235" s="49" t="s">
        <v>302</v>
      </c>
      <c r="D235" s="49" t="s">
        <v>510</v>
      </c>
      <c r="E235" s="49" t="s">
        <v>402</v>
      </c>
      <c r="F235" s="92">
        <v>6276</v>
      </c>
      <c r="G235" s="49" t="s">
        <v>66</v>
      </c>
      <c r="H235" s="68">
        <v>137030</v>
      </c>
      <c r="I235" s="49" t="s">
        <v>67</v>
      </c>
      <c r="J235" s="455">
        <v>860.00027999999998</v>
      </c>
      <c r="K235" s="169">
        <v>70.113198237139571</v>
      </c>
      <c r="L235" s="369">
        <v>2.8439642335237793E-3</v>
      </c>
      <c r="M235" s="370">
        <v>5.6879284670475583E-4</v>
      </c>
      <c r="N235" s="3"/>
      <c r="O235" s="81" t="s">
        <v>230</v>
      </c>
      <c r="P235" s="3"/>
      <c r="Q235" s="3"/>
      <c r="R235" s="3"/>
      <c r="S235" s="3"/>
      <c r="T235" s="3"/>
      <c r="U235" s="3"/>
      <c r="V235" s="3"/>
      <c r="W235" s="3"/>
      <c r="X235" s="3"/>
      <c r="Y235" s="3"/>
      <c r="Z235" s="3"/>
    </row>
    <row r="236" spans="1:26" ht="15.75" customHeight="1" x14ac:dyDescent="0.25">
      <c r="A236" s="3"/>
      <c r="B236" s="244"/>
      <c r="C236" s="49" t="s">
        <v>511</v>
      </c>
      <c r="D236" s="49" t="s">
        <v>512</v>
      </c>
      <c r="E236" s="49" t="s">
        <v>402</v>
      </c>
      <c r="F236" s="92">
        <v>15948</v>
      </c>
      <c r="G236" s="49" t="s">
        <v>66</v>
      </c>
      <c r="H236" s="68">
        <v>137030</v>
      </c>
      <c r="I236" s="49" t="s">
        <v>67</v>
      </c>
      <c r="J236" s="455">
        <v>2185.3544400000001</v>
      </c>
      <c r="K236" s="169">
        <v>178.16527812076194</v>
      </c>
      <c r="L236" s="369">
        <v>7.2268230714208478E-3</v>
      </c>
      <c r="M236" s="370">
        <v>1.4453646142841693E-3</v>
      </c>
      <c r="N236" s="3"/>
      <c r="O236" s="81" t="s">
        <v>230</v>
      </c>
      <c r="P236" s="3"/>
      <c r="Q236" s="3"/>
      <c r="R236" s="3"/>
      <c r="S236" s="3"/>
      <c r="T236" s="3"/>
      <c r="U236" s="3"/>
      <c r="V236" s="3"/>
      <c r="W236" s="3"/>
      <c r="X236" s="3"/>
      <c r="Y236" s="3"/>
      <c r="Z236" s="3"/>
    </row>
    <row r="237" spans="1:26" ht="15.75" customHeight="1" x14ac:dyDescent="0.25">
      <c r="A237" s="3"/>
      <c r="B237" s="244"/>
      <c r="C237" s="49" t="s">
        <v>514</v>
      </c>
      <c r="D237" s="49" t="s">
        <v>515</v>
      </c>
      <c r="E237" s="49" t="s">
        <v>402</v>
      </c>
      <c r="F237" s="92">
        <v>14378</v>
      </c>
      <c r="G237" s="49" t="s">
        <v>66</v>
      </c>
      <c r="H237" s="68">
        <v>137030</v>
      </c>
      <c r="I237" s="49" t="s">
        <v>67</v>
      </c>
      <c r="J237" s="455">
        <v>1970.2173399999999</v>
      </c>
      <c r="K237" s="169">
        <v>160.62580692377193</v>
      </c>
      <c r="L237" s="369">
        <v>6.5153788638631135E-3</v>
      </c>
      <c r="M237" s="370">
        <v>1.3030757727726225E-3</v>
      </c>
      <c r="N237" s="3"/>
      <c r="O237" s="81" t="s">
        <v>230</v>
      </c>
      <c r="P237" s="3"/>
      <c r="Q237" s="3"/>
      <c r="R237" s="3"/>
      <c r="S237" s="3"/>
      <c r="T237" s="3"/>
      <c r="U237" s="3"/>
      <c r="V237" s="3"/>
      <c r="W237" s="3"/>
      <c r="X237" s="3"/>
      <c r="Y237" s="3"/>
      <c r="Z237" s="3"/>
    </row>
    <row r="238" spans="1:26" ht="15.75" customHeight="1" x14ac:dyDescent="0.25">
      <c r="A238" s="3"/>
      <c r="B238" s="244"/>
      <c r="C238" s="49" t="s">
        <v>517</v>
      </c>
      <c r="D238" s="49" t="s">
        <v>518</v>
      </c>
      <c r="E238" s="49" t="s">
        <v>402</v>
      </c>
      <c r="F238" s="92">
        <v>12064</v>
      </c>
      <c r="G238" s="49" t="s">
        <v>66</v>
      </c>
      <c r="H238" s="68">
        <v>137030</v>
      </c>
      <c r="I238" s="49" t="s">
        <v>67</v>
      </c>
      <c r="J238" s="455">
        <v>1653.1299200000001</v>
      </c>
      <c r="K238" s="169">
        <v>134.77463727419564</v>
      </c>
      <c r="L238" s="369">
        <v>5.466791668774838E-3</v>
      </c>
      <c r="M238" s="370">
        <v>1.0933583337549672E-3</v>
      </c>
      <c r="N238" s="3"/>
      <c r="O238" s="81" t="s">
        <v>230</v>
      </c>
      <c r="P238" s="3"/>
      <c r="Q238" s="3"/>
      <c r="R238" s="3"/>
      <c r="S238" s="3"/>
      <c r="T238" s="3"/>
      <c r="U238" s="3"/>
      <c r="V238" s="3"/>
      <c r="W238" s="3"/>
      <c r="X238" s="3"/>
      <c r="Y238" s="3"/>
      <c r="Z238" s="3"/>
    </row>
    <row r="239" spans="1:26" ht="15.75" customHeight="1" x14ac:dyDescent="0.25">
      <c r="A239" s="3"/>
      <c r="B239" s="327"/>
      <c r="C239" s="113" t="s">
        <v>520</v>
      </c>
      <c r="D239" s="113" t="s">
        <v>521</v>
      </c>
      <c r="E239" s="113" t="s">
        <v>402</v>
      </c>
      <c r="F239" s="116">
        <v>6840</v>
      </c>
      <c r="G239" s="113" t="s">
        <v>66</v>
      </c>
      <c r="H239" s="118">
        <v>137030</v>
      </c>
      <c r="I239" s="113" t="s">
        <v>67</v>
      </c>
      <c r="J239" s="457">
        <v>937.28520000000003</v>
      </c>
      <c r="K239" s="371">
        <v>76.414001902809872</v>
      </c>
      <c r="L239" s="355">
        <v>3.0995403692324181E-3</v>
      </c>
      <c r="M239" s="372">
        <v>6.1990807384648347E-4</v>
      </c>
      <c r="N239" s="3"/>
      <c r="O239" s="81" t="s">
        <v>230</v>
      </c>
      <c r="P239" s="3"/>
      <c r="Q239" s="3"/>
      <c r="R239" s="3"/>
      <c r="S239" s="3"/>
      <c r="T239" s="3"/>
      <c r="U239" s="3"/>
      <c r="V239" s="3"/>
      <c r="W239" s="3"/>
      <c r="X239" s="3"/>
      <c r="Y239" s="3"/>
      <c r="Z239" s="3"/>
    </row>
    <row r="240" spans="1:26" ht="15.75" customHeight="1" x14ac:dyDescent="0.25">
      <c r="A240" s="3"/>
      <c r="B240" s="230" t="s">
        <v>155</v>
      </c>
      <c r="C240" s="180" t="s">
        <v>156</v>
      </c>
      <c r="D240" s="378"/>
      <c r="E240" s="179"/>
      <c r="F240" s="313"/>
      <c r="G240" s="179"/>
      <c r="H240" s="313"/>
      <c r="I240" s="179"/>
      <c r="J240" s="458"/>
      <c r="K240" s="459"/>
      <c r="L240" s="444"/>
      <c r="M240" s="460"/>
      <c r="N240" s="3"/>
      <c r="O240" s="81"/>
      <c r="P240" s="3"/>
      <c r="Q240" s="3"/>
      <c r="R240" s="3"/>
      <c r="S240" s="3"/>
      <c r="T240" s="3"/>
      <c r="U240" s="3"/>
      <c r="V240" s="3"/>
      <c r="W240" s="3"/>
      <c r="X240" s="3"/>
      <c r="Y240" s="3"/>
      <c r="Z240" s="3"/>
    </row>
    <row r="241" spans="1:26" ht="15.75" customHeight="1" x14ac:dyDescent="0.25">
      <c r="A241" s="3"/>
      <c r="B241" s="278"/>
      <c r="C241" s="461" t="s">
        <v>157</v>
      </c>
      <c r="D241" s="462" t="s">
        <v>158</v>
      </c>
      <c r="E241" s="461" t="s">
        <v>402</v>
      </c>
      <c r="F241" s="463">
        <v>47886</v>
      </c>
      <c r="G241" s="461" t="s">
        <v>66</v>
      </c>
      <c r="H241" s="463">
        <v>141324</v>
      </c>
      <c r="I241" s="461" t="s">
        <v>525</v>
      </c>
      <c r="J241" s="464">
        <f>Luke!E16</f>
        <v>6767.4410639999996</v>
      </c>
      <c r="K241" s="468">
        <f>Luke!E18+Luke!E22+Luke!E26</f>
        <v>679.62621475918513</v>
      </c>
      <c r="L241" s="471">
        <f>Luke!E19+Luke!E23+Luke!E27</f>
        <v>8.0784207540361017E-2</v>
      </c>
      <c r="M241" s="473">
        <f>Luke!E20+Luke!E24+Luke!E28</f>
        <v>1.1893810847662889E-2</v>
      </c>
      <c r="N241" s="3"/>
      <c r="O241" s="81"/>
      <c r="P241" s="3"/>
      <c r="Q241" s="3"/>
      <c r="R241" s="3"/>
      <c r="S241" s="3"/>
      <c r="T241" s="3"/>
      <c r="U241" s="3"/>
      <c r="V241" s="3"/>
      <c r="W241" s="3"/>
      <c r="X241" s="3"/>
      <c r="Y241" s="3"/>
      <c r="Z241" s="3"/>
    </row>
    <row r="242" spans="1:26" ht="15.75" customHeight="1" x14ac:dyDescent="0.25">
      <c r="A242" s="3"/>
      <c r="B242" s="278"/>
      <c r="C242" s="180"/>
      <c r="D242" s="179"/>
      <c r="E242" s="180"/>
      <c r="F242" s="475"/>
      <c r="G242" s="179"/>
      <c r="H242" s="313"/>
      <c r="I242" s="179"/>
      <c r="J242" s="476"/>
      <c r="K242" s="478"/>
      <c r="L242" s="480"/>
      <c r="M242" s="481"/>
      <c r="N242" s="3"/>
      <c r="O242" s="81"/>
      <c r="P242" s="3"/>
      <c r="Q242" s="3"/>
      <c r="R242" s="3"/>
      <c r="S242" s="3"/>
      <c r="T242" s="3"/>
      <c r="U242" s="3"/>
      <c r="V242" s="3"/>
      <c r="W242" s="3"/>
      <c r="X242" s="3"/>
      <c r="Y242" s="3"/>
      <c r="Z242" s="3"/>
    </row>
    <row r="243" spans="1:26" ht="15.75" customHeight="1" x14ac:dyDescent="0.25">
      <c r="A243" s="3"/>
      <c r="B243" s="482"/>
      <c r="C243" s="483"/>
      <c r="D243" s="484"/>
      <c r="E243" s="483"/>
      <c r="F243" s="486">
        <f>SUM(F77:F242)</f>
        <v>15387765.265857143</v>
      </c>
      <c r="G243" s="484"/>
      <c r="H243" s="488"/>
      <c r="I243" s="489"/>
      <c r="J243" s="493">
        <f t="shared" ref="J243:M243" si="1">SUM(J77:J242)</f>
        <v>1804131.3567367618</v>
      </c>
      <c r="K243" s="493">
        <f t="shared" si="1"/>
        <v>149058.4577905625</v>
      </c>
      <c r="L243" s="493">
        <f t="shared" si="1"/>
        <v>3.6689612981783335</v>
      </c>
      <c r="M243" s="499">
        <f t="shared" si="1"/>
        <v>3.5683588965733426</v>
      </c>
      <c r="N243" s="3"/>
      <c r="O243" s="81"/>
      <c r="P243" s="3"/>
      <c r="Q243" s="3"/>
      <c r="R243" s="3"/>
      <c r="S243" s="3"/>
      <c r="T243" s="3"/>
      <c r="U243" s="3"/>
      <c r="V243" s="3"/>
      <c r="W243" s="3"/>
      <c r="X243" s="3"/>
      <c r="Y243" s="3"/>
      <c r="Z243" s="3"/>
    </row>
    <row r="244" spans="1:26" ht="15.75" customHeight="1" x14ac:dyDescent="0.25">
      <c r="A244" s="3"/>
      <c r="B244" s="502"/>
      <c r="C244" s="503"/>
      <c r="D244" s="504"/>
      <c r="E244" s="503"/>
      <c r="F244" s="505"/>
      <c r="G244" s="504"/>
      <c r="H244" s="506"/>
      <c r="I244" s="504"/>
      <c r="J244" s="508"/>
      <c r="K244" s="508"/>
      <c r="L244" s="508"/>
      <c r="M244" s="510"/>
      <c r="N244" s="3"/>
      <c r="O244" s="81"/>
      <c r="P244" s="3"/>
      <c r="Q244" s="3"/>
      <c r="R244" s="3"/>
      <c r="S244" s="3"/>
      <c r="T244" s="3"/>
      <c r="U244" s="3"/>
      <c r="V244" s="3"/>
      <c r="W244" s="3"/>
      <c r="X244" s="3"/>
      <c r="Y244" s="3"/>
      <c r="Z244" s="3"/>
    </row>
    <row r="245" spans="1:26" ht="15.75" customHeight="1" x14ac:dyDescent="0.25">
      <c r="A245" s="3"/>
      <c r="B245" s="512"/>
      <c r="C245" s="513"/>
      <c r="D245" s="514"/>
      <c r="E245" s="513" t="s">
        <v>547</v>
      </c>
      <c r="F245" s="518"/>
      <c r="G245" s="514"/>
      <c r="H245" s="520"/>
      <c r="I245" s="514"/>
      <c r="J245" s="522"/>
      <c r="K245" s="525">
        <f>(K243*0.90718474)/1000000</f>
        <v>0.13522355827553242</v>
      </c>
      <c r="L245" s="527">
        <f>(L243*$J$425*0.90718474)/1000000</f>
        <v>9.2863077067887481E-5</v>
      </c>
      <c r="M245" s="529">
        <f>(M243*$J$426*0.90718474)/1000000</f>
        <v>8.8374488142337884E-4</v>
      </c>
      <c r="N245" s="3"/>
      <c r="O245" s="81"/>
      <c r="P245" s="3"/>
      <c r="Q245" s="3"/>
      <c r="R245" s="3"/>
      <c r="S245" s="3"/>
      <c r="T245" s="3"/>
      <c r="U245" s="3"/>
      <c r="V245" s="3"/>
      <c r="W245" s="3"/>
      <c r="X245" s="3"/>
      <c r="Y245" s="3"/>
      <c r="Z245" s="3"/>
    </row>
    <row r="246" spans="1:26" ht="15.75" customHeight="1" x14ac:dyDescent="0.25">
      <c r="A246" s="3"/>
      <c r="B246" s="318"/>
      <c r="C246" s="531"/>
      <c r="D246" s="532"/>
      <c r="E246" s="531"/>
      <c r="F246" s="533"/>
      <c r="G246" s="532"/>
      <c r="H246" s="534"/>
      <c r="I246" s="532"/>
      <c r="J246" s="535"/>
      <c r="K246" s="535"/>
      <c r="L246" s="535"/>
      <c r="M246" s="536"/>
      <c r="N246" s="3"/>
      <c r="O246" s="81"/>
      <c r="P246" s="3"/>
      <c r="Q246" s="3"/>
      <c r="R246" s="3"/>
      <c r="S246" s="3"/>
      <c r="T246" s="3"/>
      <c r="U246" s="3"/>
      <c r="V246" s="3"/>
      <c r="W246" s="3"/>
      <c r="X246" s="3"/>
      <c r="Y246" s="3"/>
      <c r="Z246" s="3"/>
    </row>
    <row r="247" spans="1:26" ht="15.75" customHeight="1" x14ac:dyDescent="0.25">
      <c r="A247" s="3"/>
      <c r="B247" s="60"/>
      <c r="C247" s="60"/>
      <c r="D247" s="3"/>
      <c r="E247" s="3"/>
      <c r="F247" s="170"/>
      <c r="G247" s="170"/>
      <c r="H247" s="3"/>
      <c r="I247" s="3"/>
      <c r="J247" s="3"/>
      <c r="K247" s="3"/>
      <c r="L247" s="3"/>
      <c r="M247" s="3"/>
      <c r="N247" s="3"/>
      <c r="O247" s="81"/>
      <c r="P247" s="3"/>
      <c r="Q247" s="3"/>
      <c r="R247" s="3"/>
      <c r="S247" s="3"/>
      <c r="T247" s="3"/>
      <c r="U247" s="3"/>
      <c r="V247" s="3"/>
      <c r="W247" s="3"/>
      <c r="X247" s="3"/>
      <c r="Y247" s="3"/>
      <c r="Z247" s="3"/>
    </row>
    <row r="248" spans="1:26" ht="15.75" customHeight="1" x14ac:dyDescent="0.25">
      <c r="A248" s="3"/>
      <c r="B248" s="60"/>
      <c r="C248" s="60"/>
      <c r="D248" s="3"/>
      <c r="E248" s="3"/>
      <c r="F248" s="170"/>
      <c r="G248" s="170"/>
      <c r="H248" s="3"/>
      <c r="I248" s="3"/>
      <c r="J248" s="3"/>
      <c r="K248" s="3"/>
      <c r="L248" s="3"/>
      <c r="M248" s="3"/>
      <c r="N248" s="3"/>
      <c r="O248" s="81"/>
      <c r="P248" s="3"/>
      <c r="Q248" s="3"/>
      <c r="R248" s="3"/>
      <c r="S248" s="3"/>
      <c r="T248" s="3"/>
      <c r="U248" s="3"/>
      <c r="V248" s="3"/>
      <c r="W248" s="3"/>
      <c r="X248" s="3"/>
      <c r="Y248" s="3"/>
      <c r="Z248" s="3"/>
    </row>
    <row r="249" spans="1:26" ht="15.75" customHeight="1" x14ac:dyDescent="0.25">
      <c r="A249" s="3"/>
      <c r="B249" s="60"/>
      <c r="C249" s="60"/>
      <c r="D249" s="3"/>
      <c r="E249" s="3"/>
      <c r="F249" s="170"/>
      <c r="G249" s="170"/>
      <c r="H249" s="3"/>
      <c r="I249" s="3"/>
      <c r="J249" s="3"/>
      <c r="K249" s="3"/>
      <c r="L249" s="3"/>
      <c r="M249" s="3"/>
      <c r="N249" s="3"/>
      <c r="O249" s="81"/>
      <c r="P249" s="3"/>
      <c r="Q249" s="3"/>
      <c r="R249" s="3"/>
      <c r="S249" s="3"/>
      <c r="T249" s="3"/>
      <c r="U249" s="3"/>
      <c r="V249" s="3"/>
      <c r="W249" s="3"/>
      <c r="X249" s="3"/>
      <c r="Y249" s="3"/>
      <c r="Z249" s="3"/>
    </row>
    <row r="250" spans="1:26" ht="15.75" customHeight="1" x14ac:dyDescent="0.25">
      <c r="A250" s="3"/>
      <c r="B250" s="60"/>
      <c r="C250" s="60"/>
      <c r="D250" s="3"/>
      <c r="E250" s="3"/>
      <c r="F250" s="170"/>
      <c r="G250" s="170"/>
      <c r="H250" s="3"/>
      <c r="I250" s="3"/>
      <c r="J250" s="3"/>
      <c r="K250" s="3"/>
      <c r="L250" s="3"/>
      <c r="M250" s="3"/>
      <c r="N250" s="3"/>
      <c r="O250" s="81"/>
      <c r="P250" s="3"/>
      <c r="Q250" s="3"/>
      <c r="R250" s="3"/>
      <c r="S250" s="3"/>
      <c r="T250" s="3"/>
      <c r="U250" s="3"/>
      <c r="V250" s="3"/>
      <c r="W250" s="3"/>
      <c r="X250" s="3"/>
      <c r="Y250" s="3"/>
      <c r="Z250" s="3"/>
    </row>
    <row r="251" spans="1:26" ht="15.75" customHeight="1" x14ac:dyDescent="0.25">
      <c r="A251" s="3"/>
      <c r="B251" s="3"/>
      <c r="C251" s="3"/>
      <c r="D251" s="3"/>
      <c r="E251" s="541"/>
      <c r="F251" s="542"/>
      <c r="G251" s="170"/>
      <c r="H251" s="543"/>
      <c r="I251" s="542"/>
      <c r="J251" s="544"/>
      <c r="K251" s="545"/>
      <c r="L251" s="3"/>
      <c r="M251" s="3"/>
      <c r="N251" s="3"/>
      <c r="O251" s="81"/>
      <c r="P251" s="3"/>
      <c r="Q251" s="3"/>
      <c r="R251" s="3"/>
      <c r="S251" s="3"/>
      <c r="T251" s="3"/>
      <c r="U251" s="3"/>
      <c r="V251" s="3"/>
      <c r="W251" s="3"/>
      <c r="X251" s="3"/>
      <c r="Y251" s="3"/>
      <c r="Z251" s="3"/>
    </row>
    <row r="252" spans="1:26" ht="15.75" customHeight="1" x14ac:dyDescent="0.25">
      <c r="A252" s="3"/>
      <c r="B252" s="279" t="s">
        <v>6</v>
      </c>
      <c r="C252" s="280" t="s">
        <v>7</v>
      </c>
      <c r="D252" s="280" t="s">
        <v>8</v>
      </c>
      <c r="E252" s="280" t="s">
        <v>9</v>
      </c>
      <c r="F252" s="280" t="s">
        <v>10</v>
      </c>
      <c r="G252" s="280" t="s">
        <v>47</v>
      </c>
      <c r="H252" s="280" t="s">
        <v>49</v>
      </c>
      <c r="I252" s="280" t="s">
        <v>50</v>
      </c>
      <c r="J252" s="281" t="s">
        <v>51</v>
      </c>
      <c r="K252" s="282" t="s">
        <v>559</v>
      </c>
      <c r="L252" s="280" t="s">
        <v>560</v>
      </c>
      <c r="M252" s="283" t="s">
        <v>561</v>
      </c>
      <c r="N252" s="3"/>
      <c r="O252" s="81"/>
      <c r="P252" s="3"/>
      <c r="Q252" s="3"/>
      <c r="R252" s="3"/>
      <c r="S252" s="3"/>
      <c r="T252" s="3"/>
      <c r="U252" s="3"/>
      <c r="V252" s="3"/>
      <c r="W252" s="3"/>
      <c r="X252" s="3"/>
      <c r="Y252" s="3"/>
      <c r="Z252" s="3"/>
    </row>
    <row r="253" spans="1:26" ht="15.75" customHeight="1" x14ac:dyDescent="0.25">
      <c r="A253" s="3"/>
      <c r="B253" s="285"/>
      <c r="C253" s="180"/>
      <c r="D253" s="180"/>
      <c r="E253" s="25" t="s">
        <v>563</v>
      </c>
      <c r="F253" s="180"/>
      <c r="G253" s="180"/>
      <c r="H253" s="180"/>
      <c r="I253" s="180"/>
      <c r="J253" s="287" t="s">
        <v>24</v>
      </c>
      <c r="K253" s="186" t="s">
        <v>25</v>
      </c>
      <c r="L253" s="180" t="s">
        <v>25</v>
      </c>
      <c r="M253" s="289" t="s">
        <v>25</v>
      </c>
      <c r="N253" s="3"/>
      <c r="O253" s="81"/>
      <c r="P253" s="3"/>
      <c r="Q253" s="3"/>
      <c r="R253" s="3"/>
      <c r="S253" s="3"/>
      <c r="T253" s="3"/>
      <c r="U253" s="3"/>
      <c r="V253" s="3"/>
      <c r="W253" s="3"/>
      <c r="X253" s="3"/>
      <c r="Y253" s="3"/>
      <c r="Z253" s="3"/>
    </row>
    <row r="254" spans="1:26" ht="15.75" customHeight="1" x14ac:dyDescent="0.25">
      <c r="A254" s="3"/>
      <c r="B254" s="291"/>
      <c r="C254" s="292"/>
      <c r="D254" s="292"/>
      <c r="E254" s="292"/>
      <c r="F254" s="292"/>
      <c r="G254" s="292"/>
      <c r="H254" s="292"/>
      <c r="I254" s="292"/>
      <c r="J254" s="546"/>
      <c r="K254" s="385"/>
      <c r="L254" s="292"/>
      <c r="M254" s="548"/>
      <c r="N254" s="3"/>
      <c r="O254" s="81"/>
      <c r="P254" s="3"/>
      <c r="Q254" s="3"/>
      <c r="R254" s="3"/>
      <c r="S254" s="3"/>
      <c r="T254" s="3"/>
      <c r="U254" s="3"/>
      <c r="V254" s="3"/>
      <c r="W254" s="3"/>
      <c r="X254" s="3"/>
      <c r="Y254" s="3"/>
      <c r="Z254" s="3"/>
    </row>
    <row r="255" spans="1:26" ht="15.75" customHeight="1" x14ac:dyDescent="0.25">
      <c r="A255" s="3"/>
      <c r="B255" s="549" t="s">
        <v>108</v>
      </c>
      <c r="C255" s="551" t="s">
        <v>110</v>
      </c>
      <c r="D255" s="552"/>
      <c r="E255" s="552"/>
      <c r="F255" s="539"/>
      <c r="G255" s="552"/>
      <c r="H255" s="539"/>
      <c r="I255" s="552"/>
      <c r="J255" s="554"/>
      <c r="K255" s="555"/>
      <c r="L255" s="556"/>
      <c r="M255" s="557"/>
      <c r="N255" s="3"/>
      <c r="O255" s="81"/>
      <c r="P255" s="3"/>
      <c r="Q255" s="3"/>
      <c r="R255" s="3"/>
      <c r="S255" s="3"/>
      <c r="T255" s="3"/>
      <c r="U255" s="3"/>
      <c r="V255" s="3"/>
      <c r="W255" s="3"/>
      <c r="X255" s="3"/>
      <c r="Y255" s="3"/>
      <c r="Z255" s="3"/>
    </row>
    <row r="256" spans="1:26" ht="15.75" customHeight="1" x14ac:dyDescent="0.25">
      <c r="A256" s="3"/>
      <c r="B256" s="424"/>
      <c r="C256" s="49"/>
      <c r="D256" s="49"/>
      <c r="E256" s="49"/>
      <c r="F256" s="68"/>
      <c r="G256" s="49"/>
      <c r="H256" s="68"/>
      <c r="I256" s="49"/>
      <c r="J256" s="333"/>
      <c r="K256" s="52"/>
      <c r="L256" s="107"/>
      <c r="M256" s="325"/>
      <c r="N256" s="3"/>
      <c r="O256" s="81"/>
      <c r="P256" s="3"/>
      <c r="Q256" s="3"/>
      <c r="R256" s="3"/>
      <c r="S256" s="3"/>
      <c r="T256" s="3"/>
      <c r="U256" s="3"/>
      <c r="V256" s="3"/>
      <c r="W256" s="3"/>
      <c r="X256" s="3"/>
      <c r="Y256" s="3"/>
      <c r="Z256" s="3"/>
    </row>
    <row r="257" spans="1:26" ht="15.75" customHeight="1" x14ac:dyDescent="0.25">
      <c r="A257" s="3"/>
      <c r="B257" s="424"/>
      <c r="C257" s="50" t="s">
        <v>199</v>
      </c>
      <c r="D257" s="155" t="s">
        <v>122</v>
      </c>
      <c r="E257" s="50" t="s">
        <v>200</v>
      </c>
      <c r="F257" s="52">
        <v>620224</v>
      </c>
      <c r="G257" s="50" t="s">
        <v>66</v>
      </c>
      <c r="H257" s="55">
        <v>151598</v>
      </c>
      <c r="I257" s="50" t="s">
        <v>67</v>
      </c>
      <c r="J257" s="353">
        <v>94024.717952000006</v>
      </c>
      <c r="K257" s="168">
        <v>5852.9094182510353</v>
      </c>
      <c r="L257" s="169">
        <v>0.11209004761242979</v>
      </c>
      <c r="M257" s="326">
        <v>3.7591174504168524E-2</v>
      </c>
      <c r="N257" s="3"/>
      <c r="O257" s="81" t="s">
        <v>36</v>
      </c>
      <c r="P257" s="3"/>
      <c r="Q257" s="3"/>
      <c r="R257" s="3"/>
      <c r="S257" s="3"/>
      <c r="T257" s="3"/>
      <c r="U257" s="3"/>
      <c r="V257" s="3"/>
      <c r="W257" s="3"/>
      <c r="X257" s="3"/>
      <c r="Y257" s="3"/>
      <c r="Z257" s="3"/>
    </row>
    <row r="258" spans="1:26" ht="15.75" customHeight="1" x14ac:dyDescent="0.25">
      <c r="A258" s="3"/>
      <c r="B258" s="424"/>
      <c r="C258" s="49"/>
      <c r="D258" s="154"/>
      <c r="E258" s="49"/>
      <c r="F258" s="68"/>
      <c r="G258" s="49"/>
      <c r="H258" s="68"/>
      <c r="I258" s="49"/>
      <c r="J258" s="333"/>
      <c r="K258" s="52"/>
      <c r="L258" s="107"/>
      <c r="M258" s="325"/>
      <c r="N258" s="3"/>
      <c r="O258" s="81"/>
      <c r="P258" s="3"/>
      <c r="Q258" s="3"/>
      <c r="R258" s="3"/>
      <c r="S258" s="3"/>
      <c r="T258" s="3"/>
      <c r="U258" s="3"/>
      <c r="V258" s="3"/>
      <c r="W258" s="3"/>
      <c r="X258" s="3"/>
      <c r="Y258" s="3"/>
      <c r="Z258" s="3"/>
    </row>
    <row r="259" spans="1:26" ht="15.75" customHeight="1" x14ac:dyDescent="0.25">
      <c r="A259" s="3"/>
      <c r="B259" s="424"/>
      <c r="C259" s="49" t="s">
        <v>208</v>
      </c>
      <c r="D259" s="274" t="s">
        <v>209</v>
      </c>
      <c r="E259" s="49" t="s">
        <v>200</v>
      </c>
      <c r="F259" s="92">
        <v>563476</v>
      </c>
      <c r="G259" s="49" t="s">
        <v>66</v>
      </c>
      <c r="H259" s="68">
        <v>151673</v>
      </c>
      <c r="I259" s="49" t="s">
        <v>67</v>
      </c>
      <c r="J259" s="353">
        <v>85464.095348000003</v>
      </c>
      <c r="K259" s="168">
        <v>6041.7196432692781</v>
      </c>
      <c r="L259" s="169">
        <v>0.11592271821026373</v>
      </c>
      <c r="M259" s="326">
        <v>3.8017665649602621E-2</v>
      </c>
      <c r="N259" s="3"/>
      <c r="O259" s="81" t="s">
        <v>36</v>
      </c>
      <c r="P259" s="3"/>
      <c r="Q259" s="3"/>
      <c r="R259" s="3"/>
      <c r="S259" s="3"/>
      <c r="T259" s="3"/>
      <c r="U259" s="3"/>
      <c r="V259" s="3"/>
      <c r="W259" s="3"/>
      <c r="X259" s="3"/>
      <c r="Y259" s="3"/>
      <c r="Z259" s="3"/>
    </row>
    <row r="260" spans="1:26" ht="15.75" customHeight="1" x14ac:dyDescent="0.25">
      <c r="A260" s="3"/>
      <c r="B260" s="564"/>
      <c r="C260" s="179"/>
      <c r="D260" s="179"/>
      <c r="E260" s="179"/>
      <c r="F260" s="313"/>
      <c r="G260" s="179"/>
      <c r="H260" s="313"/>
      <c r="I260" s="179"/>
      <c r="J260" s="315"/>
      <c r="K260" s="294"/>
      <c r="L260" s="316"/>
      <c r="M260" s="317"/>
      <c r="N260" s="3"/>
      <c r="O260" s="81"/>
      <c r="P260" s="3"/>
      <c r="Q260" s="3"/>
      <c r="R260" s="3"/>
      <c r="S260" s="3"/>
      <c r="T260" s="3"/>
      <c r="U260" s="3"/>
      <c r="V260" s="3"/>
      <c r="W260" s="3"/>
      <c r="X260" s="3"/>
      <c r="Y260" s="3"/>
      <c r="Z260" s="3"/>
    </row>
    <row r="261" spans="1:26" ht="15.75" customHeight="1" x14ac:dyDescent="0.25">
      <c r="A261" s="3"/>
      <c r="B261" s="568" t="s">
        <v>116</v>
      </c>
      <c r="C261" s="26" t="s">
        <v>117</v>
      </c>
      <c r="D261" s="24"/>
      <c r="E261" s="24"/>
      <c r="F261" s="38"/>
      <c r="G261" s="24"/>
      <c r="H261" s="38"/>
      <c r="I261" s="24"/>
      <c r="J261" s="340"/>
      <c r="K261" s="300"/>
      <c r="L261" s="143"/>
      <c r="M261" s="321"/>
      <c r="N261" s="3"/>
      <c r="O261" s="81"/>
      <c r="P261" s="3"/>
      <c r="Q261" s="3"/>
      <c r="R261" s="3"/>
      <c r="S261" s="3"/>
      <c r="T261" s="3"/>
      <c r="U261" s="3"/>
      <c r="V261" s="3"/>
      <c r="W261" s="3"/>
      <c r="X261" s="3"/>
      <c r="Y261" s="3"/>
      <c r="Z261" s="3"/>
    </row>
    <row r="262" spans="1:26" ht="15.75" customHeight="1" x14ac:dyDescent="0.25">
      <c r="A262" s="3"/>
      <c r="B262" s="424"/>
      <c r="C262" s="49"/>
      <c r="D262" s="49"/>
      <c r="E262" s="49"/>
      <c r="F262" s="68"/>
      <c r="G262" s="49"/>
      <c r="H262" s="68"/>
      <c r="I262" s="49"/>
      <c r="J262" s="353"/>
      <c r="K262" s="168"/>
      <c r="L262" s="101"/>
      <c r="M262" s="305"/>
      <c r="N262" s="3"/>
      <c r="O262" s="81"/>
      <c r="P262" s="3"/>
      <c r="Q262" s="3"/>
      <c r="R262" s="3"/>
      <c r="S262" s="3"/>
      <c r="T262" s="3"/>
      <c r="U262" s="3"/>
      <c r="V262" s="3"/>
      <c r="W262" s="3"/>
      <c r="X262" s="3"/>
      <c r="Y262" s="3"/>
      <c r="Z262" s="3"/>
    </row>
    <row r="263" spans="1:26" ht="15.75" customHeight="1" x14ac:dyDescent="0.25">
      <c r="A263" s="3"/>
      <c r="B263" s="424"/>
      <c r="C263" s="50" t="s">
        <v>302</v>
      </c>
      <c r="D263" s="50" t="s">
        <v>303</v>
      </c>
      <c r="E263" s="50" t="s">
        <v>313</v>
      </c>
      <c r="F263" s="52">
        <v>2280000</v>
      </c>
      <c r="G263" s="50" t="s">
        <v>572</v>
      </c>
      <c r="H263" s="55">
        <v>151</v>
      </c>
      <c r="I263" s="50" t="s">
        <v>281</v>
      </c>
      <c r="J263" s="353">
        <v>344280</v>
      </c>
      <c r="K263" s="52">
        <v>27452.961193472558</v>
      </c>
      <c r="L263" s="310">
        <v>0.29215638020722834</v>
      </c>
      <c r="M263" s="575">
        <v>0.59405130642136439</v>
      </c>
      <c r="N263" s="3"/>
      <c r="O263" s="81" t="s">
        <v>36</v>
      </c>
      <c r="P263" s="3"/>
      <c r="Q263" s="3"/>
      <c r="R263" s="3"/>
      <c r="S263" s="3"/>
      <c r="T263" s="3"/>
      <c r="U263" s="3"/>
      <c r="V263" s="3"/>
      <c r="W263" s="3"/>
      <c r="X263" s="3"/>
      <c r="Y263" s="3"/>
      <c r="Z263" s="3"/>
    </row>
    <row r="264" spans="1:26" ht="15.75" customHeight="1" x14ac:dyDescent="0.25">
      <c r="A264" s="3"/>
      <c r="B264" s="424"/>
      <c r="C264" s="49"/>
      <c r="D264" s="49"/>
      <c r="E264" s="49"/>
      <c r="F264" s="68"/>
      <c r="G264" s="49"/>
      <c r="H264" s="68"/>
      <c r="I264" s="49"/>
      <c r="J264" s="324"/>
      <c r="K264" s="168"/>
      <c r="L264" s="107"/>
      <c r="M264" s="325"/>
      <c r="N264" s="3"/>
      <c r="O264" s="81"/>
      <c r="P264" s="3"/>
      <c r="Q264" s="3"/>
      <c r="R264" s="3"/>
      <c r="S264" s="3"/>
      <c r="T264" s="3"/>
      <c r="U264" s="3"/>
      <c r="V264" s="3"/>
      <c r="W264" s="3"/>
      <c r="X264" s="3"/>
      <c r="Y264" s="3"/>
      <c r="Z264" s="3"/>
    </row>
    <row r="265" spans="1:26" ht="15.75" customHeight="1" x14ac:dyDescent="0.25">
      <c r="A265" s="3"/>
      <c r="B265" s="568" t="s">
        <v>316</v>
      </c>
      <c r="C265" s="26" t="s">
        <v>317</v>
      </c>
      <c r="D265" s="24"/>
      <c r="E265" s="368"/>
      <c r="F265" s="38"/>
      <c r="G265" s="368"/>
      <c r="H265" s="38"/>
      <c r="I265" s="368"/>
      <c r="J265" s="340"/>
      <c r="K265" s="300"/>
      <c r="L265" s="143"/>
      <c r="M265" s="321"/>
      <c r="N265" s="3"/>
      <c r="O265" s="81"/>
      <c r="P265" s="3"/>
      <c r="Q265" s="3"/>
      <c r="R265" s="3"/>
      <c r="S265" s="3"/>
      <c r="T265" s="3"/>
      <c r="U265" s="3"/>
      <c r="V265" s="3"/>
      <c r="W265" s="3"/>
      <c r="X265" s="3"/>
      <c r="Y265" s="3"/>
      <c r="Z265" s="3"/>
    </row>
    <row r="266" spans="1:26" ht="15.75" customHeight="1" x14ac:dyDescent="0.25">
      <c r="A266" s="3"/>
      <c r="B266" s="424"/>
      <c r="C266" s="50" t="s">
        <v>320</v>
      </c>
      <c r="D266" s="50" t="s">
        <v>321</v>
      </c>
      <c r="E266" s="50" t="s">
        <v>200</v>
      </c>
      <c r="F266" s="52">
        <v>1482332</v>
      </c>
      <c r="G266" s="50" t="s">
        <v>66</v>
      </c>
      <c r="H266" s="55">
        <v>152352</v>
      </c>
      <c r="I266" s="50" t="s">
        <v>322</v>
      </c>
      <c r="J266" s="324">
        <v>225836.24486400001</v>
      </c>
      <c r="K266" s="168">
        <v>17360.48799604096</v>
      </c>
      <c r="L266" s="169">
        <v>0.20095150969389605</v>
      </c>
      <c r="M266" s="326">
        <v>0.3731956608600927</v>
      </c>
      <c r="N266" s="3"/>
      <c r="O266" s="81" t="s">
        <v>36</v>
      </c>
      <c r="P266" s="3"/>
      <c r="Q266" s="3"/>
      <c r="R266" s="3"/>
      <c r="S266" s="3"/>
      <c r="T266" s="3"/>
      <c r="U266" s="3"/>
      <c r="V266" s="3"/>
      <c r="W266" s="3"/>
      <c r="X266" s="3"/>
      <c r="Y266" s="3"/>
      <c r="Z266" s="3"/>
    </row>
    <row r="267" spans="1:26" ht="15.75" customHeight="1" x14ac:dyDescent="0.25">
      <c r="A267" s="3"/>
      <c r="B267" s="424"/>
      <c r="C267" s="49"/>
      <c r="D267" s="49"/>
      <c r="E267" s="361"/>
      <c r="F267" s="92"/>
      <c r="G267" s="361"/>
      <c r="H267" s="68"/>
      <c r="I267" s="361"/>
      <c r="J267" s="332"/>
      <c r="K267" s="310"/>
      <c r="L267" s="107"/>
      <c r="M267" s="325"/>
      <c r="N267" s="3"/>
      <c r="O267" s="81"/>
      <c r="P267" s="3"/>
      <c r="Q267" s="3"/>
      <c r="R267" s="3"/>
      <c r="S267" s="3"/>
      <c r="T267" s="3"/>
      <c r="U267" s="3"/>
      <c r="V267" s="3"/>
      <c r="W267" s="3"/>
      <c r="X267" s="3"/>
      <c r="Y267" s="3"/>
      <c r="Z267" s="3"/>
    </row>
    <row r="268" spans="1:26" ht="15.75" customHeight="1" x14ac:dyDescent="0.25">
      <c r="A268" s="3"/>
      <c r="B268" s="568"/>
      <c r="C268" s="24"/>
      <c r="D268" s="24"/>
      <c r="E268" s="24"/>
      <c r="F268" s="38"/>
      <c r="G268" s="24"/>
      <c r="H268" s="38"/>
      <c r="I268" s="24"/>
      <c r="J268" s="298"/>
      <c r="K268" s="432"/>
      <c r="L268" s="143"/>
      <c r="M268" s="423"/>
      <c r="N268" s="3"/>
      <c r="O268" s="81"/>
      <c r="P268" s="3"/>
      <c r="Q268" s="3"/>
      <c r="R268" s="3"/>
      <c r="S268" s="3"/>
      <c r="T268" s="3"/>
      <c r="U268" s="3"/>
      <c r="V268" s="3"/>
      <c r="W268" s="3"/>
      <c r="X268" s="3"/>
      <c r="Y268" s="3"/>
      <c r="Z268" s="3"/>
    </row>
    <row r="269" spans="1:26" ht="15.75" customHeight="1" x14ac:dyDescent="0.25">
      <c r="A269" s="3"/>
      <c r="B269" s="424" t="s">
        <v>449</v>
      </c>
      <c r="C269" s="61" t="s">
        <v>450</v>
      </c>
      <c r="D269" s="49"/>
      <c r="E269" s="49"/>
      <c r="F269" s="68"/>
      <c r="G269" s="49"/>
      <c r="H269" s="68"/>
      <c r="I269" s="49"/>
      <c r="J269" s="433"/>
      <c r="K269" s="108"/>
      <c r="L269" s="117"/>
      <c r="M269" s="434"/>
      <c r="N269" s="3"/>
      <c r="O269" s="81"/>
      <c r="P269" s="3"/>
      <c r="Q269" s="3"/>
      <c r="R269" s="3"/>
      <c r="S269" s="3"/>
      <c r="T269" s="3"/>
      <c r="U269" s="3"/>
      <c r="V269" s="3"/>
      <c r="W269" s="3"/>
      <c r="X269" s="3"/>
      <c r="Y269" s="3"/>
      <c r="Z269" s="3"/>
    </row>
    <row r="270" spans="1:26" ht="15.75" customHeight="1" x14ac:dyDescent="0.25">
      <c r="A270" s="3"/>
      <c r="B270" s="424"/>
      <c r="C270" s="49" t="s">
        <v>465</v>
      </c>
      <c r="D270" s="49" t="s">
        <v>466</v>
      </c>
      <c r="E270" s="49" t="s">
        <v>584</v>
      </c>
      <c r="F270" s="92">
        <v>35607</v>
      </c>
      <c r="G270" s="49" t="s">
        <v>66</v>
      </c>
      <c r="H270" s="68">
        <v>150000</v>
      </c>
      <c r="I270" s="49" t="s">
        <v>455</v>
      </c>
      <c r="J270" s="437">
        <v>5341</v>
      </c>
      <c r="K270" s="71">
        <v>422.82</v>
      </c>
      <c r="L270" s="438">
        <v>2.0899999999999998E-2</v>
      </c>
      <c r="M270" s="439">
        <v>1.9E-3</v>
      </c>
      <c r="N270" s="3"/>
      <c r="O270" s="81" t="s">
        <v>36</v>
      </c>
      <c r="P270" s="3"/>
      <c r="Q270" s="3"/>
      <c r="R270" s="3"/>
      <c r="S270" s="3"/>
      <c r="T270" s="3"/>
      <c r="U270" s="3"/>
      <c r="V270" s="3"/>
      <c r="W270" s="3"/>
      <c r="X270" s="3"/>
      <c r="Y270" s="3"/>
      <c r="Z270" s="3"/>
    </row>
    <row r="271" spans="1:26" ht="15.75" customHeight="1" x14ac:dyDescent="0.25">
      <c r="A271" s="3"/>
      <c r="B271" s="424"/>
      <c r="C271" s="49"/>
      <c r="D271" s="49"/>
      <c r="E271" s="49"/>
      <c r="F271" s="92"/>
      <c r="G271" s="49"/>
      <c r="H271" s="68"/>
      <c r="I271" s="49"/>
      <c r="J271" s="437"/>
      <c r="K271" s="310"/>
      <c r="L271" s="101"/>
      <c r="M271" s="305"/>
      <c r="N271" s="3"/>
      <c r="O271" s="81"/>
      <c r="P271" s="3"/>
      <c r="Q271" s="3"/>
      <c r="R271" s="3"/>
      <c r="S271" s="3"/>
      <c r="T271" s="3"/>
      <c r="U271" s="3"/>
      <c r="V271" s="3"/>
      <c r="W271" s="3"/>
      <c r="X271" s="3"/>
      <c r="Y271" s="3"/>
      <c r="Z271" s="3"/>
    </row>
    <row r="272" spans="1:26" ht="15.75" customHeight="1" x14ac:dyDescent="0.25">
      <c r="A272" s="3"/>
      <c r="B272" s="424"/>
      <c r="C272" s="49" t="s">
        <v>467</v>
      </c>
      <c r="D272" s="49" t="s">
        <v>468</v>
      </c>
      <c r="E272" s="49" t="s">
        <v>584</v>
      </c>
      <c r="F272" s="92">
        <v>24832</v>
      </c>
      <c r="G272" s="49" t="s">
        <v>66</v>
      </c>
      <c r="H272" s="68">
        <v>150000</v>
      </c>
      <c r="I272" s="49" t="s">
        <v>455</v>
      </c>
      <c r="J272" s="436">
        <v>3725</v>
      </c>
      <c r="K272" s="169">
        <v>298.74</v>
      </c>
      <c r="L272" s="101">
        <v>1.47E-2</v>
      </c>
      <c r="M272" s="305">
        <v>1.6000000000000001E-3</v>
      </c>
      <c r="N272" s="3"/>
      <c r="O272" s="81"/>
      <c r="P272" s="3"/>
      <c r="Q272" s="3"/>
      <c r="R272" s="3"/>
      <c r="S272" s="3"/>
      <c r="T272" s="3"/>
      <c r="U272" s="3"/>
      <c r="V272" s="3"/>
      <c r="W272" s="3"/>
      <c r="X272" s="3"/>
      <c r="Y272" s="3"/>
      <c r="Z272" s="3"/>
    </row>
    <row r="273" spans="1:26" ht="15.75" customHeight="1" x14ac:dyDescent="0.25">
      <c r="A273" s="3"/>
      <c r="B273" s="424"/>
      <c r="C273" s="49"/>
      <c r="D273" s="49"/>
      <c r="E273" s="49"/>
      <c r="F273" s="92"/>
      <c r="G273" s="49"/>
      <c r="H273" s="68"/>
      <c r="I273" s="49"/>
      <c r="J273" s="437"/>
      <c r="K273" s="310"/>
      <c r="L273" s="107"/>
      <c r="M273" s="325"/>
      <c r="N273" s="3"/>
      <c r="O273" s="81"/>
      <c r="P273" s="3"/>
      <c r="Q273" s="3"/>
      <c r="R273" s="3"/>
      <c r="S273" s="3"/>
      <c r="T273" s="3"/>
      <c r="U273" s="3"/>
      <c r="V273" s="3"/>
      <c r="W273" s="3"/>
      <c r="X273" s="3"/>
      <c r="Y273" s="3"/>
      <c r="Z273" s="3"/>
    </row>
    <row r="274" spans="1:26" ht="15.75" customHeight="1" x14ac:dyDescent="0.25">
      <c r="A274" s="3"/>
      <c r="B274" s="424"/>
      <c r="C274" s="49" t="s">
        <v>470</v>
      </c>
      <c r="D274" s="49" t="s">
        <v>471</v>
      </c>
      <c r="E274" s="49" t="s">
        <v>584</v>
      </c>
      <c r="F274" s="92">
        <v>47741</v>
      </c>
      <c r="G274" s="49" t="s">
        <v>66</v>
      </c>
      <c r="H274" s="68">
        <v>150000</v>
      </c>
      <c r="I274" s="49" t="s">
        <v>455</v>
      </c>
      <c r="J274" s="436">
        <v>7161</v>
      </c>
      <c r="K274" s="169">
        <v>561.57000000000005</v>
      </c>
      <c r="L274" s="101">
        <v>2.7799999999999998E-2</v>
      </c>
      <c r="M274" s="305">
        <v>2.8E-3</v>
      </c>
      <c r="N274" s="3"/>
      <c r="O274" s="81"/>
      <c r="P274" s="3"/>
      <c r="Q274" s="3"/>
      <c r="R274" s="3"/>
      <c r="S274" s="3"/>
      <c r="T274" s="3"/>
      <c r="U274" s="3"/>
      <c r="V274" s="3"/>
      <c r="W274" s="3"/>
      <c r="X274" s="3"/>
      <c r="Y274" s="3"/>
      <c r="Z274" s="3"/>
    </row>
    <row r="275" spans="1:26" ht="15.75" customHeight="1" x14ac:dyDescent="0.25">
      <c r="A275" s="3"/>
      <c r="B275" s="424"/>
      <c r="C275" s="49"/>
      <c r="D275" s="49"/>
      <c r="E275" s="49"/>
      <c r="F275" s="92"/>
      <c r="G275" s="49"/>
      <c r="H275" s="68"/>
      <c r="I275" s="49"/>
      <c r="J275" s="583"/>
      <c r="K275" s="310"/>
      <c r="L275" s="107"/>
      <c r="M275" s="325"/>
      <c r="N275" s="3"/>
      <c r="O275" s="81"/>
      <c r="P275" s="3"/>
      <c r="Q275" s="3"/>
      <c r="R275" s="3"/>
      <c r="S275" s="3"/>
      <c r="T275" s="3"/>
      <c r="U275" s="3"/>
      <c r="V275" s="3"/>
      <c r="W275" s="3"/>
      <c r="X275" s="3"/>
      <c r="Y275" s="3"/>
      <c r="Z275" s="3"/>
    </row>
    <row r="276" spans="1:26" ht="15.75" customHeight="1" x14ac:dyDescent="0.25">
      <c r="A276" s="3"/>
      <c r="B276" s="424"/>
      <c r="C276" s="49" t="s">
        <v>473</v>
      </c>
      <c r="D276" s="49" t="s">
        <v>474</v>
      </c>
      <c r="E276" s="49" t="s">
        <v>584</v>
      </c>
      <c r="F276" s="92">
        <v>53491</v>
      </c>
      <c r="G276" s="49" t="s">
        <v>66</v>
      </c>
      <c r="H276" s="68">
        <v>150000</v>
      </c>
      <c r="I276" s="49" t="s">
        <v>455</v>
      </c>
      <c r="J276" s="436">
        <v>8024</v>
      </c>
      <c r="K276" s="169">
        <v>622.12</v>
      </c>
      <c r="L276" s="101">
        <v>3.04E-2</v>
      </c>
      <c r="M276" s="440">
        <v>2.8E-3</v>
      </c>
      <c r="N276" s="3"/>
      <c r="O276" s="81"/>
      <c r="P276" s="3"/>
      <c r="Q276" s="3"/>
      <c r="R276" s="3"/>
      <c r="S276" s="3"/>
      <c r="T276" s="3"/>
      <c r="U276" s="3"/>
      <c r="V276" s="3"/>
      <c r="W276" s="3"/>
      <c r="X276" s="3"/>
      <c r="Y276" s="3"/>
      <c r="Z276" s="3"/>
    </row>
    <row r="277" spans="1:26" ht="15.75" customHeight="1" x14ac:dyDescent="0.25">
      <c r="A277" s="3"/>
      <c r="B277" s="424"/>
      <c r="C277" s="49"/>
      <c r="D277" s="49"/>
      <c r="E277" s="49"/>
      <c r="F277" s="92"/>
      <c r="G277" s="49"/>
      <c r="H277" s="68"/>
      <c r="I277" s="49"/>
      <c r="J277" s="583"/>
      <c r="K277" s="310"/>
      <c r="L277" s="107"/>
      <c r="M277" s="390"/>
      <c r="N277" s="3"/>
      <c r="O277" s="81"/>
      <c r="P277" s="3"/>
      <c r="Q277" s="3"/>
      <c r="R277" s="3"/>
      <c r="S277" s="3"/>
      <c r="T277" s="3"/>
      <c r="U277" s="3"/>
      <c r="V277" s="3"/>
      <c r="W277" s="3"/>
      <c r="X277" s="3"/>
      <c r="Y277" s="3"/>
      <c r="Z277" s="3"/>
    </row>
    <row r="278" spans="1:26" ht="15.75" customHeight="1" x14ac:dyDescent="0.25">
      <c r="A278" s="3"/>
      <c r="B278" s="587"/>
      <c r="C278" s="238"/>
      <c r="D278" s="392"/>
      <c r="E278" s="238"/>
      <c r="F278" s="589"/>
      <c r="G278" s="392"/>
      <c r="H278" s="394"/>
      <c r="I278" s="392"/>
      <c r="J278" s="591"/>
      <c r="K278" s="592"/>
      <c r="L278" s="594"/>
      <c r="M278" s="595"/>
      <c r="N278" s="3"/>
      <c r="O278" s="597"/>
      <c r="P278" s="3"/>
      <c r="Q278" s="3"/>
      <c r="R278" s="3"/>
      <c r="S278" s="3"/>
      <c r="T278" s="3"/>
      <c r="U278" s="3"/>
      <c r="V278" s="3"/>
      <c r="W278" s="3"/>
      <c r="X278" s="3"/>
      <c r="Y278" s="3"/>
      <c r="Z278" s="3"/>
    </row>
    <row r="279" spans="1:26" ht="15.75" customHeight="1" x14ac:dyDescent="0.25">
      <c r="A279" s="3"/>
      <c r="B279" s="285" t="s">
        <v>155</v>
      </c>
      <c r="C279" s="180" t="s">
        <v>156</v>
      </c>
      <c r="D279" s="378"/>
      <c r="E279" s="179"/>
      <c r="F279" s="313"/>
      <c r="G279" s="179"/>
      <c r="H279" s="313"/>
      <c r="I279" s="179"/>
      <c r="J279" s="458"/>
      <c r="K279" s="459"/>
      <c r="L279" s="444"/>
      <c r="M279" s="460"/>
      <c r="N279" s="3"/>
      <c r="O279" s="81"/>
      <c r="P279" s="3"/>
      <c r="Q279" s="3"/>
      <c r="R279" s="3"/>
      <c r="S279" s="3"/>
      <c r="T279" s="3"/>
      <c r="U279" s="3"/>
      <c r="V279" s="3"/>
      <c r="W279" s="3"/>
      <c r="X279" s="3"/>
      <c r="Y279" s="3"/>
      <c r="Z279" s="3"/>
    </row>
    <row r="280" spans="1:26" ht="15.75" customHeight="1" x14ac:dyDescent="0.25">
      <c r="A280" s="3"/>
      <c r="B280" s="564"/>
      <c r="C280" s="179"/>
      <c r="D280" s="378" t="s">
        <v>158</v>
      </c>
      <c r="E280" s="179" t="s">
        <v>600</v>
      </c>
      <c r="F280" s="313">
        <f>Luke!F14</f>
        <v>487145</v>
      </c>
      <c r="G280" s="179" t="s">
        <v>66</v>
      </c>
      <c r="H280" s="313">
        <v>140001</v>
      </c>
      <c r="I280" s="179" t="s">
        <v>525</v>
      </c>
      <c r="J280" s="609">
        <f>Luke!F16</f>
        <v>68200.787144999995</v>
      </c>
      <c r="K280" s="459">
        <f>Luke!F18+Luke!F22+Luke!F26</f>
        <v>6849.1239705834614</v>
      </c>
      <c r="L280" s="444">
        <f>Luke!F19+Luke!F23+Luke!F27</f>
        <v>0.81412553002436694</v>
      </c>
      <c r="M280" s="445">
        <f>Luke!F20+Luke!F24+Luke!F28</f>
        <v>0.11986321776475077</v>
      </c>
      <c r="N280" s="3"/>
      <c r="O280" s="81" t="s">
        <v>36</v>
      </c>
      <c r="P280" s="3"/>
      <c r="Q280" s="3"/>
      <c r="R280" s="3"/>
      <c r="S280" s="3"/>
      <c r="T280" s="3"/>
      <c r="U280" s="3"/>
      <c r="V280" s="3"/>
      <c r="W280" s="3"/>
      <c r="X280" s="3"/>
      <c r="Y280" s="3"/>
      <c r="Z280" s="3"/>
    </row>
    <row r="281" spans="1:26" ht="15.75" customHeight="1" x14ac:dyDescent="0.25">
      <c r="A281" s="3"/>
      <c r="B281" s="291"/>
      <c r="C281" s="292"/>
      <c r="D281" s="292"/>
      <c r="E281" s="292"/>
      <c r="F281" s="383"/>
      <c r="G281" s="292"/>
      <c r="H281" s="612"/>
      <c r="I281" s="292"/>
      <c r="J281" s="613"/>
      <c r="K281" s="614"/>
      <c r="L281" s="603"/>
      <c r="M281" s="615"/>
      <c r="N281" s="3"/>
      <c r="O281" s="81"/>
      <c r="P281" s="3"/>
      <c r="Q281" s="3"/>
      <c r="R281" s="3"/>
      <c r="S281" s="3"/>
      <c r="T281" s="3"/>
      <c r="U281" s="3"/>
      <c r="V281" s="3"/>
      <c r="W281" s="3"/>
      <c r="X281" s="3"/>
      <c r="Y281" s="3"/>
      <c r="Z281" s="3"/>
    </row>
    <row r="282" spans="1:26" ht="15.75" customHeight="1" x14ac:dyDescent="0.25">
      <c r="A282" s="3"/>
      <c r="B282" s="616" t="s">
        <v>616</v>
      </c>
      <c r="C282" s="238" t="s">
        <v>617</v>
      </c>
      <c r="D282" s="392"/>
      <c r="E282" s="392"/>
      <c r="F282" s="394"/>
      <c r="G282" s="392"/>
      <c r="H282" s="617"/>
      <c r="I282" s="392"/>
      <c r="J282" s="619"/>
      <c r="K282" s="620"/>
      <c r="L282" s="621"/>
      <c r="M282" s="595"/>
      <c r="N282" s="3"/>
      <c r="O282" s="81"/>
      <c r="P282" s="3"/>
      <c r="Q282" s="3"/>
      <c r="R282" s="3"/>
      <c r="S282" s="3"/>
      <c r="T282" s="3"/>
      <c r="U282" s="3"/>
      <c r="V282" s="3"/>
      <c r="W282" s="3"/>
      <c r="X282" s="3"/>
      <c r="Y282" s="3"/>
      <c r="Z282" s="3"/>
    </row>
    <row r="283" spans="1:26" ht="15.75" customHeight="1" x14ac:dyDescent="0.25">
      <c r="A283" s="3"/>
      <c r="B283" s="564"/>
      <c r="C283" s="179"/>
      <c r="D283" s="179"/>
      <c r="E283" s="179"/>
      <c r="F283" s="313"/>
      <c r="G283" s="179"/>
      <c r="H283" s="402"/>
      <c r="I283" s="179"/>
      <c r="J283" s="625"/>
      <c r="K283" s="459"/>
      <c r="L283" s="444"/>
      <c r="M283" s="460"/>
      <c r="N283" s="3"/>
      <c r="O283" s="81"/>
      <c r="P283" s="3"/>
      <c r="Q283" s="3"/>
      <c r="R283" s="3"/>
      <c r="S283" s="3"/>
      <c r="T283" s="3"/>
      <c r="U283" s="3"/>
      <c r="V283" s="3"/>
      <c r="W283" s="3"/>
      <c r="X283" s="3"/>
      <c r="Y283" s="3"/>
      <c r="Z283" s="3"/>
    </row>
    <row r="284" spans="1:26" ht="15.75" customHeight="1" x14ac:dyDescent="0.25">
      <c r="A284" s="3"/>
      <c r="B284" s="564"/>
      <c r="C284" s="179" t="s">
        <v>618</v>
      </c>
      <c r="D284" s="180" t="s">
        <v>619</v>
      </c>
      <c r="E284" s="49" t="s">
        <v>584</v>
      </c>
      <c r="F284" s="92">
        <f>Severstal!E48</f>
        <v>3815</v>
      </c>
      <c r="G284" s="49" t="s">
        <v>66</v>
      </c>
      <c r="H284" s="68">
        <v>137001</v>
      </c>
      <c r="I284" s="49" t="s">
        <v>455</v>
      </c>
      <c r="J284" s="628">
        <f>Severstal!E9+Severstal!E19+Severstal!E29+Severstal!E39</f>
        <v>580</v>
      </c>
      <c r="K284" s="108">
        <f>(Severstal!E11+Severstal!E21+Severstal!E31+Severstal!E41)*1.1023</f>
        <v>19.51071</v>
      </c>
      <c r="L284" s="629">
        <f>(Severstal!E12+Severstal!E22+Severstal!E32+Severstal!E42)*1.1023</f>
        <v>0</v>
      </c>
      <c r="M284" s="630">
        <f>(Severstal!E13+Severstal!E23+Severstal!E33+Severstal!E43)*1.1023</f>
        <v>0</v>
      </c>
      <c r="N284" s="3"/>
      <c r="O284" s="81"/>
      <c r="P284" s="3"/>
      <c r="Q284" s="3"/>
      <c r="R284" s="3"/>
      <c r="S284" s="3"/>
      <c r="T284" s="3"/>
      <c r="U284" s="3"/>
      <c r="V284" s="3"/>
      <c r="W284" s="3"/>
      <c r="X284" s="3"/>
      <c r="Y284" s="3"/>
      <c r="Z284" s="3"/>
    </row>
    <row r="285" spans="1:26" ht="15.75" customHeight="1" x14ac:dyDescent="0.25">
      <c r="A285" s="3"/>
      <c r="B285" s="291"/>
      <c r="C285" s="292"/>
      <c r="D285" s="292"/>
      <c r="E285" s="292"/>
      <c r="F285" s="383"/>
      <c r="G285" s="292"/>
      <c r="H285" s="612"/>
      <c r="I285" s="292"/>
      <c r="J285" s="613"/>
      <c r="K285" s="614"/>
      <c r="L285" s="603"/>
      <c r="M285" s="615"/>
      <c r="N285" s="3"/>
      <c r="O285" s="81"/>
      <c r="P285" s="3"/>
      <c r="Q285" s="3"/>
      <c r="R285" s="3"/>
      <c r="S285" s="3"/>
      <c r="T285" s="3"/>
      <c r="U285" s="3"/>
      <c r="V285" s="3"/>
      <c r="W285" s="3"/>
      <c r="X285" s="3"/>
      <c r="Y285" s="3"/>
      <c r="Z285" s="3"/>
    </row>
    <row r="286" spans="1:26" ht="15.75" customHeight="1" x14ac:dyDescent="0.25">
      <c r="A286" s="3"/>
      <c r="B286" s="587"/>
      <c r="C286" s="238"/>
      <c r="D286" s="392"/>
      <c r="E286" s="238"/>
      <c r="F286" s="589"/>
      <c r="G286" s="392"/>
      <c r="H286" s="394"/>
      <c r="I286" s="392"/>
      <c r="J286" s="591"/>
      <c r="K286" s="592"/>
      <c r="L286" s="594"/>
      <c r="M286" s="595"/>
      <c r="N286" s="3"/>
      <c r="O286" s="81"/>
      <c r="P286" s="3"/>
      <c r="Q286" s="3"/>
      <c r="R286" s="3"/>
      <c r="S286" s="3"/>
      <c r="T286" s="3"/>
      <c r="U286" s="3"/>
      <c r="V286" s="3"/>
      <c r="W286" s="3"/>
      <c r="X286" s="3"/>
      <c r="Y286" s="3"/>
      <c r="Z286" s="3"/>
    </row>
    <row r="287" spans="1:26" ht="15.75" customHeight="1" x14ac:dyDescent="0.25">
      <c r="A287" s="3"/>
      <c r="B287" s="632"/>
      <c r="C287" s="634"/>
      <c r="D287" s="636"/>
      <c r="E287" s="634"/>
      <c r="F287" s="642">
        <f>SUM(F255:F286)</f>
        <v>5598663</v>
      </c>
      <c r="G287" s="636"/>
      <c r="H287" s="644"/>
      <c r="I287" s="636"/>
      <c r="J287" s="646">
        <f t="shared" ref="J287:M287" si="2">SUM(J255:J286)</f>
        <v>842636.845309</v>
      </c>
      <c r="K287" s="646">
        <f t="shared" si="2"/>
        <v>65481.962931617294</v>
      </c>
      <c r="L287" s="646">
        <f t="shared" si="2"/>
        <v>1.629046185748185</v>
      </c>
      <c r="M287" s="647">
        <f t="shared" si="2"/>
        <v>1.1718190251999789</v>
      </c>
      <c r="N287" s="3"/>
      <c r="O287" s="81"/>
      <c r="P287" s="3"/>
      <c r="Q287" s="3"/>
      <c r="R287" s="3"/>
      <c r="S287" s="3"/>
      <c r="T287" s="3"/>
      <c r="U287" s="3"/>
      <c r="V287" s="3"/>
      <c r="W287" s="3"/>
      <c r="X287" s="3"/>
      <c r="Y287" s="3"/>
      <c r="Z287" s="3"/>
    </row>
    <row r="288" spans="1:26" ht="15.75" customHeight="1" x14ac:dyDescent="0.25">
      <c r="A288" s="3"/>
      <c r="B288" s="278"/>
      <c r="C288" s="3"/>
      <c r="D288" s="3"/>
      <c r="E288" s="3"/>
      <c r="F288" s="170"/>
      <c r="G288" s="3"/>
      <c r="H288" s="170"/>
      <c r="I288" s="3"/>
      <c r="J288" s="3"/>
      <c r="K288" s="3"/>
      <c r="L288" s="3"/>
      <c r="M288" s="649"/>
      <c r="N288" s="3"/>
      <c r="O288" s="81"/>
      <c r="P288" s="3"/>
      <c r="Q288" s="3"/>
      <c r="R288" s="3"/>
      <c r="S288" s="3"/>
      <c r="T288" s="3"/>
      <c r="U288" s="3"/>
      <c r="V288" s="3"/>
      <c r="W288" s="3"/>
      <c r="X288" s="3"/>
      <c r="Y288" s="3"/>
      <c r="Z288" s="3"/>
    </row>
    <row r="289" spans="1:26" ht="15.75" customHeight="1" x14ac:dyDescent="0.25">
      <c r="A289" s="3"/>
      <c r="B289" s="650"/>
      <c r="C289" s="651"/>
      <c r="D289" s="651"/>
      <c r="E289" s="651" t="s">
        <v>626</v>
      </c>
      <c r="F289" s="651"/>
      <c r="G289" s="651"/>
      <c r="H289" s="651"/>
      <c r="I289" s="651"/>
      <c r="J289" s="651"/>
      <c r="K289" s="653">
        <f>(K287*0.90718474)/1000000</f>
        <v>5.9404237516808879E-2</v>
      </c>
      <c r="L289" s="653">
        <f>(L287*$J$425*0.90718474)/1000000</f>
        <v>4.1231898949000253E-5</v>
      </c>
      <c r="M289" s="655">
        <f>(M287*$J$426*0.90718474)/1000000</f>
        <v>2.9021438019294533E-4</v>
      </c>
      <c r="N289" s="3"/>
      <c r="O289" s="81"/>
      <c r="P289" s="3"/>
      <c r="Q289" s="3"/>
      <c r="R289" s="3"/>
      <c r="S289" s="3"/>
      <c r="T289" s="3"/>
      <c r="U289" s="3"/>
      <c r="V289" s="3"/>
      <c r="W289" s="3"/>
      <c r="X289" s="3"/>
      <c r="Y289" s="3"/>
      <c r="Z289" s="3"/>
    </row>
    <row r="290" spans="1:26" ht="15.75" customHeight="1" x14ac:dyDescent="0.25">
      <c r="A290" s="3"/>
      <c r="B290" s="318"/>
      <c r="C290" s="532"/>
      <c r="D290" s="532"/>
      <c r="E290" s="532"/>
      <c r="F290" s="534"/>
      <c r="G290" s="532"/>
      <c r="H290" s="534"/>
      <c r="I290" s="532"/>
      <c r="J290" s="532"/>
      <c r="K290" s="532"/>
      <c r="L290" s="532"/>
      <c r="M290" s="656"/>
      <c r="N290" s="3"/>
      <c r="O290" s="81"/>
      <c r="P290" s="3"/>
      <c r="Q290" s="3"/>
      <c r="R290" s="3"/>
      <c r="S290" s="3"/>
      <c r="T290" s="3"/>
      <c r="U290" s="3"/>
      <c r="V290" s="3"/>
      <c r="W290" s="3"/>
      <c r="X290" s="3"/>
      <c r="Y290" s="3"/>
      <c r="Z290" s="3"/>
    </row>
    <row r="291" spans="1:26" ht="15.75" customHeight="1" x14ac:dyDescent="0.25">
      <c r="A291" s="3"/>
      <c r="B291" s="3"/>
      <c r="C291" s="3"/>
      <c r="D291" s="3"/>
      <c r="E291" s="3"/>
      <c r="F291" s="170"/>
      <c r="G291" s="3"/>
      <c r="H291" s="170"/>
      <c r="I291" s="3"/>
      <c r="J291" s="3"/>
      <c r="K291" s="3"/>
      <c r="L291" s="3"/>
      <c r="M291" s="3"/>
      <c r="N291" s="3"/>
      <c r="O291" s="81"/>
      <c r="P291" s="3"/>
      <c r="Q291" s="3"/>
      <c r="R291" s="3"/>
      <c r="S291" s="3"/>
      <c r="T291" s="3"/>
      <c r="U291" s="3"/>
      <c r="V291" s="3"/>
      <c r="W291" s="3"/>
      <c r="X291" s="3"/>
      <c r="Y291" s="3"/>
      <c r="Z291" s="3"/>
    </row>
    <row r="292" spans="1:26" ht="15.75" customHeight="1" x14ac:dyDescent="0.25">
      <c r="A292" s="3"/>
      <c r="B292" s="3"/>
      <c r="C292" s="3"/>
      <c r="D292" s="3"/>
      <c r="E292" s="3"/>
      <c r="F292" s="3"/>
      <c r="G292" s="3"/>
      <c r="H292" s="3"/>
      <c r="I292" s="60"/>
      <c r="J292" s="3"/>
      <c r="K292" s="3"/>
      <c r="L292" s="545"/>
      <c r="M292" s="3"/>
      <c r="N292" s="3"/>
      <c r="O292" s="81"/>
      <c r="P292" s="3"/>
      <c r="Q292" s="3"/>
      <c r="R292" s="3"/>
      <c r="S292" s="3"/>
      <c r="T292" s="3"/>
      <c r="U292" s="3"/>
      <c r="V292" s="3"/>
      <c r="W292" s="3"/>
      <c r="X292" s="3"/>
      <c r="Y292" s="3"/>
      <c r="Z292" s="3"/>
    </row>
    <row r="293" spans="1:26" ht="15.75" customHeight="1" x14ac:dyDescent="0.25">
      <c r="A293" s="3"/>
      <c r="B293" s="657"/>
      <c r="C293" s="658"/>
      <c r="D293" s="658"/>
      <c r="E293" s="658"/>
      <c r="F293" s="658"/>
      <c r="G293" s="658"/>
      <c r="H293" s="2310" t="s">
        <v>627</v>
      </c>
      <c r="I293" s="2311"/>
      <c r="J293" s="662"/>
      <c r="K293" s="665">
        <f t="shared" ref="K293:M293" si="3">K245+K289</f>
        <v>0.1946277957923413</v>
      </c>
      <c r="L293" s="666">
        <f t="shared" si="3"/>
        <v>1.3409497601688772E-4</v>
      </c>
      <c r="M293" s="667">
        <f t="shared" si="3"/>
        <v>1.1739592616163241E-3</v>
      </c>
      <c r="N293" s="3"/>
      <c r="O293" s="81"/>
      <c r="P293" s="3"/>
      <c r="Q293" s="3"/>
      <c r="R293" s="3"/>
      <c r="S293" s="3"/>
      <c r="T293" s="3"/>
      <c r="U293" s="3"/>
      <c r="V293" s="3"/>
      <c r="W293" s="3"/>
      <c r="X293" s="3"/>
      <c r="Y293" s="3"/>
      <c r="Z293" s="3"/>
    </row>
    <row r="294" spans="1:26" ht="15.75" customHeight="1" x14ac:dyDescent="0.25">
      <c r="A294" s="3"/>
      <c r="B294" s="3"/>
      <c r="C294" s="3"/>
      <c r="D294" s="3"/>
      <c r="E294" s="3"/>
      <c r="F294" s="3"/>
      <c r="G294" s="3"/>
      <c r="H294" s="668"/>
      <c r="I294" s="668"/>
      <c r="J294" s="669"/>
      <c r="K294" s="670"/>
      <c r="L294" s="670"/>
      <c r="M294" s="670"/>
      <c r="N294" s="3"/>
      <c r="O294" s="81"/>
      <c r="P294" s="3"/>
      <c r="Q294" s="3"/>
      <c r="R294" s="3"/>
      <c r="S294" s="3"/>
      <c r="T294" s="3"/>
      <c r="U294" s="3"/>
      <c r="V294" s="3"/>
      <c r="W294" s="3"/>
      <c r="X294" s="3"/>
      <c r="Y294" s="3"/>
      <c r="Z294" s="3"/>
    </row>
    <row r="295" spans="1:26" ht="15.75" customHeight="1" x14ac:dyDescent="0.25">
      <c r="A295" s="3"/>
      <c r="B295" s="3"/>
      <c r="C295" s="3"/>
      <c r="D295" s="3"/>
      <c r="E295" s="3"/>
      <c r="F295" s="3"/>
      <c r="G295" s="3"/>
      <c r="H295" s="668"/>
      <c r="I295" s="668"/>
      <c r="J295" s="669"/>
      <c r="K295" s="670"/>
      <c r="L295" s="670"/>
      <c r="M295" s="670"/>
      <c r="N295" s="3"/>
      <c r="O295" s="81"/>
      <c r="P295" s="3"/>
      <c r="Q295" s="3"/>
      <c r="R295" s="3"/>
      <c r="S295" s="3"/>
      <c r="T295" s="3"/>
      <c r="U295" s="3"/>
      <c r="V295" s="3"/>
      <c r="W295" s="3"/>
      <c r="X295" s="3"/>
      <c r="Y295" s="3"/>
      <c r="Z295" s="3"/>
    </row>
    <row r="296" spans="1:26" ht="15.75" customHeight="1" x14ac:dyDescent="0.25">
      <c r="A296" s="3"/>
      <c r="B296" s="3"/>
      <c r="C296" s="3"/>
      <c r="D296" s="3"/>
      <c r="E296" s="3"/>
      <c r="F296" s="3"/>
      <c r="G296" s="3"/>
      <c r="H296" s="668"/>
      <c r="I296" s="668"/>
      <c r="J296" s="669"/>
      <c r="K296" s="670"/>
      <c r="L296" s="670"/>
      <c r="M296" s="670"/>
      <c r="N296" s="3"/>
      <c r="O296" s="81"/>
      <c r="P296" s="3"/>
      <c r="Q296" s="3"/>
      <c r="R296" s="3"/>
      <c r="S296" s="3"/>
      <c r="T296" s="3"/>
      <c r="U296" s="3"/>
      <c r="V296" s="3"/>
      <c r="W296" s="3"/>
      <c r="X296" s="3"/>
      <c r="Y296" s="3"/>
      <c r="Z296" s="3"/>
    </row>
    <row r="297" spans="1:26" ht="15.75" customHeight="1" x14ac:dyDescent="0.25">
      <c r="A297" s="3"/>
      <c r="B297" s="3"/>
      <c r="C297" s="3"/>
      <c r="D297" s="3"/>
      <c r="E297" s="3"/>
      <c r="F297" s="3"/>
      <c r="G297" s="3"/>
      <c r="H297" s="668"/>
      <c r="I297" s="668"/>
      <c r="J297" s="669"/>
      <c r="K297" s="670"/>
      <c r="L297" s="670"/>
      <c r="M297" s="670"/>
      <c r="N297" s="3"/>
      <c r="O297" s="81"/>
      <c r="P297" s="3"/>
      <c r="Q297" s="3"/>
      <c r="R297" s="3"/>
      <c r="S297" s="3"/>
      <c r="T297" s="3"/>
      <c r="U297" s="3"/>
      <c r="V297" s="3"/>
      <c r="W297" s="3"/>
      <c r="X297" s="3"/>
      <c r="Y297" s="3"/>
      <c r="Z297" s="3"/>
    </row>
    <row r="298" spans="1:26" ht="15.75" customHeight="1" x14ac:dyDescent="0.25">
      <c r="A298" s="3"/>
      <c r="B298" s="3"/>
      <c r="C298" s="3"/>
      <c r="D298" s="3"/>
      <c r="E298" s="3"/>
      <c r="F298" s="3"/>
      <c r="G298" s="3"/>
      <c r="H298" s="3"/>
      <c r="I298" s="60"/>
      <c r="J298" s="3"/>
      <c r="K298" s="542"/>
      <c r="L298" s="3"/>
      <c r="M298" s="3"/>
      <c r="N298" s="3"/>
      <c r="O298" s="81"/>
      <c r="P298" s="3"/>
      <c r="Q298" s="3"/>
      <c r="R298" s="3"/>
      <c r="S298" s="3"/>
      <c r="T298" s="3"/>
      <c r="U298" s="3"/>
      <c r="V298" s="3"/>
      <c r="W298" s="3"/>
      <c r="X298" s="3"/>
      <c r="Y298" s="3"/>
      <c r="Z298" s="3"/>
    </row>
    <row r="299" spans="1:26" ht="15.75" customHeight="1" x14ac:dyDescent="0.25">
      <c r="A299" s="3"/>
      <c r="B299" s="35" t="s">
        <v>632</v>
      </c>
      <c r="C299" s="37"/>
      <c r="D299" s="37"/>
      <c r="E299" s="3"/>
      <c r="F299" s="3"/>
      <c r="G299" s="3"/>
      <c r="H299" s="3"/>
      <c r="I299" s="60"/>
      <c r="J299" s="3"/>
      <c r="K299" s="542"/>
      <c r="L299" s="3"/>
      <c r="M299" s="3"/>
      <c r="N299" s="3"/>
      <c r="O299" s="81"/>
      <c r="P299" s="3"/>
      <c r="Q299" s="3"/>
      <c r="R299" s="3"/>
      <c r="S299" s="3"/>
      <c r="T299" s="3"/>
      <c r="U299" s="3"/>
      <c r="V299" s="3"/>
      <c r="W299" s="3"/>
      <c r="X299" s="3"/>
      <c r="Y299" s="3"/>
      <c r="Z299" s="3"/>
    </row>
    <row r="300" spans="1:26" ht="15.75" customHeight="1" x14ac:dyDescent="0.25">
      <c r="A300" s="278"/>
      <c r="B300" s="3"/>
      <c r="C300" s="3"/>
      <c r="D300" s="3"/>
      <c r="E300" s="3"/>
      <c r="F300" s="3"/>
      <c r="G300" s="3"/>
      <c r="H300" s="3"/>
      <c r="I300" s="3"/>
      <c r="J300" s="3"/>
      <c r="K300" s="3"/>
      <c r="L300" s="3"/>
      <c r="M300" s="3"/>
      <c r="N300" s="3"/>
      <c r="O300" s="81"/>
      <c r="P300" s="3"/>
      <c r="Q300" s="3"/>
      <c r="R300" s="3"/>
      <c r="S300" s="3"/>
      <c r="T300" s="3"/>
      <c r="U300" s="3"/>
      <c r="V300" s="3"/>
      <c r="W300" s="3"/>
      <c r="X300" s="3"/>
      <c r="Y300" s="3"/>
      <c r="Z300" s="3"/>
    </row>
    <row r="301" spans="1:26" ht="15.75" customHeight="1" x14ac:dyDescent="0.25">
      <c r="A301" s="278"/>
      <c r="B301" s="279" t="s">
        <v>6</v>
      </c>
      <c r="C301" s="280" t="s">
        <v>7</v>
      </c>
      <c r="D301" s="280" t="s">
        <v>8</v>
      </c>
      <c r="E301" s="280" t="s">
        <v>9</v>
      </c>
      <c r="F301" s="280" t="s">
        <v>10</v>
      </c>
      <c r="G301" s="280" t="s">
        <v>47</v>
      </c>
      <c r="H301" s="280" t="s">
        <v>49</v>
      </c>
      <c r="I301" s="280" t="s">
        <v>50</v>
      </c>
      <c r="J301" s="671" t="s">
        <v>51</v>
      </c>
      <c r="K301" s="282" t="s">
        <v>633</v>
      </c>
      <c r="L301" s="280" t="s">
        <v>634</v>
      </c>
      <c r="M301" s="283" t="s">
        <v>635</v>
      </c>
      <c r="N301" s="3"/>
      <c r="O301" s="81"/>
      <c r="P301" s="3"/>
      <c r="Q301" s="3"/>
      <c r="R301" s="3"/>
      <c r="S301" s="3"/>
      <c r="T301" s="3"/>
      <c r="U301" s="3"/>
      <c r="V301" s="3"/>
      <c r="W301" s="3"/>
      <c r="X301" s="3"/>
      <c r="Y301" s="3"/>
      <c r="Z301" s="3"/>
    </row>
    <row r="302" spans="1:26" ht="15.75" customHeight="1" x14ac:dyDescent="0.25">
      <c r="A302" s="278"/>
      <c r="B302" s="285"/>
      <c r="C302" s="180"/>
      <c r="D302" s="180"/>
      <c r="E302" s="180" t="s">
        <v>636</v>
      </c>
      <c r="F302" s="180"/>
      <c r="G302" s="180"/>
      <c r="H302" s="180"/>
      <c r="I302" s="180"/>
      <c r="J302" s="673" t="s">
        <v>24</v>
      </c>
      <c r="K302" s="186" t="s">
        <v>25</v>
      </c>
      <c r="L302" s="180" t="s">
        <v>25</v>
      </c>
      <c r="M302" s="289" t="s">
        <v>25</v>
      </c>
      <c r="N302" s="3"/>
      <c r="O302" s="81"/>
      <c r="P302" s="3"/>
      <c r="Q302" s="3"/>
      <c r="R302" s="3"/>
      <c r="S302" s="3"/>
      <c r="T302" s="3"/>
      <c r="U302" s="3"/>
      <c r="V302" s="3"/>
      <c r="W302" s="3"/>
      <c r="X302" s="3"/>
      <c r="Y302" s="3"/>
      <c r="Z302" s="3"/>
    </row>
    <row r="303" spans="1:26" ht="15.75" customHeight="1" x14ac:dyDescent="0.25">
      <c r="A303" s="278"/>
      <c r="B303" s="291"/>
      <c r="C303" s="292"/>
      <c r="D303" s="292"/>
      <c r="E303" s="292"/>
      <c r="F303" s="292"/>
      <c r="G303" s="292"/>
      <c r="H303" s="292"/>
      <c r="I303" s="292"/>
      <c r="J303" s="675"/>
      <c r="K303" s="676"/>
      <c r="L303" s="292"/>
      <c r="M303" s="548"/>
      <c r="N303" s="3"/>
      <c r="O303" s="81"/>
      <c r="P303" s="3"/>
      <c r="Q303" s="3"/>
      <c r="R303" s="3"/>
      <c r="S303" s="3"/>
      <c r="T303" s="3"/>
      <c r="U303" s="3"/>
      <c r="V303" s="3"/>
      <c r="W303" s="3"/>
      <c r="X303" s="3"/>
      <c r="Y303" s="3"/>
      <c r="Z303" s="3"/>
    </row>
    <row r="304" spans="1:26" ht="15.75" customHeight="1" x14ac:dyDescent="0.25">
      <c r="A304" s="278"/>
      <c r="B304" s="616" t="s">
        <v>30</v>
      </c>
      <c r="C304" s="238" t="s">
        <v>31</v>
      </c>
      <c r="D304" s="392"/>
      <c r="E304" s="392"/>
      <c r="F304" s="392"/>
      <c r="G304" s="392"/>
      <c r="H304" s="392"/>
      <c r="I304" s="392"/>
      <c r="J304" s="677"/>
      <c r="K304" s="678"/>
      <c r="L304" s="392"/>
      <c r="M304" s="679"/>
      <c r="N304" s="3"/>
      <c r="O304" s="81"/>
      <c r="P304" s="3"/>
      <c r="Q304" s="3"/>
      <c r="R304" s="3"/>
      <c r="S304" s="3"/>
      <c r="T304" s="3"/>
      <c r="U304" s="3"/>
      <c r="V304" s="3"/>
      <c r="W304" s="3"/>
      <c r="X304" s="3"/>
      <c r="Y304" s="3"/>
      <c r="Z304" s="3"/>
    </row>
    <row r="305" spans="1:26" ht="15.75" customHeight="1" x14ac:dyDescent="0.25">
      <c r="A305" s="278"/>
      <c r="B305" s="564"/>
      <c r="C305" s="179" t="s">
        <v>75</v>
      </c>
      <c r="D305" s="179" t="s">
        <v>76</v>
      </c>
      <c r="E305" s="179" t="s">
        <v>77</v>
      </c>
      <c r="F305" s="313">
        <v>2767100</v>
      </c>
      <c r="G305" s="179" t="s">
        <v>79</v>
      </c>
      <c r="H305" s="402">
        <v>1020</v>
      </c>
      <c r="I305" s="179" t="s">
        <v>80</v>
      </c>
      <c r="J305" s="680">
        <v>2822.442</v>
      </c>
      <c r="K305" s="459">
        <v>166.25</v>
      </c>
      <c r="L305" s="681">
        <v>0</v>
      </c>
      <c r="M305" s="454">
        <v>0</v>
      </c>
      <c r="N305" s="3"/>
      <c r="O305" s="81" t="s">
        <v>230</v>
      </c>
      <c r="P305" s="3"/>
      <c r="Q305" s="3"/>
      <c r="R305" s="3"/>
      <c r="S305" s="3"/>
      <c r="T305" s="3"/>
      <c r="U305" s="3"/>
      <c r="V305" s="3"/>
      <c r="W305" s="3"/>
      <c r="X305" s="3"/>
      <c r="Y305" s="3"/>
      <c r="Z305" s="3"/>
    </row>
    <row r="306" spans="1:26" ht="15.75" customHeight="1" x14ac:dyDescent="0.25">
      <c r="A306" s="278"/>
      <c r="B306" s="291"/>
      <c r="C306" s="292"/>
      <c r="D306" s="292"/>
      <c r="E306" s="292"/>
      <c r="F306" s="383"/>
      <c r="G306" s="292"/>
      <c r="H306" s="612"/>
      <c r="I306" s="292"/>
      <c r="J306" s="682"/>
      <c r="K306" s="614"/>
      <c r="L306" s="603"/>
      <c r="M306" s="683"/>
      <c r="N306" s="3"/>
      <c r="O306" s="81"/>
      <c r="P306" s="3"/>
      <c r="Q306" s="3"/>
      <c r="R306" s="3"/>
      <c r="S306" s="3"/>
      <c r="T306" s="3"/>
      <c r="U306" s="3"/>
      <c r="V306" s="3"/>
      <c r="W306" s="3"/>
      <c r="X306" s="3"/>
      <c r="Y306" s="3"/>
      <c r="Z306" s="3"/>
    </row>
    <row r="307" spans="1:26" ht="15.75" customHeight="1" x14ac:dyDescent="0.25">
      <c r="A307" s="278"/>
      <c r="B307" s="616" t="s">
        <v>100</v>
      </c>
      <c r="C307" s="238" t="s">
        <v>101</v>
      </c>
      <c r="D307" s="392"/>
      <c r="E307" s="392"/>
      <c r="F307" s="394"/>
      <c r="G307" s="392"/>
      <c r="H307" s="617"/>
      <c r="I307" s="392"/>
      <c r="J307" s="684"/>
      <c r="K307" s="620"/>
      <c r="L307" s="621"/>
      <c r="M307" s="685"/>
      <c r="N307" s="3"/>
      <c r="O307" s="81"/>
      <c r="P307" s="3"/>
      <c r="Q307" s="3"/>
      <c r="R307" s="3"/>
      <c r="S307" s="3"/>
      <c r="T307" s="3"/>
      <c r="U307" s="3"/>
      <c r="V307" s="3"/>
      <c r="W307" s="3"/>
      <c r="X307" s="3"/>
      <c r="Y307" s="3"/>
      <c r="Z307" s="3"/>
    </row>
    <row r="308" spans="1:26" ht="15.75" customHeight="1" x14ac:dyDescent="0.25">
      <c r="A308" s="278"/>
      <c r="B308" s="564"/>
      <c r="C308" s="179" t="s">
        <v>102</v>
      </c>
      <c r="D308" s="179" t="s">
        <v>103</v>
      </c>
      <c r="E308" s="179" t="s">
        <v>144</v>
      </c>
      <c r="F308" s="313">
        <v>75000000</v>
      </c>
      <c r="G308" s="179" t="s">
        <v>79</v>
      </c>
      <c r="H308" s="402">
        <v>1020</v>
      </c>
      <c r="I308" s="179" t="s">
        <v>145</v>
      </c>
      <c r="J308" s="680">
        <v>76500</v>
      </c>
      <c r="K308" s="459">
        <v>8023.2708769110341</v>
      </c>
      <c r="L308" s="444">
        <v>2.1450042791546466E-2</v>
      </c>
      <c r="M308" s="445">
        <v>0.18322488165166143</v>
      </c>
      <c r="N308" s="3"/>
      <c r="O308" s="81" t="s">
        <v>230</v>
      </c>
      <c r="P308" s="3"/>
      <c r="Q308" s="3"/>
      <c r="R308" s="3"/>
      <c r="S308" s="3"/>
      <c r="T308" s="3"/>
      <c r="U308" s="3"/>
      <c r="V308" s="3"/>
      <c r="W308" s="3"/>
      <c r="X308" s="3"/>
      <c r="Y308" s="3"/>
      <c r="Z308" s="3"/>
    </row>
    <row r="309" spans="1:26" ht="15.75" customHeight="1" x14ac:dyDescent="0.25">
      <c r="A309" s="278"/>
      <c r="B309" s="564"/>
      <c r="C309" s="179"/>
      <c r="D309" s="179"/>
      <c r="E309" s="179"/>
      <c r="F309" s="313"/>
      <c r="G309" s="179"/>
      <c r="H309" s="402"/>
      <c r="I309" s="179"/>
      <c r="J309" s="680"/>
      <c r="K309" s="459"/>
      <c r="L309" s="444"/>
      <c r="M309" s="445"/>
      <c r="N309" s="3"/>
      <c r="O309" s="81"/>
      <c r="P309" s="3"/>
      <c r="Q309" s="3"/>
      <c r="R309" s="3"/>
      <c r="S309" s="3"/>
      <c r="T309" s="3"/>
      <c r="U309" s="3"/>
      <c r="V309" s="3"/>
      <c r="W309" s="3"/>
      <c r="X309" s="3"/>
      <c r="Y309" s="3"/>
      <c r="Z309" s="3"/>
    </row>
    <row r="310" spans="1:26" ht="15.75" customHeight="1" x14ac:dyDescent="0.25">
      <c r="A310" s="278"/>
      <c r="B310" s="564"/>
      <c r="C310" s="179" t="s">
        <v>105</v>
      </c>
      <c r="D310" s="179" t="s">
        <v>106</v>
      </c>
      <c r="E310" s="179" t="s">
        <v>144</v>
      </c>
      <c r="F310" s="313">
        <v>60000000</v>
      </c>
      <c r="G310" s="179" t="s">
        <v>79</v>
      </c>
      <c r="H310" s="402">
        <v>1020</v>
      </c>
      <c r="I310" s="179" t="s">
        <v>145</v>
      </c>
      <c r="J310" s="680">
        <v>61200</v>
      </c>
      <c r="K310" s="459">
        <v>6418.6666143325938</v>
      </c>
      <c r="L310" s="444">
        <v>1.501333727527079E-2</v>
      </c>
      <c r="M310" s="445">
        <v>0.12979272225072813</v>
      </c>
      <c r="N310" s="3"/>
      <c r="O310" s="81" t="s">
        <v>230</v>
      </c>
      <c r="P310" s="3"/>
      <c r="Q310" s="3"/>
      <c r="R310" s="3"/>
      <c r="S310" s="3"/>
      <c r="T310" s="3"/>
      <c r="U310" s="3"/>
      <c r="V310" s="3"/>
      <c r="W310" s="3"/>
      <c r="X310" s="3"/>
      <c r="Y310" s="3"/>
      <c r="Z310" s="3"/>
    </row>
    <row r="311" spans="1:26" ht="15.75" customHeight="1" x14ac:dyDescent="0.25">
      <c r="A311" s="278"/>
      <c r="B311" s="291"/>
      <c r="C311" s="292"/>
      <c r="D311" s="292"/>
      <c r="E311" s="292"/>
      <c r="F311" s="383"/>
      <c r="G311" s="292"/>
      <c r="H311" s="612"/>
      <c r="I311" s="292"/>
      <c r="J311" s="682"/>
      <c r="K311" s="614"/>
      <c r="L311" s="603"/>
      <c r="M311" s="683"/>
      <c r="N311" s="3"/>
      <c r="O311" s="81"/>
      <c r="P311" s="3"/>
      <c r="Q311" s="3"/>
      <c r="R311" s="3"/>
      <c r="S311" s="3"/>
      <c r="T311" s="3"/>
      <c r="U311" s="3"/>
      <c r="V311" s="3"/>
      <c r="W311" s="3"/>
      <c r="X311" s="3"/>
      <c r="Y311" s="3"/>
      <c r="Z311" s="3"/>
    </row>
    <row r="312" spans="1:26" ht="15.75" customHeight="1" x14ac:dyDescent="0.25">
      <c r="A312" s="278"/>
      <c r="B312" s="616" t="s">
        <v>108</v>
      </c>
      <c r="C312" s="238" t="s">
        <v>110</v>
      </c>
      <c r="D312" s="392"/>
      <c r="E312" s="392"/>
      <c r="F312" s="394"/>
      <c r="G312" s="392"/>
      <c r="H312" s="617"/>
      <c r="I312" s="392"/>
      <c r="J312" s="684"/>
      <c r="K312" s="620"/>
      <c r="L312" s="621"/>
      <c r="M312" s="685"/>
      <c r="N312" s="3"/>
      <c r="O312" s="81"/>
      <c r="P312" s="3"/>
      <c r="Q312" s="3"/>
      <c r="R312" s="3"/>
      <c r="S312" s="3"/>
      <c r="T312" s="3"/>
      <c r="U312" s="3"/>
      <c r="V312" s="3"/>
      <c r="W312" s="3"/>
      <c r="X312" s="3"/>
      <c r="Y312" s="3"/>
      <c r="Z312" s="3"/>
    </row>
    <row r="313" spans="1:26" ht="15.75" customHeight="1" x14ac:dyDescent="0.25">
      <c r="A313" s="278"/>
      <c r="B313" s="564"/>
      <c r="C313" s="179"/>
      <c r="D313" s="179"/>
      <c r="E313" s="179"/>
      <c r="F313" s="313"/>
      <c r="G313" s="179"/>
      <c r="H313" s="402"/>
      <c r="I313" s="179"/>
      <c r="J313" s="680"/>
      <c r="K313" s="459"/>
      <c r="L313" s="444"/>
      <c r="M313" s="445"/>
      <c r="N313" s="3"/>
      <c r="O313" s="81"/>
      <c r="P313" s="3"/>
      <c r="Q313" s="3"/>
      <c r="R313" s="3"/>
      <c r="S313" s="3"/>
      <c r="T313" s="3"/>
      <c r="U313" s="3"/>
      <c r="V313" s="3"/>
      <c r="W313" s="3"/>
      <c r="X313" s="3"/>
      <c r="Y313" s="3"/>
      <c r="Z313" s="3"/>
    </row>
    <row r="314" spans="1:26" ht="15.75" customHeight="1" x14ac:dyDescent="0.25">
      <c r="A314" s="278"/>
      <c r="B314" s="564"/>
      <c r="C314" s="179" t="s">
        <v>111</v>
      </c>
      <c r="D314" s="179" t="s">
        <v>89</v>
      </c>
      <c r="E314" s="179" t="s">
        <v>189</v>
      </c>
      <c r="F314" s="313">
        <v>30893</v>
      </c>
      <c r="G314" s="179" t="s">
        <v>79</v>
      </c>
      <c r="H314" s="402">
        <v>1034</v>
      </c>
      <c r="I314" s="179" t="s">
        <v>145</v>
      </c>
      <c r="J314" s="680">
        <v>31943.362000000001</v>
      </c>
      <c r="K314" s="459">
        <v>3445.9797944687357</v>
      </c>
      <c r="L314" s="444">
        <v>2.5185085674848895E-2</v>
      </c>
      <c r="M314" s="445">
        <v>2.0156555510620431E-2</v>
      </c>
      <c r="N314" s="3"/>
      <c r="O314" s="81" t="s">
        <v>230</v>
      </c>
      <c r="P314" s="3"/>
      <c r="Q314" s="3"/>
      <c r="R314" s="3"/>
      <c r="S314" s="3"/>
      <c r="T314" s="3"/>
      <c r="U314" s="3"/>
      <c r="V314" s="3"/>
      <c r="W314" s="3"/>
      <c r="X314" s="3"/>
      <c r="Y314" s="3"/>
      <c r="Z314" s="3"/>
    </row>
    <row r="315" spans="1:26" ht="15.75" customHeight="1" x14ac:dyDescent="0.25">
      <c r="A315" s="278"/>
      <c r="B315" s="564"/>
      <c r="C315" s="179"/>
      <c r="D315" s="179"/>
      <c r="E315" s="179"/>
      <c r="F315" s="313"/>
      <c r="G315" s="179"/>
      <c r="H315" s="402"/>
      <c r="I315" s="179"/>
      <c r="J315" s="680"/>
      <c r="K315" s="459"/>
      <c r="L315" s="444"/>
      <c r="M315" s="445"/>
      <c r="N315" s="3"/>
      <c r="O315" s="81"/>
      <c r="P315" s="3"/>
      <c r="Q315" s="3"/>
      <c r="R315" s="3"/>
      <c r="S315" s="3"/>
      <c r="T315" s="3"/>
      <c r="U315" s="3"/>
      <c r="V315" s="3"/>
      <c r="W315" s="3"/>
      <c r="X315" s="3"/>
      <c r="Y315" s="3"/>
      <c r="Z315" s="3"/>
    </row>
    <row r="316" spans="1:26" ht="15.75" customHeight="1" x14ac:dyDescent="0.25">
      <c r="A316" s="278"/>
      <c r="B316" s="564"/>
      <c r="C316" s="179" t="s">
        <v>114</v>
      </c>
      <c r="D316" s="179" t="s">
        <v>98</v>
      </c>
      <c r="E316" s="179" t="s">
        <v>189</v>
      </c>
      <c r="F316" s="313">
        <v>163134</v>
      </c>
      <c r="G316" s="179" t="s">
        <v>79</v>
      </c>
      <c r="H316" s="402">
        <v>1037</v>
      </c>
      <c r="I316" s="179" t="s">
        <v>145</v>
      </c>
      <c r="J316" s="680">
        <v>169169.95800000001</v>
      </c>
      <c r="K316" s="459">
        <v>18156.895576666189</v>
      </c>
      <c r="L316" s="444">
        <v>0.13271072810314702</v>
      </c>
      <c r="M316" s="445">
        <v>0.10616858248251762</v>
      </c>
      <c r="N316" s="3"/>
      <c r="O316" s="81" t="s">
        <v>230</v>
      </c>
      <c r="P316" s="3"/>
      <c r="Q316" s="3"/>
      <c r="R316" s="3"/>
      <c r="S316" s="3"/>
      <c r="T316" s="3"/>
      <c r="U316" s="3"/>
      <c r="V316" s="3"/>
      <c r="W316" s="3"/>
      <c r="X316" s="3"/>
      <c r="Y316" s="3"/>
      <c r="Z316" s="3"/>
    </row>
    <row r="317" spans="1:26" ht="15.75" customHeight="1" x14ac:dyDescent="0.25">
      <c r="A317" s="278"/>
      <c r="B317" s="564"/>
      <c r="C317" s="179"/>
      <c r="D317" s="179"/>
      <c r="E317" s="179"/>
      <c r="F317" s="313"/>
      <c r="G317" s="179"/>
      <c r="H317" s="402"/>
      <c r="I317" s="179"/>
      <c r="J317" s="680"/>
      <c r="K317" s="459"/>
      <c r="L317" s="444"/>
      <c r="M317" s="445"/>
      <c r="N317" s="3"/>
      <c r="O317" s="81"/>
      <c r="P317" s="3"/>
      <c r="Q317" s="3"/>
      <c r="R317" s="3"/>
      <c r="S317" s="3"/>
      <c r="T317" s="3"/>
      <c r="U317" s="3"/>
      <c r="V317" s="3"/>
      <c r="W317" s="3"/>
      <c r="X317" s="3"/>
      <c r="Y317" s="3"/>
      <c r="Z317" s="3"/>
    </row>
    <row r="318" spans="1:26" ht="15.75" customHeight="1" x14ac:dyDescent="0.25">
      <c r="A318" s="278"/>
      <c r="B318" s="564"/>
      <c r="C318" s="179" t="s">
        <v>199</v>
      </c>
      <c r="D318" s="179" t="s">
        <v>122</v>
      </c>
      <c r="E318" s="179" t="s">
        <v>189</v>
      </c>
      <c r="F318" s="313">
        <v>3911764</v>
      </c>
      <c r="G318" s="179" t="s">
        <v>79</v>
      </c>
      <c r="H318" s="402">
        <v>1031</v>
      </c>
      <c r="I318" s="179" t="s">
        <v>145</v>
      </c>
      <c r="J318" s="680">
        <v>4033028.6839999999</v>
      </c>
      <c r="K318" s="459">
        <v>251050.49058174895</v>
      </c>
      <c r="L318" s="444">
        <v>4.8079099523875701</v>
      </c>
      <c r="M318" s="445">
        <v>1.6124088254958313</v>
      </c>
      <c r="N318" s="3"/>
      <c r="O318" s="81" t="s">
        <v>230</v>
      </c>
      <c r="P318" s="3"/>
      <c r="Q318" s="3"/>
      <c r="R318" s="3"/>
      <c r="S318" s="3"/>
      <c r="T318" s="3"/>
      <c r="U318" s="3"/>
      <c r="V318" s="3"/>
      <c r="W318" s="3"/>
      <c r="X318" s="3"/>
      <c r="Y318" s="3"/>
      <c r="Z318" s="3"/>
    </row>
    <row r="319" spans="1:26" ht="15.75" customHeight="1" x14ac:dyDescent="0.25">
      <c r="A319" s="278"/>
      <c r="B319" s="564"/>
      <c r="C319" s="179"/>
      <c r="D319" s="179"/>
      <c r="E319" s="179"/>
      <c r="F319" s="313"/>
      <c r="G319" s="179"/>
      <c r="H319" s="402"/>
      <c r="I319" s="179"/>
      <c r="J319" s="680"/>
      <c r="K319" s="459"/>
      <c r="L319" s="444"/>
      <c r="M319" s="445"/>
      <c r="N319" s="3"/>
      <c r="O319" s="81"/>
      <c r="P319" s="3"/>
      <c r="Q319" s="3"/>
      <c r="R319" s="3"/>
      <c r="S319" s="3"/>
      <c r="T319" s="3"/>
      <c r="U319" s="3"/>
      <c r="V319" s="3"/>
      <c r="W319" s="3"/>
      <c r="X319" s="3"/>
      <c r="Y319" s="3"/>
      <c r="Z319" s="3"/>
    </row>
    <row r="320" spans="1:26" ht="15.75" customHeight="1" x14ac:dyDescent="0.25">
      <c r="A320" s="278"/>
      <c r="B320" s="564"/>
      <c r="C320" s="179" t="s">
        <v>208</v>
      </c>
      <c r="D320" s="179" t="s">
        <v>209</v>
      </c>
      <c r="E320" s="179" t="s">
        <v>189</v>
      </c>
      <c r="F320" s="313">
        <v>3907269</v>
      </c>
      <c r="G320" s="179" t="s">
        <v>79</v>
      </c>
      <c r="H320" s="402">
        <v>1031</v>
      </c>
      <c r="I320" s="179" t="s">
        <v>145</v>
      </c>
      <c r="J320" s="680">
        <v>4028394.3390000002</v>
      </c>
      <c r="K320" s="459">
        <v>284779.58035673073</v>
      </c>
      <c r="L320" s="444">
        <v>5.4640772817897361</v>
      </c>
      <c r="M320" s="445">
        <v>1.7919823343503973</v>
      </c>
      <c r="N320" s="3"/>
      <c r="O320" s="81" t="s">
        <v>230</v>
      </c>
      <c r="P320" s="3"/>
      <c r="Q320" s="3"/>
      <c r="R320" s="3"/>
      <c r="S320" s="3"/>
      <c r="T320" s="3"/>
      <c r="U320" s="3"/>
      <c r="V320" s="3"/>
      <c r="W320" s="3"/>
      <c r="X320" s="3"/>
      <c r="Y320" s="3"/>
      <c r="Z320" s="3"/>
    </row>
    <row r="321" spans="1:26" ht="15.75" customHeight="1" x14ac:dyDescent="0.25">
      <c r="A321" s="278"/>
      <c r="B321" s="564"/>
      <c r="C321" s="179"/>
      <c r="D321" s="179"/>
      <c r="E321" s="179"/>
      <c r="F321" s="313"/>
      <c r="G321" s="179"/>
      <c r="H321" s="402"/>
      <c r="I321" s="179"/>
      <c r="J321" s="680"/>
      <c r="K321" s="459"/>
      <c r="L321" s="444"/>
      <c r="M321" s="445"/>
      <c r="N321" s="3"/>
      <c r="O321" s="81"/>
      <c r="P321" s="3"/>
      <c r="Q321" s="3"/>
      <c r="R321" s="3"/>
      <c r="S321" s="3"/>
      <c r="T321" s="3"/>
      <c r="U321" s="3"/>
      <c r="V321" s="3"/>
      <c r="W321" s="3"/>
      <c r="X321" s="3"/>
      <c r="Y321" s="3"/>
      <c r="Z321" s="3"/>
    </row>
    <row r="322" spans="1:26" ht="15.75" customHeight="1" x14ac:dyDescent="0.25">
      <c r="A322" s="278"/>
      <c r="B322" s="564"/>
      <c r="C322" s="179" t="s">
        <v>228</v>
      </c>
      <c r="D322" s="179" t="s">
        <v>229</v>
      </c>
      <c r="E322" s="179" t="s">
        <v>189</v>
      </c>
      <c r="F322" s="313">
        <v>148038</v>
      </c>
      <c r="G322" s="179" t="s">
        <v>79</v>
      </c>
      <c r="H322" s="402">
        <v>1032</v>
      </c>
      <c r="I322" s="179" t="s">
        <v>145</v>
      </c>
      <c r="J322" s="680">
        <v>152775.21599999999</v>
      </c>
      <c r="K322" s="459">
        <v>9959.6823666729506</v>
      </c>
      <c r="L322" s="444">
        <v>5.9419084235655353E-2</v>
      </c>
      <c r="M322" s="445">
        <v>0.24088817933373788</v>
      </c>
      <c r="N322" s="3"/>
      <c r="O322" s="81" t="s">
        <v>230</v>
      </c>
      <c r="P322" s="3"/>
      <c r="Q322" s="3"/>
      <c r="R322" s="3"/>
      <c r="S322" s="3"/>
      <c r="T322" s="3"/>
      <c r="U322" s="3"/>
      <c r="V322" s="3"/>
      <c r="W322" s="3"/>
      <c r="X322" s="3"/>
      <c r="Y322" s="3"/>
      <c r="Z322" s="3"/>
    </row>
    <row r="323" spans="1:26" ht="15.75" customHeight="1" x14ac:dyDescent="0.25">
      <c r="A323" s="278"/>
      <c r="B323" s="564"/>
      <c r="C323" s="179"/>
      <c r="D323" s="179"/>
      <c r="E323" s="179"/>
      <c r="F323" s="313"/>
      <c r="G323" s="179"/>
      <c r="H323" s="402"/>
      <c r="I323" s="179"/>
      <c r="J323" s="680"/>
      <c r="K323" s="459"/>
      <c r="L323" s="444">
        <v>7.3999999999999996E-2</v>
      </c>
      <c r="M323" s="445">
        <v>0.3</v>
      </c>
      <c r="N323" s="3"/>
      <c r="O323" s="81" t="s">
        <v>230</v>
      </c>
      <c r="P323" s="3"/>
      <c r="Q323" s="3"/>
      <c r="R323" s="3"/>
      <c r="S323" s="3"/>
      <c r="T323" s="3"/>
      <c r="U323" s="3"/>
      <c r="V323" s="3"/>
      <c r="W323" s="3"/>
      <c r="X323" s="3"/>
      <c r="Y323" s="3"/>
      <c r="Z323" s="3"/>
    </row>
    <row r="324" spans="1:26" ht="15.75" customHeight="1" x14ac:dyDescent="0.25">
      <c r="A324" s="278"/>
      <c r="B324" s="564"/>
      <c r="C324" s="179" t="s">
        <v>233</v>
      </c>
      <c r="D324" s="179" t="s">
        <v>234</v>
      </c>
      <c r="E324" s="179" t="s">
        <v>189</v>
      </c>
      <c r="F324" s="313">
        <v>95208</v>
      </c>
      <c r="G324" s="179" t="s">
        <v>79</v>
      </c>
      <c r="H324" s="402">
        <v>1032</v>
      </c>
      <c r="I324" s="179" t="s">
        <v>145</v>
      </c>
      <c r="J324" s="680">
        <v>98254.656000000003</v>
      </c>
      <c r="K324" s="459">
        <v>6010.3847131191642</v>
      </c>
      <c r="L324" s="444">
        <v>4.0217304222705294E-2</v>
      </c>
      <c r="M324" s="445">
        <v>0.10968355697101446</v>
      </c>
      <c r="N324" s="3"/>
      <c r="O324" s="81" t="s">
        <v>230</v>
      </c>
      <c r="P324" s="3"/>
      <c r="Q324" s="3"/>
      <c r="R324" s="3"/>
      <c r="S324" s="3"/>
      <c r="T324" s="3"/>
      <c r="U324" s="3"/>
      <c r="V324" s="3"/>
      <c r="W324" s="3"/>
      <c r="X324" s="3"/>
      <c r="Y324" s="3"/>
      <c r="Z324" s="3"/>
    </row>
    <row r="325" spans="1:26" ht="15.75" customHeight="1" x14ac:dyDescent="0.25">
      <c r="A325" s="278"/>
      <c r="B325" s="564"/>
      <c r="C325" s="179"/>
      <c r="D325" s="179"/>
      <c r="E325" s="179"/>
      <c r="F325" s="313"/>
      <c r="G325" s="179"/>
      <c r="H325" s="402"/>
      <c r="I325" s="179"/>
      <c r="J325" s="680"/>
      <c r="K325" s="459"/>
      <c r="L325" s="444">
        <v>4.3999999999999997E-2</v>
      </c>
      <c r="M325" s="445">
        <v>0.12</v>
      </c>
      <c r="N325" s="3"/>
      <c r="O325" s="81" t="s">
        <v>230</v>
      </c>
      <c r="P325" s="3"/>
      <c r="Q325" s="3"/>
      <c r="R325" s="3"/>
      <c r="S325" s="3"/>
      <c r="T325" s="3"/>
      <c r="U325" s="3"/>
      <c r="V325" s="3"/>
      <c r="W325" s="3"/>
      <c r="X325" s="3"/>
      <c r="Y325" s="3"/>
      <c r="Z325" s="3"/>
    </row>
    <row r="326" spans="1:26" ht="15.75" customHeight="1" x14ac:dyDescent="0.25">
      <c r="A326" s="278"/>
      <c r="B326" s="564"/>
      <c r="C326" s="179" t="s">
        <v>237</v>
      </c>
      <c r="D326" s="179" t="s">
        <v>238</v>
      </c>
      <c r="E326" s="179" t="s">
        <v>189</v>
      </c>
      <c r="F326" s="313">
        <v>179012</v>
      </c>
      <c r="G326" s="179" t="s">
        <v>79</v>
      </c>
      <c r="H326" s="402">
        <v>1032</v>
      </c>
      <c r="I326" s="179" t="s">
        <v>145</v>
      </c>
      <c r="J326" s="680">
        <v>184740.38399999999</v>
      </c>
      <c r="K326" s="459">
        <v>10696.148404055595</v>
      </c>
      <c r="L326" s="444">
        <v>6.7618966284057197E-2</v>
      </c>
      <c r="M326" s="445">
        <v>0.18933310559536018</v>
      </c>
      <c r="N326" s="3"/>
      <c r="O326" s="81" t="s">
        <v>230</v>
      </c>
      <c r="P326" s="3"/>
      <c r="Q326" s="3"/>
      <c r="R326" s="3"/>
      <c r="S326" s="3"/>
      <c r="T326" s="3"/>
      <c r="U326" s="3"/>
      <c r="V326" s="3"/>
      <c r="W326" s="3"/>
      <c r="X326" s="3"/>
      <c r="Y326" s="3"/>
      <c r="Z326" s="3"/>
    </row>
    <row r="327" spans="1:26" ht="15.75" customHeight="1" x14ac:dyDescent="0.25">
      <c r="A327" s="278"/>
      <c r="B327" s="564"/>
      <c r="C327" s="179"/>
      <c r="D327" s="179"/>
      <c r="E327" s="179"/>
      <c r="F327" s="313"/>
      <c r="G327" s="179"/>
      <c r="H327" s="402"/>
      <c r="I327" s="179"/>
      <c r="J327" s="680"/>
      <c r="K327" s="459"/>
      <c r="L327" s="444">
        <v>7.4999999999999997E-2</v>
      </c>
      <c r="M327" s="445">
        <v>0.21</v>
      </c>
      <c r="N327" s="3"/>
      <c r="O327" s="81" t="s">
        <v>230</v>
      </c>
      <c r="P327" s="3"/>
      <c r="Q327" s="3"/>
      <c r="R327" s="3"/>
      <c r="S327" s="3"/>
      <c r="T327" s="3"/>
      <c r="U327" s="3"/>
      <c r="V327" s="3"/>
      <c r="W327" s="3"/>
      <c r="X327" s="3"/>
      <c r="Y327" s="3"/>
      <c r="Z327" s="3"/>
    </row>
    <row r="328" spans="1:26" ht="15.75" customHeight="1" x14ac:dyDescent="0.25">
      <c r="A328" s="278"/>
      <c r="B328" s="564"/>
      <c r="C328" s="179" t="s">
        <v>246</v>
      </c>
      <c r="D328" s="179" t="s">
        <v>247</v>
      </c>
      <c r="E328" s="179" t="s">
        <v>189</v>
      </c>
      <c r="F328" s="313">
        <v>193249</v>
      </c>
      <c r="G328" s="179" t="s">
        <v>79</v>
      </c>
      <c r="H328" s="402">
        <v>1031</v>
      </c>
      <c r="I328" s="179" t="s">
        <v>145</v>
      </c>
      <c r="J328" s="680">
        <v>199239.71900000001</v>
      </c>
      <c r="K328" s="459">
        <v>13397.858494014101</v>
      </c>
      <c r="L328" s="444">
        <v>8.4618788264208558E-2</v>
      </c>
      <c r="M328" s="445">
        <v>0.27043117898870772</v>
      </c>
      <c r="N328" s="3"/>
      <c r="O328" s="81" t="s">
        <v>230</v>
      </c>
      <c r="P328" s="3"/>
      <c r="Q328" s="3"/>
      <c r="R328" s="3"/>
      <c r="S328" s="3"/>
      <c r="T328" s="3"/>
      <c r="U328" s="3"/>
      <c r="V328" s="3"/>
      <c r="W328" s="3"/>
      <c r="X328" s="3"/>
      <c r="Y328" s="3"/>
      <c r="Z328" s="3"/>
    </row>
    <row r="329" spans="1:26" ht="15.75" customHeight="1" x14ac:dyDescent="0.25">
      <c r="A329" s="278"/>
      <c r="B329" s="291"/>
      <c r="C329" s="292"/>
      <c r="D329" s="292"/>
      <c r="E329" s="292"/>
      <c r="F329" s="383"/>
      <c r="G329" s="292"/>
      <c r="H329" s="612"/>
      <c r="I329" s="292"/>
      <c r="J329" s="682"/>
      <c r="K329" s="614"/>
      <c r="L329" s="603"/>
      <c r="M329" s="683"/>
      <c r="N329" s="3"/>
      <c r="O329" s="81"/>
      <c r="P329" s="3"/>
      <c r="Q329" s="3"/>
      <c r="R329" s="3"/>
      <c r="S329" s="3"/>
      <c r="T329" s="3"/>
      <c r="U329" s="3"/>
      <c r="V329" s="3"/>
      <c r="W329" s="3"/>
      <c r="X329" s="3"/>
      <c r="Y329" s="3"/>
      <c r="Z329" s="3"/>
    </row>
    <row r="330" spans="1:26" ht="15.75" customHeight="1" x14ac:dyDescent="0.25">
      <c r="A330" s="278"/>
      <c r="B330" s="616" t="s">
        <v>262</v>
      </c>
      <c r="C330" s="238" t="s">
        <v>263</v>
      </c>
      <c r="D330" s="392"/>
      <c r="E330" s="392"/>
      <c r="F330" s="394"/>
      <c r="G330" s="392"/>
      <c r="H330" s="617"/>
      <c r="I330" s="392"/>
      <c r="J330" s="684"/>
      <c r="K330" s="620"/>
      <c r="L330" s="621"/>
      <c r="M330" s="685"/>
      <c r="N330" s="3"/>
      <c r="O330" s="81"/>
      <c r="P330" s="3"/>
      <c r="Q330" s="3"/>
      <c r="R330" s="3"/>
      <c r="S330" s="3"/>
      <c r="T330" s="3"/>
      <c r="U330" s="3"/>
      <c r="V330" s="3"/>
      <c r="W330" s="3"/>
      <c r="X330" s="3"/>
      <c r="Y330" s="3"/>
      <c r="Z330" s="3"/>
    </row>
    <row r="331" spans="1:26" ht="15.75" customHeight="1" x14ac:dyDescent="0.25">
      <c r="A331" s="278"/>
      <c r="B331" s="285"/>
      <c r="C331" s="179" t="s">
        <v>264</v>
      </c>
      <c r="D331" s="179" t="s">
        <v>265</v>
      </c>
      <c r="E331" s="179" t="s">
        <v>189</v>
      </c>
      <c r="F331" s="313">
        <v>90508</v>
      </c>
      <c r="G331" s="179" t="s">
        <v>79</v>
      </c>
      <c r="H331" s="402">
        <v>1032</v>
      </c>
      <c r="I331" s="179" t="s">
        <v>80</v>
      </c>
      <c r="J331" s="680">
        <v>93404.255999999994</v>
      </c>
      <c r="K331" s="459">
        <v>5476.2034079014793</v>
      </c>
      <c r="L331" s="444">
        <v>9.0109554954250229E-2</v>
      </c>
      <c r="M331" s="445">
        <v>0.18021910990850046</v>
      </c>
      <c r="N331" s="3"/>
      <c r="O331" s="81" t="s">
        <v>230</v>
      </c>
      <c r="P331" s="3"/>
      <c r="Q331" s="3"/>
      <c r="R331" s="3"/>
      <c r="S331" s="3"/>
      <c r="T331" s="3"/>
      <c r="U331" s="3"/>
      <c r="V331" s="3"/>
      <c r="W331" s="3"/>
      <c r="X331" s="3"/>
      <c r="Y331" s="3"/>
      <c r="Z331" s="3"/>
    </row>
    <row r="332" spans="1:26" ht="15.75" customHeight="1" x14ac:dyDescent="0.25">
      <c r="A332" s="278"/>
      <c r="B332" s="291"/>
      <c r="C332" s="292"/>
      <c r="D332" s="292"/>
      <c r="E332" s="292"/>
      <c r="F332" s="383"/>
      <c r="G332" s="292"/>
      <c r="H332" s="612"/>
      <c r="I332" s="292"/>
      <c r="J332" s="682"/>
      <c r="K332" s="614"/>
      <c r="L332" s="603"/>
      <c r="M332" s="683"/>
      <c r="N332" s="3"/>
      <c r="O332" s="81"/>
      <c r="P332" s="3"/>
      <c r="Q332" s="3"/>
      <c r="R332" s="3"/>
      <c r="S332" s="3"/>
      <c r="T332" s="3"/>
      <c r="U332" s="3"/>
      <c r="V332" s="3"/>
      <c r="W332" s="3"/>
      <c r="X332" s="3"/>
      <c r="Y332" s="3"/>
      <c r="Z332" s="3"/>
    </row>
    <row r="333" spans="1:26" ht="15.75" customHeight="1" x14ac:dyDescent="0.25">
      <c r="A333" s="278"/>
      <c r="B333" s="616" t="s">
        <v>116</v>
      </c>
      <c r="C333" s="238" t="s">
        <v>117</v>
      </c>
      <c r="D333" s="392"/>
      <c r="E333" s="392"/>
      <c r="F333" s="394"/>
      <c r="G333" s="392"/>
      <c r="H333" s="617"/>
      <c r="I333" s="392"/>
      <c r="J333" s="684"/>
      <c r="K333" s="620"/>
      <c r="L333" s="621"/>
      <c r="M333" s="685"/>
      <c r="N333" s="3"/>
      <c r="O333" s="81"/>
      <c r="P333" s="3"/>
      <c r="Q333" s="3"/>
      <c r="R333" s="3"/>
      <c r="S333" s="3"/>
      <c r="T333" s="3"/>
      <c r="U333" s="3"/>
      <c r="V333" s="3"/>
      <c r="W333" s="3"/>
      <c r="X333" s="3"/>
      <c r="Y333" s="3"/>
      <c r="Z333" s="3"/>
    </row>
    <row r="334" spans="1:26" ht="15.75" customHeight="1" x14ac:dyDescent="0.25">
      <c r="A334" s="278"/>
      <c r="B334" s="564"/>
      <c r="C334" s="179" t="s">
        <v>273</v>
      </c>
      <c r="D334" s="179" t="s">
        <v>89</v>
      </c>
      <c r="E334" s="179" t="s">
        <v>189</v>
      </c>
      <c r="F334" s="313">
        <v>443000000</v>
      </c>
      <c r="G334" s="179" t="s">
        <v>79</v>
      </c>
      <c r="H334" s="402">
        <v>1027</v>
      </c>
      <c r="I334" s="179" t="s">
        <v>275</v>
      </c>
      <c r="J334" s="680">
        <v>503736</v>
      </c>
      <c r="K334" s="459">
        <v>29944</v>
      </c>
      <c r="L334" s="444">
        <v>0.5</v>
      </c>
      <c r="M334" s="445">
        <v>0.49</v>
      </c>
      <c r="N334" s="3"/>
      <c r="O334" s="81" t="s">
        <v>36</v>
      </c>
      <c r="P334" s="3"/>
      <c r="Q334" s="3"/>
      <c r="R334" s="3"/>
      <c r="S334" s="3"/>
      <c r="T334" s="3"/>
      <c r="U334" s="3"/>
      <c r="V334" s="3"/>
      <c r="W334" s="3"/>
      <c r="X334" s="3"/>
      <c r="Y334" s="3"/>
      <c r="Z334" s="3"/>
    </row>
    <row r="335" spans="1:26" ht="15.75" customHeight="1" x14ac:dyDescent="0.25">
      <c r="A335" s="278"/>
      <c r="B335" s="564"/>
      <c r="C335" s="179"/>
      <c r="D335" s="179"/>
      <c r="E335" s="179"/>
      <c r="F335" s="313"/>
      <c r="G335" s="179"/>
      <c r="H335" s="402"/>
      <c r="I335" s="179"/>
      <c r="J335" s="680"/>
      <c r="K335" s="442"/>
      <c r="L335" s="179"/>
      <c r="M335" s="295"/>
      <c r="N335" s="3"/>
      <c r="O335" s="81"/>
      <c r="P335" s="3"/>
      <c r="Q335" s="3"/>
      <c r="R335" s="3"/>
      <c r="S335" s="3"/>
      <c r="T335" s="3"/>
      <c r="U335" s="3"/>
      <c r="V335" s="3"/>
      <c r="W335" s="3"/>
      <c r="X335" s="3"/>
      <c r="Y335" s="3"/>
      <c r="Z335" s="3"/>
    </row>
    <row r="336" spans="1:26" ht="15.75" customHeight="1" x14ac:dyDescent="0.25">
      <c r="A336" s="278"/>
      <c r="B336" s="564"/>
      <c r="C336" s="179" t="s">
        <v>118</v>
      </c>
      <c r="D336" s="179" t="s">
        <v>98</v>
      </c>
      <c r="E336" s="179" t="s">
        <v>144</v>
      </c>
      <c r="F336" s="313">
        <v>43000000</v>
      </c>
      <c r="G336" s="179" t="s">
        <v>79</v>
      </c>
      <c r="H336" s="402">
        <v>1027</v>
      </c>
      <c r="I336" s="179" t="s">
        <v>275</v>
      </c>
      <c r="J336" s="680">
        <v>44161</v>
      </c>
      <c r="K336" s="459">
        <v>4841.7340263570513</v>
      </c>
      <c r="L336" s="444">
        <v>3.6544284840361319E-2</v>
      </c>
      <c r="M336" s="445">
        <v>2.7773656478674608E-2</v>
      </c>
      <c r="N336" s="3"/>
      <c r="O336" s="81" t="s">
        <v>230</v>
      </c>
      <c r="P336" s="3"/>
      <c r="Q336" s="3"/>
      <c r="R336" s="3"/>
      <c r="S336" s="3"/>
      <c r="T336" s="3"/>
      <c r="U336" s="3"/>
      <c r="V336" s="3"/>
      <c r="W336" s="3"/>
      <c r="X336" s="3"/>
      <c r="Y336" s="3"/>
      <c r="Z336" s="3"/>
    </row>
    <row r="337" spans="1:26" ht="15.75" customHeight="1" x14ac:dyDescent="0.25">
      <c r="A337" s="278"/>
      <c r="B337" s="564"/>
      <c r="C337" s="179"/>
      <c r="D337" s="179"/>
      <c r="E337" s="179"/>
      <c r="F337" s="313"/>
      <c r="G337" s="179"/>
      <c r="H337" s="402"/>
      <c r="I337" s="179"/>
      <c r="J337" s="691"/>
      <c r="K337" s="459"/>
      <c r="L337" s="444"/>
      <c r="M337" s="445"/>
      <c r="N337" s="3"/>
      <c r="O337" s="81"/>
      <c r="P337" s="3"/>
      <c r="Q337" s="3"/>
      <c r="R337" s="3"/>
      <c r="S337" s="3"/>
      <c r="T337" s="3"/>
      <c r="U337" s="3"/>
      <c r="V337" s="3"/>
      <c r="W337" s="3"/>
      <c r="X337" s="3"/>
      <c r="Y337" s="3"/>
      <c r="Z337" s="3"/>
    </row>
    <row r="338" spans="1:26" ht="15.75" customHeight="1" x14ac:dyDescent="0.25">
      <c r="A338" s="278"/>
      <c r="B338" s="564"/>
      <c r="C338" s="179" t="s">
        <v>121</v>
      </c>
      <c r="D338" s="179" t="s">
        <v>122</v>
      </c>
      <c r="E338" s="179" t="s">
        <v>144</v>
      </c>
      <c r="F338" s="313">
        <v>72000000</v>
      </c>
      <c r="G338" s="179" t="s">
        <v>79</v>
      </c>
      <c r="H338" s="402">
        <v>1027</v>
      </c>
      <c r="I338" s="179" t="s">
        <v>275</v>
      </c>
      <c r="J338" s="680">
        <v>73944</v>
      </c>
      <c r="K338" s="693">
        <v>7697.276586086301</v>
      </c>
      <c r="L338" s="694">
        <v>6.172230143152161E-2</v>
      </c>
      <c r="M338" s="695">
        <v>4.6423050119240195E-2</v>
      </c>
      <c r="N338" s="3"/>
      <c r="O338" s="81" t="s">
        <v>230</v>
      </c>
      <c r="P338" s="3"/>
      <c r="Q338" s="3"/>
      <c r="R338" s="3"/>
      <c r="S338" s="3"/>
      <c r="T338" s="3"/>
      <c r="U338" s="3"/>
      <c r="V338" s="3"/>
      <c r="W338" s="3"/>
      <c r="X338" s="3"/>
      <c r="Y338" s="3"/>
      <c r="Z338" s="3"/>
    </row>
    <row r="339" spans="1:26" ht="15.75" customHeight="1" x14ac:dyDescent="0.25">
      <c r="A339" s="278"/>
      <c r="B339" s="564"/>
      <c r="C339" s="179"/>
      <c r="D339" s="179"/>
      <c r="E339" s="179"/>
      <c r="F339" s="313"/>
      <c r="G339" s="179"/>
      <c r="H339" s="402"/>
      <c r="I339" s="179"/>
      <c r="J339" s="691"/>
      <c r="K339" s="459"/>
      <c r="L339" s="444"/>
      <c r="M339" s="445"/>
      <c r="N339" s="3"/>
      <c r="O339" s="81"/>
      <c r="P339" s="3"/>
      <c r="Q339" s="3"/>
      <c r="R339" s="3"/>
      <c r="S339" s="3"/>
      <c r="T339" s="3"/>
      <c r="U339" s="3"/>
      <c r="V339" s="3"/>
      <c r="W339" s="3"/>
      <c r="X339" s="3"/>
      <c r="Y339" s="3"/>
      <c r="Z339" s="3"/>
    </row>
    <row r="340" spans="1:26" ht="15.75" customHeight="1" x14ac:dyDescent="0.25">
      <c r="A340" s="278"/>
      <c r="B340" s="564"/>
      <c r="C340" s="179" t="s">
        <v>302</v>
      </c>
      <c r="D340" s="179" t="s">
        <v>303</v>
      </c>
      <c r="E340" s="179" t="s">
        <v>144</v>
      </c>
      <c r="F340" s="313">
        <v>9000000</v>
      </c>
      <c r="G340" s="179" t="s">
        <v>79</v>
      </c>
      <c r="H340" s="402">
        <v>1027</v>
      </c>
      <c r="I340" s="179" t="s">
        <v>275</v>
      </c>
      <c r="J340" s="680">
        <v>9243</v>
      </c>
      <c r="K340" s="459">
        <v>737.03880652743953</v>
      </c>
      <c r="L340" s="444">
        <v>7.8436197927716153E-3</v>
      </c>
      <c r="M340" s="445">
        <v>1.5948693578635618E-2</v>
      </c>
      <c r="N340" s="3"/>
      <c r="O340" s="81" t="s">
        <v>230</v>
      </c>
      <c r="P340" s="3"/>
      <c r="Q340" s="3"/>
      <c r="R340" s="3"/>
      <c r="S340" s="3"/>
      <c r="T340" s="3"/>
      <c r="U340" s="3"/>
      <c r="V340" s="3"/>
      <c r="W340" s="3"/>
      <c r="X340" s="3"/>
      <c r="Y340" s="3"/>
      <c r="Z340" s="3"/>
    </row>
    <row r="341" spans="1:26" ht="15.75" customHeight="1" x14ac:dyDescent="0.25">
      <c r="A341" s="278"/>
      <c r="B341" s="291"/>
      <c r="C341" s="292"/>
      <c r="D341" s="292"/>
      <c r="E341" s="292"/>
      <c r="F341" s="383"/>
      <c r="G341" s="292"/>
      <c r="H341" s="612"/>
      <c r="I341" s="292"/>
      <c r="J341" s="682"/>
      <c r="K341" s="614"/>
      <c r="L341" s="603"/>
      <c r="M341" s="683"/>
      <c r="N341" s="3"/>
      <c r="O341" s="81"/>
      <c r="P341" s="3"/>
      <c r="Q341" s="3"/>
      <c r="R341" s="3"/>
      <c r="S341" s="3"/>
      <c r="T341" s="3"/>
      <c r="U341" s="3"/>
      <c r="V341" s="3"/>
      <c r="W341" s="3"/>
      <c r="X341" s="3"/>
      <c r="Y341" s="3"/>
      <c r="Z341" s="3"/>
    </row>
    <row r="342" spans="1:26" ht="15.75" customHeight="1" x14ac:dyDescent="0.25">
      <c r="A342" s="278"/>
      <c r="B342" s="616" t="s">
        <v>282</v>
      </c>
      <c r="C342" s="238" t="s">
        <v>283</v>
      </c>
      <c r="D342" s="392"/>
      <c r="E342" s="392"/>
      <c r="F342" s="394"/>
      <c r="G342" s="392"/>
      <c r="H342" s="617"/>
      <c r="I342" s="392"/>
      <c r="J342" s="684"/>
      <c r="K342" s="620"/>
      <c r="L342" s="621"/>
      <c r="M342" s="685"/>
      <c r="N342" s="3"/>
      <c r="O342" s="81"/>
      <c r="P342" s="3"/>
      <c r="Q342" s="3"/>
      <c r="R342" s="3"/>
      <c r="S342" s="3"/>
      <c r="T342" s="3"/>
      <c r="U342" s="3"/>
      <c r="V342" s="3"/>
      <c r="W342" s="3"/>
      <c r="X342" s="3"/>
      <c r="Y342" s="3"/>
      <c r="Z342" s="3"/>
    </row>
    <row r="343" spans="1:26" ht="15.75" customHeight="1" x14ac:dyDescent="0.25">
      <c r="A343" s="278"/>
      <c r="B343" s="564"/>
      <c r="C343" s="179" t="s">
        <v>284</v>
      </c>
      <c r="D343" s="179" t="s">
        <v>285</v>
      </c>
      <c r="E343" s="179" t="s">
        <v>189</v>
      </c>
      <c r="F343" s="313">
        <v>393000000</v>
      </c>
      <c r="G343" s="179" t="s">
        <v>79</v>
      </c>
      <c r="H343" s="402">
        <v>1027</v>
      </c>
      <c r="I343" s="179" t="s">
        <v>275</v>
      </c>
      <c r="J343" s="680">
        <v>403611</v>
      </c>
      <c r="K343" s="459">
        <v>26536.398017531566</v>
      </c>
      <c r="L343" s="444">
        <v>1.2524942549573961</v>
      </c>
      <c r="M343" s="445">
        <v>0.52736600208732465</v>
      </c>
      <c r="N343" s="3"/>
      <c r="O343" s="81" t="s">
        <v>230</v>
      </c>
      <c r="P343" s="3"/>
      <c r="Q343" s="3"/>
      <c r="R343" s="3"/>
      <c r="S343" s="3"/>
      <c r="T343" s="3"/>
      <c r="U343" s="3"/>
      <c r="V343" s="3"/>
      <c r="W343" s="3"/>
      <c r="X343" s="3"/>
      <c r="Y343" s="3"/>
      <c r="Z343" s="3"/>
    </row>
    <row r="344" spans="1:26" ht="15.75" customHeight="1" x14ac:dyDescent="0.25">
      <c r="A344" s="278"/>
      <c r="B344" s="291"/>
      <c r="C344" s="292"/>
      <c r="D344" s="292"/>
      <c r="E344" s="292"/>
      <c r="F344" s="383"/>
      <c r="G344" s="292"/>
      <c r="H344" s="612"/>
      <c r="I344" s="292"/>
      <c r="J344" s="682"/>
      <c r="K344" s="614"/>
      <c r="L344" s="603"/>
      <c r="M344" s="683"/>
      <c r="N344" s="3"/>
      <c r="O344" s="81"/>
      <c r="P344" s="3"/>
      <c r="Q344" s="3"/>
      <c r="R344" s="3"/>
      <c r="S344" s="3"/>
      <c r="T344" s="3"/>
      <c r="U344" s="3"/>
      <c r="V344" s="3"/>
      <c r="W344" s="3"/>
      <c r="X344" s="3"/>
      <c r="Y344" s="3"/>
      <c r="Z344" s="3"/>
    </row>
    <row r="345" spans="1:26" ht="15.75" customHeight="1" x14ac:dyDescent="0.25">
      <c r="A345" s="278"/>
      <c r="B345" s="616" t="s">
        <v>305</v>
      </c>
      <c r="C345" s="238" t="s">
        <v>306</v>
      </c>
      <c r="D345" s="392"/>
      <c r="E345" s="392"/>
      <c r="F345" s="394"/>
      <c r="G345" s="392"/>
      <c r="H345" s="617"/>
      <c r="I345" s="392"/>
      <c r="J345" s="684"/>
      <c r="K345" s="620"/>
      <c r="L345" s="621"/>
      <c r="M345" s="685"/>
      <c r="N345" s="3"/>
      <c r="O345" s="81"/>
      <c r="P345" s="3"/>
      <c r="Q345" s="3"/>
      <c r="R345" s="3"/>
      <c r="S345" s="3"/>
      <c r="T345" s="3"/>
      <c r="U345" s="3"/>
      <c r="V345" s="3"/>
      <c r="W345" s="3"/>
      <c r="X345" s="3"/>
      <c r="Y345" s="3"/>
      <c r="Z345" s="3"/>
    </row>
    <row r="346" spans="1:26" ht="15.75" customHeight="1" x14ac:dyDescent="0.25">
      <c r="A346" s="278"/>
      <c r="B346" s="564"/>
      <c r="C346" s="179" t="s">
        <v>367</v>
      </c>
      <c r="D346" s="179" t="s">
        <v>368</v>
      </c>
      <c r="E346" s="179" t="s">
        <v>189</v>
      </c>
      <c r="F346" s="313">
        <v>20000000</v>
      </c>
      <c r="G346" s="179" t="s">
        <v>79</v>
      </c>
      <c r="H346" s="402">
        <v>1020</v>
      </c>
      <c r="I346" s="179" t="s">
        <v>369</v>
      </c>
      <c r="J346" s="680">
        <v>20400</v>
      </c>
      <c r="K346" s="459">
        <v>751</v>
      </c>
      <c r="L346" s="444">
        <v>8.6999999999999994E-2</v>
      </c>
      <c r="M346" s="445">
        <v>0.03</v>
      </c>
      <c r="N346" s="3"/>
      <c r="O346" s="81" t="s">
        <v>230</v>
      </c>
      <c r="P346" s="3"/>
      <c r="Q346" s="3"/>
      <c r="R346" s="3"/>
      <c r="S346" s="3"/>
      <c r="T346" s="3"/>
      <c r="U346" s="3"/>
      <c r="V346" s="3"/>
      <c r="W346" s="3"/>
      <c r="X346" s="3"/>
      <c r="Y346" s="3"/>
      <c r="Z346" s="3"/>
    </row>
    <row r="347" spans="1:26" ht="15.75" customHeight="1" x14ac:dyDescent="0.25">
      <c r="A347" s="278"/>
      <c r="B347" s="564"/>
      <c r="C347" s="179"/>
      <c r="D347" s="179"/>
      <c r="E347" s="179"/>
      <c r="F347" s="313"/>
      <c r="G347" s="179"/>
      <c r="H347" s="402"/>
      <c r="I347" s="179"/>
      <c r="J347" s="680"/>
      <c r="K347" s="459"/>
      <c r="L347" s="444"/>
      <c r="M347" s="445"/>
      <c r="N347" s="3"/>
      <c r="O347" s="81"/>
      <c r="P347" s="3"/>
      <c r="Q347" s="3"/>
      <c r="R347" s="3"/>
      <c r="S347" s="3"/>
      <c r="T347" s="3"/>
      <c r="U347" s="3"/>
      <c r="V347" s="3"/>
      <c r="W347" s="3"/>
      <c r="X347" s="3"/>
      <c r="Y347" s="3"/>
      <c r="Z347" s="3"/>
    </row>
    <row r="348" spans="1:26" ht="15.75" customHeight="1" x14ac:dyDescent="0.25">
      <c r="A348" s="278"/>
      <c r="B348" s="564"/>
      <c r="C348" s="179" t="s">
        <v>377</v>
      </c>
      <c r="D348" s="179" t="s">
        <v>378</v>
      </c>
      <c r="E348" s="179" t="s">
        <v>189</v>
      </c>
      <c r="F348" s="313">
        <v>220000000</v>
      </c>
      <c r="G348" s="179" t="s">
        <v>79</v>
      </c>
      <c r="H348" s="402">
        <v>1020</v>
      </c>
      <c r="I348" s="179" t="s">
        <v>369</v>
      </c>
      <c r="J348" s="680">
        <v>224400</v>
      </c>
      <c r="K348" s="459">
        <v>13289</v>
      </c>
      <c r="L348" s="444">
        <v>0.252</v>
      </c>
      <c r="M348" s="445">
        <v>0.24</v>
      </c>
      <c r="N348" s="3"/>
      <c r="O348" s="81" t="s">
        <v>230</v>
      </c>
      <c r="P348" s="3"/>
      <c r="Q348" s="3"/>
      <c r="R348" s="3"/>
      <c r="S348" s="3"/>
      <c r="T348" s="3"/>
      <c r="U348" s="3"/>
      <c r="V348" s="3"/>
      <c r="W348" s="3"/>
      <c r="X348" s="3"/>
      <c r="Y348" s="3"/>
      <c r="Z348" s="3"/>
    </row>
    <row r="349" spans="1:26" ht="15.75" customHeight="1" x14ac:dyDescent="0.25">
      <c r="A349" s="278"/>
      <c r="B349" s="291"/>
      <c r="C349" s="292"/>
      <c r="D349" s="292"/>
      <c r="E349" s="292"/>
      <c r="F349" s="383"/>
      <c r="G349" s="292"/>
      <c r="H349" s="612"/>
      <c r="I349" s="292"/>
      <c r="J349" s="682"/>
      <c r="K349" s="614"/>
      <c r="L349" s="603"/>
      <c r="M349" s="683"/>
      <c r="N349" s="3"/>
      <c r="O349" s="81"/>
      <c r="P349" s="3"/>
      <c r="Q349" s="3"/>
      <c r="R349" s="3"/>
      <c r="S349" s="3"/>
      <c r="T349" s="3"/>
      <c r="U349" s="3"/>
      <c r="V349" s="3"/>
      <c r="W349" s="3"/>
      <c r="X349" s="3"/>
      <c r="Y349" s="3"/>
      <c r="Z349" s="3"/>
    </row>
    <row r="350" spans="1:26" ht="15.75" customHeight="1" x14ac:dyDescent="0.25">
      <c r="A350" s="278"/>
      <c r="B350" s="616" t="s">
        <v>416</v>
      </c>
      <c r="C350" s="238" t="s">
        <v>654</v>
      </c>
      <c r="D350" s="392"/>
      <c r="E350" s="392"/>
      <c r="F350" s="394"/>
      <c r="G350" s="392"/>
      <c r="H350" s="617"/>
      <c r="I350" s="392"/>
      <c r="J350" s="684"/>
      <c r="K350" s="620"/>
      <c r="L350" s="621"/>
      <c r="M350" s="685"/>
      <c r="N350" s="3"/>
      <c r="O350" s="81"/>
      <c r="P350" s="3"/>
      <c r="Q350" s="3"/>
      <c r="R350" s="3"/>
      <c r="S350" s="3"/>
      <c r="T350" s="3"/>
      <c r="U350" s="3"/>
      <c r="V350" s="3"/>
      <c r="W350" s="3"/>
      <c r="X350" s="3"/>
      <c r="Y350" s="3"/>
      <c r="Z350" s="3"/>
    </row>
    <row r="351" spans="1:26" ht="15.75" customHeight="1" x14ac:dyDescent="0.25">
      <c r="A351" s="278"/>
      <c r="B351" s="564"/>
      <c r="C351" s="179" t="s">
        <v>421</v>
      </c>
      <c r="D351" s="179" t="s">
        <v>655</v>
      </c>
      <c r="E351" s="179" t="s">
        <v>189</v>
      </c>
      <c r="F351" s="313">
        <v>8000000</v>
      </c>
      <c r="G351" s="179" t="s">
        <v>79</v>
      </c>
      <c r="H351" s="402">
        <v>1027</v>
      </c>
      <c r="I351" s="179" t="s">
        <v>369</v>
      </c>
      <c r="J351" s="680">
        <v>8216</v>
      </c>
      <c r="K351" s="459">
        <v>410</v>
      </c>
      <c r="L351" s="444">
        <v>0.03</v>
      </c>
      <c r="M351" s="445">
        <v>0.01</v>
      </c>
      <c r="N351" s="3"/>
      <c r="O351" s="81" t="s">
        <v>230</v>
      </c>
      <c r="P351" s="3"/>
      <c r="Q351" s="3"/>
      <c r="R351" s="3"/>
      <c r="S351" s="3"/>
      <c r="T351" s="3"/>
      <c r="U351" s="3"/>
      <c r="V351" s="3"/>
      <c r="W351" s="3"/>
      <c r="X351" s="3"/>
      <c r="Y351" s="3"/>
      <c r="Z351" s="3"/>
    </row>
    <row r="352" spans="1:26" ht="15.75" customHeight="1" x14ac:dyDescent="0.25">
      <c r="A352" s="278"/>
      <c r="B352" s="291"/>
      <c r="C352" s="292"/>
      <c r="D352" s="292"/>
      <c r="E352" s="292"/>
      <c r="F352" s="383"/>
      <c r="G352" s="292"/>
      <c r="H352" s="612"/>
      <c r="I352" s="292"/>
      <c r="J352" s="682"/>
      <c r="K352" s="614"/>
      <c r="L352" s="603"/>
      <c r="M352" s="683"/>
      <c r="N352" s="3"/>
      <c r="O352" s="81"/>
      <c r="P352" s="3"/>
      <c r="Q352" s="3"/>
      <c r="R352" s="3"/>
      <c r="S352" s="3"/>
      <c r="T352" s="3"/>
      <c r="U352" s="3"/>
      <c r="V352" s="3"/>
      <c r="W352" s="3"/>
      <c r="X352" s="3"/>
      <c r="Y352" s="3"/>
      <c r="Z352" s="3"/>
    </row>
    <row r="353" spans="1:26" ht="15.75" customHeight="1" x14ac:dyDescent="0.25">
      <c r="A353" s="278"/>
      <c r="B353" s="616" t="s">
        <v>344</v>
      </c>
      <c r="C353" s="238" t="s">
        <v>345</v>
      </c>
      <c r="D353" s="392"/>
      <c r="E353" s="392"/>
      <c r="F353" s="394"/>
      <c r="G353" s="392"/>
      <c r="H353" s="617"/>
      <c r="I353" s="392"/>
      <c r="J353" s="684"/>
      <c r="K353" s="620"/>
      <c r="L353" s="621"/>
      <c r="M353" s="685"/>
      <c r="N353" s="3"/>
      <c r="O353" s="81"/>
      <c r="P353" s="3"/>
      <c r="Q353" s="3"/>
      <c r="R353" s="3"/>
      <c r="S353" s="3"/>
      <c r="T353" s="3"/>
      <c r="U353" s="3"/>
      <c r="V353" s="3"/>
      <c r="W353" s="3"/>
      <c r="X353" s="3"/>
      <c r="Y353" s="3"/>
      <c r="Z353" s="3"/>
    </row>
    <row r="354" spans="1:26" ht="15.75" customHeight="1" x14ac:dyDescent="0.25">
      <c r="A354" s="278"/>
      <c r="B354" s="564"/>
      <c r="C354" s="179" t="s">
        <v>347</v>
      </c>
      <c r="D354" s="179" t="s">
        <v>348</v>
      </c>
      <c r="E354" s="179" t="s">
        <v>189</v>
      </c>
      <c r="F354" s="313">
        <v>150625</v>
      </c>
      <c r="G354" s="179" t="s">
        <v>79</v>
      </c>
      <c r="H354" s="402">
        <v>1032</v>
      </c>
      <c r="I354" s="179" t="s">
        <v>369</v>
      </c>
      <c r="J354" s="680">
        <v>155445</v>
      </c>
      <c r="K354" s="459">
        <v>7682.9804922914709</v>
      </c>
      <c r="L354" s="444">
        <v>0.62769448466433575</v>
      </c>
      <c r="M354" s="445">
        <v>0.26901192199900104</v>
      </c>
      <c r="N354" s="3"/>
      <c r="O354" s="81" t="s">
        <v>230</v>
      </c>
      <c r="P354" s="3"/>
      <c r="Q354" s="3"/>
      <c r="R354" s="3"/>
      <c r="S354" s="3"/>
      <c r="T354" s="3"/>
      <c r="U354" s="3"/>
      <c r="V354" s="3"/>
      <c r="W354" s="3"/>
      <c r="X354" s="3"/>
      <c r="Y354" s="3"/>
      <c r="Z354" s="3"/>
    </row>
    <row r="355" spans="1:26" ht="15.75" customHeight="1" x14ac:dyDescent="0.25">
      <c r="A355" s="278"/>
      <c r="B355" s="564"/>
      <c r="C355" s="179"/>
      <c r="D355" s="179"/>
      <c r="E355" s="179"/>
      <c r="F355" s="313"/>
      <c r="G355" s="179"/>
      <c r="H355" s="402"/>
      <c r="I355" s="179"/>
      <c r="J355" s="680"/>
      <c r="K355" s="459"/>
      <c r="L355" s="444"/>
      <c r="M355" s="445"/>
      <c r="N355" s="3"/>
      <c r="O355" s="81"/>
      <c r="P355" s="3"/>
      <c r="Q355" s="3"/>
      <c r="R355" s="3"/>
      <c r="S355" s="3"/>
      <c r="T355" s="3"/>
      <c r="U355" s="3"/>
      <c r="V355" s="3"/>
      <c r="W355" s="3"/>
      <c r="X355" s="3"/>
      <c r="Y355" s="3"/>
      <c r="Z355" s="3"/>
    </row>
    <row r="356" spans="1:26" ht="15.75" customHeight="1" x14ac:dyDescent="0.25">
      <c r="A356" s="278"/>
      <c r="B356" s="564"/>
      <c r="C356" s="179" t="s">
        <v>350</v>
      </c>
      <c r="D356" s="179" t="s">
        <v>352</v>
      </c>
      <c r="E356" s="179" t="s">
        <v>189</v>
      </c>
      <c r="F356" s="313">
        <v>206653</v>
      </c>
      <c r="G356" s="179" t="s">
        <v>79</v>
      </c>
      <c r="H356" s="402">
        <v>1032</v>
      </c>
      <c r="I356" s="179" t="s">
        <v>369</v>
      </c>
      <c r="J356" s="680">
        <v>213265.89600000001</v>
      </c>
      <c r="K356" s="459">
        <v>10136.750086008988</v>
      </c>
      <c r="L356" s="444">
        <v>0.83575257213339038</v>
      </c>
      <c r="M356" s="445">
        <v>0.37144558761484014</v>
      </c>
      <c r="N356" s="3"/>
      <c r="O356" s="81" t="s">
        <v>230</v>
      </c>
      <c r="P356" s="3"/>
      <c r="Q356" s="3"/>
      <c r="R356" s="3"/>
      <c r="S356" s="3"/>
      <c r="T356" s="3"/>
      <c r="U356" s="3"/>
      <c r="V356" s="3"/>
      <c r="W356" s="3"/>
      <c r="X356" s="3"/>
      <c r="Y356" s="3"/>
      <c r="Z356" s="3"/>
    </row>
    <row r="357" spans="1:26" ht="15.75" customHeight="1" x14ac:dyDescent="0.25">
      <c r="A357" s="278"/>
      <c r="B357" s="291"/>
      <c r="C357" s="292"/>
      <c r="D357" s="292"/>
      <c r="E357" s="292"/>
      <c r="F357" s="383"/>
      <c r="G357" s="292"/>
      <c r="H357" s="612"/>
      <c r="I357" s="292"/>
      <c r="J357" s="682"/>
      <c r="K357" s="614"/>
      <c r="L357" s="603"/>
      <c r="M357" s="683"/>
      <c r="N357" s="3"/>
      <c r="O357" s="81"/>
      <c r="P357" s="3"/>
      <c r="Q357" s="3"/>
      <c r="R357" s="3"/>
      <c r="S357" s="3"/>
      <c r="T357" s="3"/>
      <c r="U357" s="3"/>
      <c r="V357" s="3"/>
      <c r="W357" s="3"/>
      <c r="X357" s="3"/>
      <c r="Y357" s="3"/>
      <c r="Z357" s="3"/>
    </row>
    <row r="358" spans="1:26" ht="15.75" customHeight="1" x14ac:dyDescent="0.25">
      <c r="A358" s="278"/>
      <c r="B358" s="616" t="s">
        <v>387</v>
      </c>
      <c r="C358" s="238" t="s">
        <v>388</v>
      </c>
      <c r="D358" s="392"/>
      <c r="E358" s="392"/>
      <c r="F358" s="394"/>
      <c r="G358" s="392"/>
      <c r="H358" s="617"/>
      <c r="I358" s="392"/>
      <c r="J358" s="684"/>
      <c r="K358" s="620"/>
      <c r="L358" s="621"/>
      <c r="M358" s="685"/>
      <c r="N358" s="3"/>
      <c r="O358" s="81"/>
      <c r="P358" s="3"/>
      <c r="Q358" s="3"/>
      <c r="R358" s="3"/>
      <c r="S358" s="3"/>
      <c r="T358" s="3"/>
      <c r="U358" s="3"/>
      <c r="V358" s="3"/>
      <c r="W358" s="3"/>
      <c r="X358" s="3"/>
      <c r="Y358" s="3"/>
      <c r="Z358" s="3"/>
    </row>
    <row r="359" spans="1:26" ht="15.75" customHeight="1" x14ac:dyDescent="0.25">
      <c r="A359" s="278"/>
      <c r="B359" s="564"/>
      <c r="C359" s="179" t="s">
        <v>390</v>
      </c>
      <c r="D359" s="179">
        <v>1</v>
      </c>
      <c r="E359" s="179" t="s">
        <v>77</v>
      </c>
      <c r="F359" s="313">
        <v>2250113.0269999998</v>
      </c>
      <c r="G359" s="179" t="s">
        <v>79</v>
      </c>
      <c r="H359" s="402">
        <v>1044</v>
      </c>
      <c r="I359" s="179" t="s">
        <v>656</v>
      </c>
      <c r="J359" s="680">
        <v>2349118.000188</v>
      </c>
      <c r="K359" s="459">
        <v>139938.30264075581</v>
      </c>
      <c r="L359" s="444">
        <v>10.034125791914024</v>
      </c>
      <c r="M359" s="445">
        <v>3.4771723041286222</v>
      </c>
      <c r="N359" s="3"/>
      <c r="O359" s="81" t="s">
        <v>230</v>
      </c>
      <c r="P359" s="3"/>
      <c r="Q359" s="3"/>
      <c r="R359" s="3"/>
      <c r="S359" s="3"/>
      <c r="T359" s="3"/>
      <c r="U359" s="3"/>
      <c r="V359" s="3"/>
      <c r="W359" s="3"/>
      <c r="X359" s="3"/>
      <c r="Y359" s="3"/>
      <c r="Z359" s="3"/>
    </row>
    <row r="360" spans="1:26" ht="15.75" customHeight="1" x14ac:dyDescent="0.25">
      <c r="A360" s="278"/>
      <c r="B360" s="564"/>
      <c r="C360" s="179"/>
      <c r="D360" s="179"/>
      <c r="E360" s="179"/>
      <c r="F360" s="313"/>
      <c r="G360" s="179"/>
      <c r="H360" s="402"/>
      <c r="I360" s="179"/>
      <c r="J360" s="680"/>
      <c r="K360" s="459"/>
      <c r="L360" s="444"/>
      <c r="M360" s="445"/>
      <c r="N360" s="3"/>
      <c r="O360" s="81"/>
      <c r="P360" s="3"/>
      <c r="Q360" s="3"/>
      <c r="R360" s="3"/>
      <c r="S360" s="3"/>
      <c r="T360" s="3"/>
      <c r="U360" s="3"/>
      <c r="V360" s="3"/>
      <c r="W360" s="3"/>
      <c r="X360" s="3"/>
      <c r="Y360" s="3"/>
      <c r="Z360" s="3"/>
    </row>
    <row r="361" spans="1:26" ht="15.75" customHeight="1" x14ac:dyDescent="0.25">
      <c r="A361" s="278"/>
      <c r="B361" s="564"/>
      <c r="C361" s="179" t="s">
        <v>396</v>
      </c>
      <c r="D361" s="179">
        <v>2</v>
      </c>
      <c r="E361" s="179" t="s">
        <v>77</v>
      </c>
      <c r="F361" s="313">
        <v>2074000</v>
      </c>
      <c r="G361" s="179" t="s">
        <v>79</v>
      </c>
      <c r="H361" s="402">
        <v>1044</v>
      </c>
      <c r="I361" s="179" t="s">
        <v>657</v>
      </c>
      <c r="J361" s="680">
        <v>2165256</v>
      </c>
      <c r="K361" s="459">
        <v>129014.23319592261</v>
      </c>
      <c r="L361" s="444">
        <v>9.2336704252089827</v>
      </c>
      <c r="M361" s="445">
        <v>3.1771769205020153</v>
      </c>
      <c r="N361" s="3"/>
      <c r="O361" s="81" t="s">
        <v>230</v>
      </c>
      <c r="P361" s="3"/>
      <c r="Q361" s="3"/>
      <c r="R361" s="3"/>
      <c r="S361" s="3"/>
      <c r="T361" s="3"/>
      <c r="U361" s="3"/>
      <c r="V361" s="3"/>
      <c r="W361" s="3"/>
      <c r="X361" s="3"/>
      <c r="Y361" s="3"/>
      <c r="Z361" s="3"/>
    </row>
    <row r="362" spans="1:26" ht="15.75" customHeight="1" x14ac:dyDescent="0.25">
      <c r="A362" s="278"/>
      <c r="B362" s="291"/>
      <c r="C362" s="292"/>
      <c r="D362" s="292"/>
      <c r="E362" s="292"/>
      <c r="F362" s="383"/>
      <c r="G362" s="292"/>
      <c r="H362" s="612"/>
      <c r="I362" s="292"/>
      <c r="J362" s="682"/>
      <c r="K362" s="614"/>
      <c r="L362" s="603"/>
      <c r="M362" s="683"/>
      <c r="N362" s="3"/>
      <c r="O362" s="81"/>
      <c r="P362" s="3"/>
      <c r="Q362" s="3"/>
      <c r="R362" s="3"/>
      <c r="S362" s="3"/>
      <c r="T362" s="3"/>
      <c r="U362" s="3"/>
      <c r="V362" s="3"/>
      <c r="W362" s="3"/>
      <c r="X362" s="3"/>
      <c r="Y362" s="3"/>
      <c r="Z362" s="3"/>
    </row>
    <row r="363" spans="1:26" ht="15.75" customHeight="1" x14ac:dyDescent="0.25">
      <c r="A363" s="278"/>
      <c r="B363" s="616" t="s">
        <v>658</v>
      </c>
      <c r="C363" s="238" t="s">
        <v>659</v>
      </c>
      <c r="D363" s="392"/>
      <c r="E363" s="392"/>
      <c r="F363" s="394"/>
      <c r="G363" s="392"/>
      <c r="H363" s="617"/>
      <c r="I363" s="392"/>
      <c r="J363" s="684"/>
      <c r="K363" s="620"/>
      <c r="L363" s="621"/>
      <c r="M363" s="685"/>
      <c r="N363" s="3"/>
      <c r="O363" s="81"/>
      <c r="P363" s="3"/>
      <c r="Q363" s="3"/>
      <c r="R363" s="3"/>
      <c r="S363" s="3"/>
      <c r="T363" s="3"/>
      <c r="U363" s="3"/>
      <c r="V363" s="3"/>
      <c r="W363" s="3"/>
      <c r="X363" s="3"/>
      <c r="Y363" s="3"/>
      <c r="Z363" s="3"/>
    </row>
    <row r="364" spans="1:26" ht="15.75" customHeight="1" x14ac:dyDescent="0.25">
      <c r="A364" s="278"/>
      <c r="B364" s="564"/>
      <c r="C364" s="179" t="s">
        <v>421</v>
      </c>
      <c r="D364" s="179" t="s">
        <v>288</v>
      </c>
      <c r="E364" s="179" t="s">
        <v>189</v>
      </c>
      <c r="F364" s="313">
        <v>36000000</v>
      </c>
      <c r="G364" s="179" t="s">
        <v>79</v>
      </c>
      <c r="H364" s="402">
        <v>1027</v>
      </c>
      <c r="I364" s="179" t="s">
        <v>660</v>
      </c>
      <c r="J364" s="680">
        <v>36972</v>
      </c>
      <c r="K364" s="459">
        <v>2018</v>
      </c>
      <c r="L364" s="444">
        <v>0.16</v>
      </c>
      <c r="M364" s="445">
        <v>0.06</v>
      </c>
      <c r="N364" s="3"/>
      <c r="O364" s="81" t="s">
        <v>230</v>
      </c>
      <c r="P364" s="3"/>
      <c r="Q364" s="3"/>
      <c r="R364" s="3"/>
      <c r="S364" s="3"/>
      <c r="T364" s="3"/>
      <c r="U364" s="3"/>
      <c r="V364" s="3"/>
      <c r="W364" s="3"/>
      <c r="X364" s="3"/>
      <c r="Y364" s="3"/>
      <c r="Z364" s="3"/>
    </row>
    <row r="365" spans="1:26" ht="15.75" customHeight="1" x14ac:dyDescent="0.25">
      <c r="A365" s="278"/>
      <c r="B365" s="564"/>
      <c r="C365" s="179" t="s">
        <v>580</v>
      </c>
      <c r="D365" s="179" t="s">
        <v>291</v>
      </c>
      <c r="E365" s="179" t="s">
        <v>189</v>
      </c>
      <c r="F365" s="313">
        <v>45000000</v>
      </c>
      <c r="G365" s="179" t="s">
        <v>79</v>
      </c>
      <c r="H365" s="402">
        <v>1027</v>
      </c>
      <c r="I365" s="179" t="s">
        <v>660</v>
      </c>
      <c r="J365" s="680">
        <v>46215</v>
      </c>
      <c r="K365" s="459">
        <v>2565</v>
      </c>
      <c r="L365" s="444">
        <v>0.2</v>
      </c>
      <c r="M365" s="445">
        <v>7.0000000000000007E-2</v>
      </c>
      <c r="N365" s="3"/>
      <c r="O365" s="81" t="s">
        <v>230</v>
      </c>
      <c r="P365" s="3"/>
      <c r="Q365" s="3"/>
      <c r="R365" s="3"/>
      <c r="S365" s="3"/>
      <c r="T365" s="3"/>
      <c r="U365" s="3"/>
      <c r="V365" s="3"/>
      <c r="W365" s="3"/>
      <c r="X365" s="3"/>
      <c r="Y365" s="3"/>
      <c r="Z365" s="3"/>
    </row>
    <row r="366" spans="1:26" ht="15.75" customHeight="1" x14ac:dyDescent="0.25">
      <c r="A366" s="278"/>
      <c r="B366" s="564"/>
      <c r="C366" s="179" t="s">
        <v>583</v>
      </c>
      <c r="D366" s="179" t="s">
        <v>294</v>
      </c>
      <c r="E366" s="179" t="s">
        <v>189</v>
      </c>
      <c r="F366" s="313">
        <v>42000000</v>
      </c>
      <c r="G366" s="179" t="s">
        <v>661</v>
      </c>
      <c r="H366" s="402">
        <v>1027</v>
      </c>
      <c r="I366" s="179" t="s">
        <v>660</v>
      </c>
      <c r="J366" s="680">
        <v>43134</v>
      </c>
      <c r="K366" s="459">
        <v>2382</v>
      </c>
      <c r="L366" s="444">
        <v>0.19</v>
      </c>
      <c r="M366" s="445">
        <v>0.06</v>
      </c>
      <c r="N366" s="3"/>
      <c r="O366" s="81" t="s">
        <v>230</v>
      </c>
      <c r="P366" s="3"/>
      <c r="Q366" s="3"/>
      <c r="R366" s="3"/>
      <c r="S366" s="3"/>
      <c r="T366" s="3"/>
      <c r="U366" s="3"/>
      <c r="V366" s="3"/>
      <c r="W366" s="3"/>
      <c r="X366" s="3"/>
      <c r="Y366" s="3"/>
      <c r="Z366" s="3"/>
    </row>
    <row r="367" spans="1:26" ht="15.75" customHeight="1" x14ac:dyDescent="0.25">
      <c r="A367" s="278"/>
      <c r="B367" s="564"/>
      <c r="C367" s="179" t="s">
        <v>585</v>
      </c>
      <c r="D367" s="179" t="s">
        <v>297</v>
      </c>
      <c r="E367" s="179" t="s">
        <v>189</v>
      </c>
      <c r="F367" s="313">
        <v>50000000</v>
      </c>
      <c r="G367" s="179" t="s">
        <v>79</v>
      </c>
      <c r="H367" s="402">
        <v>1027</v>
      </c>
      <c r="I367" s="179" t="s">
        <v>660</v>
      </c>
      <c r="J367" s="696" t="s">
        <v>662</v>
      </c>
      <c r="K367" s="459">
        <v>2811</v>
      </c>
      <c r="L367" s="444">
        <v>0.22</v>
      </c>
      <c r="M367" s="445">
        <v>0.08</v>
      </c>
      <c r="N367" s="3"/>
      <c r="O367" s="81" t="s">
        <v>230</v>
      </c>
      <c r="P367" s="3"/>
      <c r="Q367" s="3"/>
      <c r="R367" s="3"/>
      <c r="S367" s="3"/>
      <c r="T367" s="3"/>
      <c r="U367" s="3"/>
      <c r="V367" s="3"/>
      <c r="W367" s="3"/>
      <c r="X367" s="3"/>
      <c r="Y367" s="3"/>
      <c r="Z367" s="3"/>
    </row>
    <row r="368" spans="1:26" ht="15.75" customHeight="1" x14ac:dyDescent="0.25">
      <c r="A368" s="278"/>
      <c r="B368" s="564"/>
      <c r="C368" s="179" t="s">
        <v>587</v>
      </c>
      <c r="D368" s="179" t="s">
        <v>588</v>
      </c>
      <c r="E368" s="179" t="s">
        <v>189</v>
      </c>
      <c r="F368" s="313">
        <v>41000000</v>
      </c>
      <c r="G368" s="179" t="s">
        <v>661</v>
      </c>
      <c r="H368" s="402">
        <v>1027</v>
      </c>
      <c r="I368" s="179" t="s">
        <v>660</v>
      </c>
      <c r="J368" s="680">
        <v>42107</v>
      </c>
      <c r="K368" s="459">
        <v>2300</v>
      </c>
      <c r="L368" s="444">
        <v>0.18</v>
      </c>
      <c r="M368" s="445">
        <v>0.06</v>
      </c>
      <c r="N368" s="3"/>
      <c r="O368" s="81" t="s">
        <v>230</v>
      </c>
      <c r="P368" s="3"/>
      <c r="Q368" s="3"/>
      <c r="R368" s="3"/>
      <c r="S368" s="3"/>
      <c r="T368" s="3"/>
      <c r="U368" s="3"/>
      <c r="V368" s="3"/>
      <c r="W368" s="3"/>
      <c r="X368" s="3"/>
      <c r="Y368" s="3"/>
      <c r="Z368" s="3"/>
    </row>
    <row r="369" spans="1:26" ht="15.75" customHeight="1" x14ac:dyDescent="0.25">
      <c r="A369" s="278"/>
      <c r="B369" s="564"/>
      <c r="C369" s="179" t="s">
        <v>590</v>
      </c>
      <c r="D369" s="179" t="s">
        <v>591</v>
      </c>
      <c r="E369" s="179" t="s">
        <v>189</v>
      </c>
      <c r="F369" s="313">
        <v>55000000</v>
      </c>
      <c r="G369" s="179" t="s">
        <v>79</v>
      </c>
      <c r="H369" s="402">
        <v>1027</v>
      </c>
      <c r="I369" s="179" t="s">
        <v>660</v>
      </c>
      <c r="J369" s="680">
        <v>56485</v>
      </c>
      <c r="K369" s="459">
        <v>3087</v>
      </c>
      <c r="L369" s="444">
        <v>0.24</v>
      </c>
      <c r="M369" s="445">
        <v>0.08</v>
      </c>
      <c r="N369" s="3"/>
      <c r="O369" s="81" t="s">
        <v>230</v>
      </c>
      <c r="P369" s="3"/>
      <c r="Q369" s="3"/>
      <c r="R369" s="3"/>
      <c r="S369" s="3"/>
      <c r="T369" s="3"/>
      <c r="U369" s="3"/>
      <c r="V369" s="3"/>
      <c r="W369" s="3"/>
      <c r="X369" s="3"/>
      <c r="Y369" s="3"/>
      <c r="Z369" s="3"/>
    </row>
    <row r="370" spans="1:26" ht="15.75" customHeight="1" x14ac:dyDescent="0.25">
      <c r="A370" s="278"/>
      <c r="B370" s="564"/>
      <c r="C370" s="179" t="s">
        <v>592</v>
      </c>
      <c r="D370" s="179" t="s">
        <v>593</v>
      </c>
      <c r="E370" s="179" t="s">
        <v>189</v>
      </c>
      <c r="F370" s="313">
        <v>46000000</v>
      </c>
      <c r="G370" s="179" t="s">
        <v>79</v>
      </c>
      <c r="H370" s="402">
        <v>1027</v>
      </c>
      <c r="I370" s="179" t="s">
        <v>660</v>
      </c>
      <c r="J370" s="680">
        <v>47242</v>
      </c>
      <c r="K370" s="459">
        <v>2584</v>
      </c>
      <c r="L370" s="444">
        <v>0.2</v>
      </c>
      <c r="M370" s="445">
        <v>7.0000000000000007E-2</v>
      </c>
      <c r="N370" s="3"/>
      <c r="O370" s="81" t="s">
        <v>230</v>
      </c>
      <c r="P370" s="3"/>
      <c r="Q370" s="3"/>
      <c r="R370" s="3"/>
      <c r="S370" s="3"/>
      <c r="T370" s="3"/>
      <c r="U370" s="3"/>
      <c r="V370" s="3"/>
      <c r="W370" s="3"/>
      <c r="X370" s="3"/>
      <c r="Y370" s="3"/>
      <c r="Z370" s="3"/>
    </row>
    <row r="371" spans="1:26" ht="15.75" customHeight="1" x14ac:dyDescent="0.25">
      <c r="A371" s="278"/>
      <c r="B371" s="564"/>
      <c r="C371" s="179" t="s">
        <v>594</v>
      </c>
      <c r="D371" s="179" t="s">
        <v>595</v>
      </c>
      <c r="E371" s="179" t="s">
        <v>189</v>
      </c>
      <c r="F371" s="362">
        <v>29350000</v>
      </c>
      <c r="G371" s="179" t="s">
        <v>79</v>
      </c>
      <c r="H371" s="402">
        <v>1027</v>
      </c>
      <c r="I371" s="179" t="s">
        <v>660</v>
      </c>
      <c r="J371" s="697">
        <v>30142</v>
      </c>
      <c r="K371" s="459">
        <v>2229</v>
      </c>
      <c r="L371" s="444">
        <v>0.17</v>
      </c>
      <c r="M371" s="445">
        <v>0.06</v>
      </c>
      <c r="N371" s="3"/>
      <c r="O371" s="81" t="s">
        <v>230</v>
      </c>
      <c r="P371" s="3"/>
      <c r="Q371" s="3"/>
      <c r="R371" s="3"/>
      <c r="S371" s="3"/>
      <c r="T371" s="3"/>
      <c r="U371" s="3"/>
      <c r="V371" s="3"/>
      <c r="W371" s="3"/>
      <c r="X371" s="3"/>
      <c r="Y371" s="3"/>
      <c r="Z371" s="3"/>
    </row>
    <row r="372" spans="1:26" ht="15.75" customHeight="1" x14ac:dyDescent="0.25">
      <c r="A372" s="278"/>
      <c r="B372" s="291"/>
      <c r="C372" s="292"/>
      <c r="D372" s="292"/>
      <c r="E372" s="292"/>
      <c r="F372" s="383"/>
      <c r="G372" s="292"/>
      <c r="H372" s="612"/>
      <c r="I372" s="292"/>
      <c r="J372" s="682"/>
      <c r="K372" s="614"/>
      <c r="L372" s="603"/>
      <c r="M372" s="683"/>
      <c r="N372" s="3"/>
      <c r="O372" s="81"/>
      <c r="P372" s="3"/>
      <c r="Q372" s="3"/>
      <c r="R372" s="3"/>
      <c r="S372" s="3"/>
      <c r="T372" s="3"/>
      <c r="U372" s="3"/>
      <c r="V372" s="3"/>
      <c r="W372" s="3"/>
      <c r="X372" s="3"/>
      <c r="Y372" s="3"/>
      <c r="Z372" s="3"/>
    </row>
    <row r="373" spans="1:26" ht="15.75" customHeight="1" x14ac:dyDescent="0.25">
      <c r="A373" s="278"/>
      <c r="B373" s="616" t="s">
        <v>601</v>
      </c>
      <c r="C373" s="238" t="s">
        <v>663</v>
      </c>
      <c r="D373" s="392"/>
      <c r="E373" s="392"/>
      <c r="F373" s="394"/>
      <c r="G373" s="392"/>
      <c r="H373" s="617"/>
      <c r="I373" s="392"/>
      <c r="J373" s="684"/>
      <c r="K373" s="620"/>
      <c r="L373" s="621"/>
      <c r="M373" s="685"/>
      <c r="N373" s="3"/>
      <c r="O373" s="81"/>
      <c r="P373" s="3"/>
      <c r="Q373" s="3"/>
      <c r="R373" s="3"/>
      <c r="S373" s="3"/>
      <c r="T373" s="3"/>
      <c r="U373" s="3"/>
      <c r="V373" s="3"/>
      <c r="W373" s="3"/>
      <c r="X373" s="3"/>
      <c r="Y373" s="3"/>
      <c r="Z373" s="3"/>
    </row>
    <row r="374" spans="1:26" ht="15.75" customHeight="1" x14ac:dyDescent="0.25">
      <c r="A374" s="278"/>
      <c r="B374" s="564"/>
      <c r="C374" s="179" t="s">
        <v>603</v>
      </c>
      <c r="D374" s="179" t="s">
        <v>604</v>
      </c>
      <c r="E374" s="179" t="s">
        <v>77</v>
      </c>
      <c r="F374" s="313">
        <v>596422</v>
      </c>
      <c r="G374" s="179" t="s">
        <v>79</v>
      </c>
      <c r="H374" s="402">
        <v>1036</v>
      </c>
      <c r="I374" s="179" t="s">
        <v>657</v>
      </c>
      <c r="J374" s="680">
        <v>617893</v>
      </c>
      <c r="K374" s="459">
        <v>36721.1</v>
      </c>
      <c r="L374" s="444">
        <v>1.08</v>
      </c>
      <c r="M374" s="445">
        <v>0.11</v>
      </c>
      <c r="N374" s="3"/>
      <c r="O374" s="81" t="s">
        <v>230</v>
      </c>
      <c r="P374" s="3"/>
      <c r="Q374" s="3"/>
      <c r="R374" s="3"/>
      <c r="S374" s="3"/>
      <c r="T374" s="3"/>
      <c r="U374" s="3"/>
      <c r="V374" s="3"/>
      <c r="W374" s="3"/>
      <c r="X374" s="3"/>
      <c r="Y374" s="3"/>
      <c r="Z374" s="3"/>
    </row>
    <row r="375" spans="1:26" ht="15.75" customHeight="1" x14ac:dyDescent="0.25">
      <c r="A375" s="278"/>
      <c r="B375" s="564"/>
      <c r="C375" s="179" t="s">
        <v>605</v>
      </c>
      <c r="D375" s="179" t="s">
        <v>606</v>
      </c>
      <c r="E375" s="179" t="s">
        <v>77</v>
      </c>
      <c r="F375" s="313">
        <v>617412</v>
      </c>
      <c r="G375" s="179" t="s">
        <v>79</v>
      </c>
      <c r="H375" s="402">
        <v>1036</v>
      </c>
      <c r="I375" s="179" t="s">
        <v>657</v>
      </c>
      <c r="J375" s="680">
        <v>639639</v>
      </c>
      <c r="K375" s="459">
        <v>38013.599999999999</v>
      </c>
      <c r="L375" s="444">
        <v>1.0900000000000001</v>
      </c>
      <c r="M375" s="445">
        <v>0.11</v>
      </c>
      <c r="N375" s="3"/>
      <c r="O375" s="81" t="s">
        <v>230</v>
      </c>
      <c r="P375" s="3"/>
      <c r="Q375" s="3"/>
      <c r="R375" s="3"/>
      <c r="S375" s="3"/>
      <c r="T375" s="3"/>
      <c r="U375" s="3"/>
      <c r="V375" s="3"/>
      <c r="W375" s="3"/>
      <c r="X375" s="3"/>
      <c r="Y375" s="3"/>
      <c r="Z375" s="3"/>
    </row>
    <row r="376" spans="1:26" ht="15.75" customHeight="1" x14ac:dyDescent="0.25">
      <c r="A376" s="278"/>
      <c r="B376" s="564"/>
      <c r="C376" s="179" t="s">
        <v>607</v>
      </c>
      <c r="D376" s="179" t="s">
        <v>608</v>
      </c>
      <c r="E376" s="179" t="s">
        <v>77</v>
      </c>
      <c r="F376" s="313">
        <v>909604</v>
      </c>
      <c r="G376" s="179" t="s">
        <v>79</v>
      </c>
      <c r="H376" s="402">
        <v>1036</v>
      </c>
      <c r="I376" s="179" t="s">
        <v>657</v>
      </c>
      <c r="J376" s="680">
        <v>942350</v>
      </c>
      <c r="K376" s="459">
        <v>56002.3</v>
      </c>
      <c r="L376" s="444">
        <v>1.54</v>
      </c>
      <c r="M376" s="445">
        <v>0.154</v>
      </c>
      <c r="N376" s="3"/>
      <c r="O376" s="81" t="s">
        <v>230</v>
      </c>
      <c r="P376" s="3"/>
      <c r="Q376" s="3"/>
      <c r="R376" s="3"/>
      <c r="S376" s="3"/>
      <c r="T376" s="3"/>
      <c r="U376" s="3"/>
      <c r="V376" s="3"/>
      <c r="W376" s="3"/>
      <c r="X376" s="3"/>
      <c r="Y376" s="3"/>
      <c r="Z376" s="3"/>
    </row>
    <row r="377" spans="1:26" ht="15.75" customHeight="1" x14ac:dyDescent="0.25">
      <c r="A377" s="278"/>
      <c r="B377" s="564"/>
      <c r="C377" s="179" t="s">
        <v>612</v>
      </c>
      <c r="D377" s="179" t="s">
        <v>613</v>
      </c>
      <c r="E377" s="179" t="s">
        <v>77</v>
      </c>
      <c r="F377" s="313">
        <v>863731</v>
      </c>
      <c r="G377" s="179" t="s">
        <v>79</v>
      </c>
      <c r="H377" s="402">
        <v>1036</v>
      </c>
      <c r="I377" s="179" t="s">
        <v>656</v>
      </c>
      <c r="J377" s="680">
        <v>894825</v>
      </c>
      <c r="K377" s="459">
        <v>53178.7</v>
      </c>
      <c r="L377" s="444">
        <v>1.73</v>
      </c>
      <c r="M377" s="445">
        <v>0.20899999999999999</v>
      </c>
      <c r="N377" s="3"/>
      <c r="O377" s="81" t="s">
        <v>230</v>
      </c>
      <c r="P377" s="3"/>
      <c r="Q377" s="3"/>
      <c r="R377" s="3"/>
      <c r="S377" s="3"/>
      <c r="T377" s="3"/>
      <c r="U377" s="3"/>
      <c r="V377" s="3"/>
      <c r="W377" s="3"/>
      <c r="X377" s="3"/>
      <c r="Y377" s="3"/>
      <c r="Z377" s="3"/>
    </row>
    <row r="378" spans="1:26" ht="15.75" customHeight="1" x14ac:dyDescent="0.25">
      <c r="A378" s="278"/>
      <c r="B378" s="564"/>
      <c r="C378" s="179" t="s">
        <v>614</v>
      </c>
      <c r="D378" s="179" t="s">
        <v>615</v>
      </c>
      <c r="E378" s="179" t="s">
        <v>77</v>
      </c>
      <c r="F378" s="313">
        <v>5469</v>
      </c>
      <c r="G378" s="179" t="s">
        <v>79</v>
      </c>
      <c r="H378" s="402">
        <v>1036</v>
      </c>
      <c r="I378" s="179" t="s">
        <v>656</v>
      </c>
      <c r="J378" s="680">
        <v>5665.6587829239998</v>
      </c>
      <c r="K378" s="459">
        <v>331.03</v>
      </c>
      <c r="L378" s="681">
        <v>0</v>
      </c>
      <c r="M378" s="445">
        <v>1.9E-2</v>
      </c>
      <c r="N378" s="3"/>
      <c r="O378" s="81" t="s">
        <v>230</v>
      </c>
      <c r="P378" s="3"/>
      <c r="Q378" s="3"/>
      <c r="R378" s="3"/>
      <c r="S378" s="3"/>
      <c r="T378" s="3"/>
      <c r="U378" s="3"/>
      <c r="V378" s="3"/>
      <c r="W378" s="3"/>
      <c r="X378" s="3"/>
      <c r="Y378" s="3"/>
      <c r="Z378" s="3"/>
    </row>
    <row r="379" spans="1:26" ht="15.75" customHeight="1" x14ac:dyDescent="0.25">
      <c r="A379" s="278"/>
      <c r="B379" s="291"/>
      <c r="C379" s="292"/>
      <c r="D379" s="292"/>
      <c r="E379" s="292"/>
      <c r="F379" s="383"/>
      <c r="G379" s="292"/>
      <c r="H379" s="612"/>
      <c r="I379" s="292"/>
      <c r="J379" s="682"/>
      <c r="K379" s="614"/>
      <c r="L379" s="603"/>
      <c r="M379" s="683"/>
      <c r="N379" s="3"/>
      <c r="O379" s="81"/>
      <c r="P379" s="3"/>
      <c r="Q379" s="3"/>
      <c r="R379" s="3"/>
      <c r="S379" s="3"/>
      <c r="T379" s="3"/>
      <c r="U379" s="3"/>
      <c r="V379" s="3"/>
      <c r="W379" s="3"/>
      <c r="X379" s="3"/>
      <c r="Y379" s="3"/>
      <c r="Z379" s="3"/>
    </row>
    <row r="380" spans="1:26" ht="15.75" customHeight="1" x14ac:dyDescent="0.25">
      <c r="A380" s="278"/>
      <c r="B380" s="616" t="s">
        <v>650</v>
      </c>
      <c r="C380" s="238" t="s">
        <v>664</v>
      </c>
      <c r="D380" s="392"/>
      <c r="E380" s="392"/>
      <c r="F380" s="394"/>
      <c r="G380" s="392"/>
      <c r="H380" s="617"/>
      <c r="I380" s="392"/>
      <c r="J380" s="684"/>
      <c r="K380" s="620"/>
      <c r="L380" s="621"/>
      <c r="M380" s="685"/>
      <c r="N380" s="3"/>
      <c r="O380" s="81"/>
      <c r="P380" s="3"/>
      <c r="Q380" s="3"/>
      <c r="R380" s="3"/>
      <c r="S380" s="3"/>
      <c r="T380" s="3"/>
      <c r="U380" s="3"/>
      <c r="V380" s="3"/>
      <c r="W380" s="3"/>
      <c r="X380" s="3"/>
      <c r="Y380" s="3"/>
      <c r="Z380" s="3"/>
    </row>
    <row r="381" spans="1:26" ht="15.75" customHeight="1" x14ac:dyDescent="0.25">
      <c r="A381" s="278"/>
      <c r="B381" s="564"/>
      <c r="C381" s="179" t="s">
        <v>652</v>
      </c>
      <c r="D381" s="179" t="s">
        <v>665</v>
      </c>
      <c r="E381" s="179" t="s">
        <v>189</v>
      </c>
      <c r="F381" s="313">
        <v>313000000</v>
      </c>
      <c r="G381" s="179" t="s">
        <v>79</v>
      </c>
      <c r="H381" s="402">
        <v>1027</v>
      </c>
      <c r="I381" s="179" t="s">
        <v>145</v>
      </c>
      <c r="J381" s="680">
        <v>321451</v>
      </c>
      <c r="K381" s="698">
        <v>18499</v>
      </c>
      <c r="L381" s="699">
        <v>0</v>
      </c>
      <c r="M381" s="454">
        <v>0</v>
      </c>
      <c r="N381" s="3"/>
      <c r="O381" s="81" t="s">
        <v>230</v>
      </c>
      <c r="P381" s="3"/>
      <c r="Q381" s="3"/>
      <c r="R381" s="3"/>
      <c r="S381" s="3"/>
      <c r="T381" s="3"/>
      <c r="U381" s="3"/>
      <c r="V381" s="3"/>
      <c r="W381" s="3"/>
      <c r="X381" s="3"/>
      <c r="Y381" s="3"/>
      <c r="Z381" s="3"/>
    </row>
    <row r="382" spans="1:26" ht="15.75" customHeight="1" x14ac:dyDescent="0.25">
      <c r="A382" s="278"/>
      <c r="B382" s="291"/>
      <c r="C382" s="292"/>
      <c r="D382" s="292"/>
      <c r="E382" s="292"/>
      <c r="F382" s="383"/>
      <c r="G382" s="292"/>
      <c r="H382" s="612"/>
      <c r="I382" s="292"/>
      <c r="J382" s="682"/>
      <c r="K382" s="614"/>
      <c r="L382" s="603"/>
      <c r="M382" s="683"/>
      <c r="N382" s="3"/>
      <c r="O382" s="81"/>
      <c r="P382" s="3"/>
      <c r="Q382" s="3"/>
      <c r="R382" s="3"/>
      <c r="S382" s="3"/>
      <c r="T382" s="3"/>
      <c r="U382" s="3"/>
      <c r="V382" s="3"/>
      <c r="W382" s="3"/>
      <c r="X382" s="3"/>
      <c r="Y382" s="3"/>
      <c r="Z382" s="3"/>
    </row>
    <row r="383" spans="1:26" ht="15.75" customHeight="1" x14ac:dyDescent="0.25">
      <c r="A383" s="278"/>
      <c r="B383" s="616" t="s">
        <v>155</v>
      </c>
      <c r="C383" s="238" t="s">
        <v>156</v>
      </c>
      <c r="D383" s="700"/>
      <c r="E383" s="392"/>
      <c r="F383" s="394"/>
      <c r="G383" s="392"/>
      <c r="H383" s="394"/>
      <c r="I383" s="392"/>
      <c r="J383" s="677"/>
      <c r="K383" s="620"/>
      <c r="L383" s="621"/>
      <c r="M383" s="685"/>
      <c r="N383" s="3"/>
      <c r="O383" s="81"/>
      <c r="P383" s="3"/>
      <c r="Q383" s="3"/>
      <c r="R383" s="3"/>
      <c r="S383" s="3"/>
      <c r="T383" s="3"/>
      <c r="U383" s="3"/>
      <c r="V383" s="3"/>
      <c r="W383" s="3"/>
      <c r="X383" s="3"/>
      <c r="Y383" s="3"/>
      <c r="Z383" s="3"/>
    </row>
    <row r="384" spans="1:26" ht="15.75" customHeight="1" x14ac:dyDescent="0.25">
      <c r="A384" s="278"/>
      <c r="B384" s="564"/>
      <c r="C384" s="179" t="s">
        <v>157</v>
      </c>
      <c r="D384" s="378" t="s">
        <v>158</v>
      </c>
      <c r="E384" s="179" t="s">
        <v>77</v>
      </c>
      <c r="F384" s="313">
        <v>196372000</v>
      </c>
      <c r="G384" s="179" t="s">
        <v>79</v>
      </c>
      <c r="H384" s="313">
        <v>1053</v>
      </c>
      <c r="I384" s="179" t="s">
        <v>656</v>
      </c>
      <c r="J384" s="701">
        <f>Luke!H16</f>
        <v>206779.71599999999</v>
      </c>
      <c r="K384" s="459">
        <f>Luke!H18+Luke!H22+Luke!H26</f>
        <v>20766.034656974934</v>
      </c>
      <c r="L384" s="444">
        <f>Luke!H19+Luke!H23+Luke!H27</f>
        <v>2.4683680780527459</v>
      </c>
      <c r="M384" s="445">
        <f>Luke!H20+Luke!H24+Luke!H28</f>
        <v>0.36341636461681814</v>
      </c>
      <c r="N384" s="3"/>
      <c r="O384" s="81" t="s">
        <v>230</v>
      </c>
      <c r="P384" s="3"/>
      <c r="Q384" s="3"/>
      <c r="R384" s="3"/>
      <c r="S384" s="3"/>
      <c r="T384" s="3"/>
      <c r="U384" s="3"/>
      <c r="V384" s="3"/>
      <c r="W384" s="3"/>
      <c r="X384" s="3"/>
      <c r="Y384" s="3"/>
      <c r="Z384" s="3"/>
    </row>
    <row r="385" spans="1:26" ht="15.75" customHeight="1" x14ac:dyDescent="0.25">
      <c r="A385" s="278"/>
      <c r="B385" s="291"/>
      <c r="C385" s="292"/>
      <c r="D385" s="292"/>
      <c r="E385" s="292"/>
      <c r="F385" s="383"/>
      <c r="G385" s="292"/>
      <c r="H385" s="612"/>
      <c r="I385" s="292"/>
      <c r="J385" s="682"/>
      <c r="K385" s="614"/>
      <c r="L385" s="603"/>
      <c r="M385" s="683"/>
      <c r="N385" s="3"/>
      <c r="O385" s="81"/>
      <c r="P385" s="3"/>
      <c r="Q385" s="3"/>
      <c r="R385" s="3"/>
      <c r="S385" s="3"/>
      <c r="T385" s="3"/>
      <c r="U385" s="3"/>
      <c r="V385" s="3"/>
      <c r="W385" s="3"/>
      <c r="X385" s="3"/>
      <c r="Y385" s="3"/>
      <c r="Z385" s="3"/>
    </row>
    <row r="386" spans="1:26" ht="15.75" customHeight="1" x14ac:dyDescent="0.25">
      <c r="A386" s="278"/>
      <c r="B386" s="616" t="s">
        <v>616</v>
      </c>
      <c r="C386" s="238" t="s">
        <v>617</v>
      </c>
      <c r="D386" s="392"/>
      <c r="E386" s="392"/>
      <c r="F386" s="394"/>
      <c r="G386" s="392"/>
      <c r="H386" s="617"/>
      <c r="I386" s="392"/>
      <c r="J386" s="684"/>
      <c r="K386" s="620"/>
      <c r="L386" s="621"/>
      <c r="M386" s="685"/>
      <c r="N386" s="3"/>
      <c r="O386" s="81"/>
      <c r="P386" s="3"/>
      <c r="Q386" s="3"/>
      <c r="R386" s="3"/>
      <c r="S386" s="3"/>
      <c r="T386" s="3"/>
      <c r="U386" s="3"/>
      <c r="V386" s="3"/>
      <c r="W386" s="3"/>
      <c r="X386" s="3"/>
      <c r="Y386" s="3"/>
      <c r="Z386" s="3"/>
    </row>
    <row r="387" spans="1:26" ht="15.75" customHeight="1" x14ac:dyDescent="0.25">
      <c r="A387" s="278"/>
      <c r="B387" s="564"/>
      <c r="C387" s="179"/>
      <c r="D387" s="179"/>
      <c r="E387" s="179"/>
      <c r="F387" s="313"/>
      <c r="G387" s="179"/>
      <c r="H387" s="402"/>
      <c r="I387" s="179"/>
      <c r="J387" s="680"/>
      <c r="K387" s="459"/>
      <c r="L387" s="444"/>
      <c r="M387" s="445"/>
      <c r="N387" s="3"/>
      <c r="O387" s="81"/>
      <c r="P387" s="3"/>
      <c r="Q387" s="3"/>
      <c r="R387" s="3"/>
      <c r="S387" s="3"/>
      <c r="T387" s="3"/>
      <c r="U387" s="3"/>
      <c r="V387" s="3"/>
      <c r="W387" s="3"/>
      <c r="X387" s="3"/>
      <c r="Y387" s="3"/>
      <c r="Z387" s="3"/>
    </row>
    <row r="388" spans="1:26" ht="15.75" customHeight="1" x14ac:dyDescent="0.25">
      <c r="A388" s="278"/>
      <c r="B388" s="564"/>
      <c r="C388" s="179" t="s">
        <v>618</v>
      </c>
      <c r="D388" s="180" t="s">
        <v>666</v>
      </c>
      <c r="E388" s="699" t="s">
        <v>77</v>
      </c>
      <c r="F388" s="313">
        <f>Severstal!G48*1000</f>
        <v>2258000</v>
      </c>
      <c r="G388" s="378" t="s">
        <v>79</v>
      </c>
      <c r="H388" s="179">
        <v>1.04</v>
      </c>
      <c r="I388" s="179" t="s">
        <v>667</v>
      </c>
      <c r="J388" s="680">
        <v>2348900</v>
      </c>
      <c r="K388" s="459">
        <f>(Severstal!G11+Severstal!G21+Severstal!G31+Severstal!G41)*1.1023</f>
        <v>137248.91622000001</v>
      </c>
      <c r="L388" s="444">
        <f>(Severstal!G12+Severstal!G22+Severstal!G32+Severstal!G42)*1.1023</f>
        <v>2.5904050000000001</v>
      </c>
      <c r="M388" s="445">
        <f>(Severstal!G13+Severstal!G23+Severstal!G33+Severstal!G43)*1.1023</f>
        <v>0.25904050000000001</v>
      </c>
      <c r="N388" s="3"/>
      <c r="O388" s="81" t="s">
        <v>230</v>
      </c>
      <c r="P388" s="3"/>
      <c r="Q388" s="3"/>
      <c r="R388" s="3"/>
      <c r="S388" s="3"/>
      <c r="T388" s="3"/>
      <c r="U388" s="3"/>
      <c r="V388" s="3"/>
      <c r="W388" s="3"/>
      <c r="X388" s="3"/>
      <c r="Y388" s="3"/>
      <c r="Z388" s="3"/>
    </row>
    <row r="389" spans="1:26" ht="15.75" customHeight="1" x14ac:dyDescent="0.25">
      <c r="A389" s="278"/>
      <c r="B389" s="564"/>
      <c r="C389" s="179"/>
      <c r="D389" s="180"/>
      <c r="E389" s="699"/>
      <c r="F389" s="313"/>
      <c r="G389" s="378"/>
      <c r="H389" s="179"/>
      <c r="I389" s="179"/>
      <c r="J389" s="680"/>
      <c r="K389" s="459"/>
      <c r="L389" s="444"/>
      <c r="M389" s="445"/>
      <c r="N389" s="3"/>
      <c r="O389" s="81"/>
      <c r="P389" s="3"/>
      <c r="Q389" s="3"/>
      <c r="R389" s="3"/>
      <c r="S389" s="3"/>
      <c r="T389" s="3"/>
      <c r="U389" s="3"/>
      <c r="V389" s="3"/>
      <c r="W389" s="3"/>
      <c r="X389" s="3"/>
      <c r="Y389" s="3"/>
      <c r="Z389" s="3"/>
    </row>
    <row r="390" spans="1:26" ht="15.75" customHeight="1" x14ac:dyDescent="0.25">
      <c r="A390" s="278"/>
      <c r="B390" s="564"/>
      <c r="C390" s="179" t="s">
        <v>618</v>
      </c>
      <c r="D390" s="180" t="s">
        <v>668</v>
      </c>
      <c r="E390" s="699" t="s">
        <v>669</v>
      </c>
      <c r="F390" s="313">
        <f>Severstal!F48</f>
        <v>46722</v>
      </c>
      <c r="G390" s="378" t="s">
        <v>79</v>
      </c>
      <c r="H390" s="179">
        <v>8.6999999999999994E-2</v>
      </c>
      <c r="I390" s="179" t="s">
        <v>667</v>
      </c>
      <c r="J390" s="680">
        <v>4064843</v>
      </c>
      <c r="K390" s="459">
        <f>(Severstal!F11+Severstal!F21+Severstal!F31+Severstal!F41)*1.1023</f>
        <v>1290944.42533</v>
      </c>
      <c r="L390" s="444">
        <f>(Severstal!F12+Severstal!F22+Severstal!F32+Severstal!F42)*1.1023</f>
        <v>9.9207000000000004E-2</v>
      </c>
      <c r="M390" s="445">
        <f>(Severstal!F13+Severstal!F23+Severstal!F33+Severstal!F43)*1.1023</f>
        <v>0.50705800000000001</v>
      </c>
      <c r="N390" s="3"/>
      <c r="O390" s="81" t="s">
        <v>230</v>
      </c>
      <c r="P390" s="3"/>
      <c r="Q390" s="3"/>
      <c r="R390" s="3"/>
      <c r="S390" s="3"/>
      <c r="T390" s="3"/>
      <c r="U390" s="3"/>
      <c r="V390" s="3"/>
      <c r="W390" s="3"/>
      <c r="X390" s="3"/>
      <c r="Y390" s="3"/>
      <c r="Z390" s="3"/>
    </row>
    <row r="391" spans="1:26" ht="15.75" customHeight="1" x14ac:dyDescent="0.25">
      <c r="A391" s="278"/>
      <c r="B391" s="291"/>
      <c r="C391" s="292"/>
      <c r="D391" s="292"/>
      <c r="E391" s="292"/>
      <c r="F391" s="383"/>
      <c r="G391" s="292"/>
      <c r="H391" s="612"/>
      <c r="I391" s="292"/>
      <c r="J391" s="383"/>
      <c r="K391" s="603"/>
      <c r="L391" s="603"/>
      <c r="M391" s="683"/>
      <c r="N391" s="3"/>
      <c r="O391" s="81"/>
      <c r="P391" s="3"/>
      <c r="Q391" s="3"/>
      <c r="R391" s="3"/>
      <c r="S391" s="3"/>
      <c r="T391" s="3"/>
      <c r="U391" s="3"/>
      <c r="V391" s="3"/>
      <c r="W391" s="3"/>
      <c r="X391" s="3"/>
      <c r="Y391" s="3"/>
      <c r="Z391" s="3"/>
    </row>
    <row r="392" spans="1:26" ht="15.75" customHeight="1" x14ac:dyDescent="0.25">
      <c r="A392" s="278"/>
      <c r="B392" s="564"/>
      <c r="C392" s="179"/>
      <c r="D392" s="179"/>
      <c r="E392" s="179"/>
      <c r="F392" s="313"/>
      <c r="G392" s="179"/>
      <c r="H392" s="313"/>
      <c r="I392" s="179"/>
      <c r="J392" s="313"/>
      <c r="K392" s="444"/>
      <c r="L392" s="444"/>
      <c r="M392" s="445"/>
      <c r="N392" s="3"/>
      <c r="O392" s="81"/>
      <c r="P392" s="3"/>
      <c r="Q392" s="3"/>
      <c r="R392" s="3"/>
      <c r="S392" s="3"/>
      <c r="T392" s="3"/>
      <c r="U392" s="3"/>
      <c r="V392" s="3"/>
      <c r="W392" s="3"/>
      <c r="X392" s="3"/>
      <c r="Y392" s="3"/>
      <c r="Z392" s="3"/>
    </row>
    <row r="393" spans="1:26" ht="15.75" customHeight="1" x14ac:dyDescent="0.25">
      <c r="A393" s="278"/>
      <c r="B393" s="702"/>
      <c r="C393" s="703"/>
      <c r="D393" s="703"/>
      <c r="E393" s="703"/>
      <c r="F393" s="704">
        <f>SUM(F305:F392)</f>
        <v>2218186926.027</v>
      </c>
      <c r="G393" s="703"/>
      <c r="H393" s="705"/>
      <c r="I393" s="703"/>
      <c r="J393" s="705">
        <f t="shared" ref="J393:M393" si="4">SUM(J305:J392)</f>
        <v>25646912.286970925</v>
      </c>
      <c r="K393" s="706">
        <f t="shared" si="4"/>
        <v>2660241.2312450777</v>
      </c>
      <c r="L393" s="706">
        <f t="shared" si="4"/>
        <v>46.118157938978527</v>
      </c>
      <c r="M393" s="707">
        <f t="shared" si="4"/>
        <v>16.41812203366425</v>
      </c>
      <c r="N393" s="3"/>
      <c r="O393" s="81"/>
      <c r="P393" s="3"/>
      <c r="Q393" s="3"/>
      <c r="R393" s="3"/>
      <c r="S393" s="3"/>
      <c r="T393" s="3"/>
      <c r="U393" s="3"/>
      <c r="V393" s="3"/>
      <c r="W393" s="3"/>
      <c r="X393" s="3"/>
      <c r="Y393" s="3"/>
      <c r="Z393" s="3"/>
    </row>
    <row r="394" spans="1:26" ht="15.75" customHeight="1" x14ac:dyDescent="0.25">
      <c r="A394" s="278"/>
      <c r="B394" s="708"/>
      <c r="C394" s="709"/>
      <c r="D394" s="709"/>
      <c r="E394" s="709"/>
      <c r="F394" s="710"/>
      <c r="G394" s="709"/>
      <c r="H394" s="711"/>
      <c r="I394" s="709"/>
      <c r="J394" s="711"/>
      <c r="K394" s="621"/>
      <c r="L394" s="621"/>
      <c r="M394" s="685"/>
      <c r="N394" s="3"/>
      <c r="O394" s="81"/>
      <c r="P394" s="3"/>
      <c r="Q394" s="3"/>
      <c r="R394" s="3"/>
      <c r="S394" s="3"/>
      <c r="T394" s="3"/>
      <c r="U394" s="3"/>
      <c r="V394" s="3"/>
      <c r="W394" s="3"/>
      <c r="X394" s="3"/>
      <c r="Y394" s="3"/>
      <c r="Z394" s="3"/>
    </row>
    <row r="395" spans="1:26" ht="15.75" customHeight="1" x14ac:dyDescent="0.25">
      <c r="A395" s="278"/>
      <c r="B395" s="712"/>
      <c r="C395" s="713"/>
      <c r="D395" s="713"/>
      <c r="E395" s="713"/>
      <c r="F395" s="714" t="s">
        <v>670</v>
      </c>
      <c r="G395" s="713"/>
      <c r="H395" s="714"/>
      <c r="I395" s="713"/>
      <c r="J395" s="714"/>
      <c r="K395" s="715">
        <f>(K393*0.90718474)/1000000</f>
        <v>2.4133302497043454</v>
      </c>
      <c r="L395" s="716">
        <f>(L393*$J$425*0.90718474)/1000000</f>
        <v>1.1672715264243177E-3</v>
      </c>
      <c r="M395" s="717">
        <f>(M393*$J$426*0.90718474)/1000000</f>
        <v>4.066135646772647E-3</v>
      </c>
      <c r="N395" s="3"/>
      <c r="O395" s="81"/>
      <c r="P395" s="3"/>
      <c r="Q395" s="3"/>
      <c r="R395" s="3"/>
      <c r="S395" s="3"/>
      <c r="T395" s="3"/>
      <c r="U395" s="3"/>
      <c r="V395" s="3"/>
      <c r="W395" s="3"/>
      <c r="X395" s="3"/>
      <c r="Y395" s="3"/>
      <c r="Z395" s="3"/>
    </row>
    <row r="396" spans="1:26" ht="15.75" customHeight="1" x14ac:dyDescent="0.25">
      <c r="A396" s="278"/>
      <c r="B396" s="718"/>
      <c r="C396" s="719"/>
      <c r="D396" s="719"/>
      <c r="E396" s="719"/>
      <c r="F396" s="719"/>
      <c r="G396" s="719"/>
      <c r="H396" s="719"/>
      <c r="I396" s="719"/>
      <c r="J396" s="719"/>
      <c r="K396" s="719"/>
      <c r="L396" s="719"/>
      <c r="M396" s="720"/>
      <c r="N396" s="3"/>
      <c r="O396" s="81"/>
      <c r="P396" s="3"/>
      <c r="Q396" s="3"/>
      <c r="R396" s="3"/>
      <c r="S396" s="3"/>
      <c r="T396" s="3"/>
      <c r="U396" s="3"/>
      <c r="V396" s="3"/>
      <c r="W396" s="3"/>
      <c r="X396" s="3"/>
      <c r="Y396" s="3"/>
      <c r="Z396" s="3"/>
    </row>
    <row r="397" spans="1:26" ht="15.75" customHeight="1" x14ac:dyDescent="0.25">
      <c r="A397" s="278"/>
      <c r="B397" s="60"/>
      <c r="C397" s="60"/>
      <c r="D397" s="3"/>
      <c r="E397" s="3"/>
      <c r="F397" s="542"/>
      <c r="G397" s="170"/>
      <c r="H397" s="3"/>
      <c r="I397" s="3"/>
      <c r="J397" s="170"/>
      <c r="K397" s="544"/>
      <c r="L397" s="3"/>
      <c r="M397" s="3"/>
      <c r="N397" s="3"/>
      <c r="O397" s="3"/>
      <c r="P397" s="3"/>
      <c r="Q397" s="3"/>
      <c r="R397" s="3"/>
      <c r="S397" s="3"/>
      <c r="T397" s="3"/>
      <c r="U397" s="3"/>
      <c r="V397" s="3"/>
      <c r="W397" s="3"/>
      <c r="X397" s="3"/>
      <c r="Y397" s="3"/>
      <c r="Z397" s="3"/>
    </row>
    <row r="398" spans="1:26" ht="15.75" customHeight="1"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24" customHeight="1" x14ac:dyDescent="0.45">
      <c r="A399" s="3"/>
      <c r="B399" s="721" t="s">
        <v>671</v>
      </c>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25">
      <c r="A400" s="3"/>
      <c r="B400" s="721" t="s">
        <v>672</v>
      </c>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25">
      <c r="A402" s="3"/>
      <c r="B402" s="279"/>
      <c r="C402" s="280" t="s">
        <v>180</v>
      </c>
      <c r="D402" s="280" t="s">
        <v>673</v>
      </c>
      <c r="E402" s="280" t="s">
        <v>674</v>
      </c>
      <c r="F402" s="280" t="s">
        <v>675</v>
      </c>
      <c r="G402" s="283" t="s">
        <v>676</v>
      </c>
      <c r="H402" s="3"/>
      <c r="I402" s="3"/>
      <c r="J402" s="3"/>
      <c r="K402" s="3"/>
      <c r="L402" s="3"/>
      <c r="M402" s="3"/>
      <c r="N402" s="3"/>
      <c r="O402" s="3"/>
      <c r="P402" s="3"/>
      <c r="Q402" s="3"/>
      <c r="R402" s="3"/>
      <c r="S402" s="3"/>
      <c r="T402" s="3"/>
      <c r="U402" s="3"/>
      <c r="V402" s="3"/>
      <c r="W402" s="3"/>
      <c r="X402" s="3"/>
      <c r="Y402" s="3"/>
      <c r="Z402" s="3"/>
    </row>
    <row r="403" spans="1:26" ht="15.75" customHeight="1" x14ac:dyDescent="0.25">
      <c r="A403" s="3"/>
      <c r="B403" s="722"/>
      <c r="C403" s="723"/>
      <c r="D403" s="723" t="s">
        <v>35</v>
      </c>
      <c r="E403" s="723" t="s">
        <v>185</v>
      </c>
      <c r="F403" s="723" t="s">
        <v>677</v>
      </c>
      <c r="G403" s="724" t="s">
        <v>678</v>
      </c>
      <c r="H403" s="3"/>
      <c r="I403" s="3"/>
      <c r="J403" s="3"/>
      <c r="K403" s="3"/>
      <c r="L403" s="3"/>
      <c r="M403" s="3"/>
      <c r="N403" s="3"/>
      <c r="O403" s="3"/>
      <c r="P403" s="3"/>
      <c r="Q403" s="3"/>
      <c r="R403" s="3"/>
      <c r="S403" s="3"/>
      <c r="T403" s="3"/>
      <c r="U403" s="3"/>
      <c r="V403" s="3"/>
      <c r="W403" s="3"/>
      <c r="X403" s="3"/>
      <c r="Y403" s="3"/>
      <c r="Z403" s="3"/>
    </row>
    <row r="404" spans="1:26" ht="15.75" customHeight="1" x14ac:dyDescent="0.25">
      <c r="A404" s="3"/>
      <c r="B404" s="237"/>
      <c r="C404" s="618"/>
      <c r="D404" s="618"/>
      <c r="E404" s="618"/>
      <c r="F404" s="618"/>
      <c r="G404" s="725"/>
      <c r="H404" s="3"/>
      <c r="I404" s="3"/>
      <c r="J404" s="3"/>
      <c r="K404" s="3"/>
      <c r="L404" s="3"/>
      <c r="M404" s="3"/>
      <c r="N404" s="3"/>
      <c r="O404" s="3"/>
      <c r="P404" s="3"/>
      <c r="Q404" s="3"/>
      <c r="R404" s="3"/>
      <c r="S404" s="3"/>
      <c r="T404" s="3"/>
      <c r="U404" s="3"/>
      <c r="V404" s="3"/>
      <c r="W404" s="3"/>
      <c r="X404" s="3"/>
      <c r="Y404" s="3"/>
      <c r="Z404" s="3"/>
    </row>
    <row r="405" spans="1:26" ht="15.75" customHeight="1" x14ac:dyDescent="0.25">
      <c r="A405" s="3"/>
      <c r="B405" s="726" t="s">
        <v>53</v>
      </c>
      <c r="C405" s="727">
        <f t="shared" ref="C405:D405" si="5">J55+J62</f>
        <v>225613367.01600003</v>
      </c>
      <c r="D405" s="727">
        <f t="shared" si="5"/>
        <v>24088126.86396306</v>
      </c>
      <c r="E405" s="727">
        <f>D405*0.90718474</f>
        <v>21852381.106171343</v>
      </c>
      <c r="F405" s="728">
        <f>E405/1000000</f>
        <v>21.852381106171343</v>
      </c>
      <c r="G405" s="729">
        <f>F405*(12/44)</f>
        <v>5.9597403016830928</v>
      </c>
      <c r="H405" s="3"/>
      <c r="I405" s="3"/>
      <c r="J405" s="3"/>
      <c r="K405" s="3"/>
      <c r="L405" s="3"/>
      <c r="M405" s="3"/>
      <c r="N405" s="3"/>
      <c r="O405" s="3"/>
      <c r="P405" s="3"/>
      <c r="Q405" s="3"/>
      <c r="R405" s="3"/>
      <c r="S405" s="3"/>
      <c r="T405" s="3"/>
      <c r="U405" s="3"/>
      <c r="V405" s="3"/>
      <c r="W405" s="3"/>
      <c r="X405" s="3"/>
      <c r="Y405" s="3"/>
      <c r="Z405" s="3"/>
    </row>
    <row r="406" spans="1:26" ht="15.75" customHeight="1" x14ac:dyDescent="0.25">
      <c r="A406" s="3"/>
      <c r="B406" s="623"/>
      <c r="C406" s="81"/>
      <c r="D406" s="81"/>
      <c r="E406" s="624"/>
      <c r="F406" s="730"/>
      <c r="G406" s="731"/>
      <c r="H406" s="3"/>
      <c r="I406" s="3"/>
      <c r="J406" s="3"/>
      <c r="K406" s="3"/>
      <c r="L406" s="3"/>
      <c r="M406" s="3"/>
      <c r="N406" s="3"/>
      <c r="O406" s="3"/>
      <c r="P406" s="3"/>
      <c r="Q406" s="3"/>
      <c r="R406" s="3"/>
      <c r="S406" s="3"/>
      <c r="T406" s="3"/>
      <c r="U406" s="3"/>
      <c r="V406" s="3"/>
      <c r="W406" s="3"/>
      <c r="X406" s="3"/>
      <c r="Y406" s="3"/>
      <c r="Z406" s="3"/>
    </row>
    <row r="407" spans="1:26" ht="15.75" customHeight="1" x14ac:dyDescent="0.25">
      <c r="A407" s="3"/>
      <c r="B407" s="623" t="s">
        <v>179</v>
      </c>
      <c r="C407" s="624">
        <f t="shared" ref="C407:D407" si="6">J287+J243</f>
        <v>2646768.202045762</v>
      </c>
      <c r="D407" s="624">
        <f t="shared" si="6"/>
        <v>214540.42072217981</v>
      </c>
      <c r="E407" s="624">
        <f>D407*0.90718474</f>
        <v>194627.79579234132</v>
      </c>
      <c r="F407" s="730">
        <f>E407/1000000</f>
        <v>0.19462779579234132</v>
      </c>
      <c r="G407" s="731">
        <f>F407*(12/44)</f>
        <v>5.3080307943365809E-2</v>
      </c>
      <c r="H407" s="3"/>
      <c r="I407" s="3"/>
      <c r="J407" s="3"/>
      <c r="K407" s="3"/>
      <c r="L407" s="3"/>
      <c r="M407" s="3"/>
      <c r="N407" s="3"/>
      <c r="O407" s="3"/>
      <c r="P407" s="3"/>
      <c r="Q407" s="3"/>
      <c r="R407" s="3"/>
      <c r="S407" s="3"/>
      <c r="T407" s="3"/>
      <c r="U407" s="3"/>
      <c r="V407" s="3"/>
      <c r="W407" s="3"/>
      <c r="X407" s="3"/>
      <c r="Y407" s="3"/>
      <c r="Z407" s="3"/>
    </row>
    <row r="408" spans="1:26" ht="15.75" customHeight="1" x14ac:dyDescent="0.25">
      <c r="A408" s="3"/>
      <c r="B408" s="623"/>
      <c r="C408" s="81"/>
      <c r="D408" s="81"/>
      <c r="E408" s="624"/>
      <c r="F408" s="730"/>
      <c r="G408" s="731"/>
      <c r="H408" s="3"/>
      <c r="I408" s="3"/>
      <c r="J408" s="3"/>
      <c r="K408" s="3"/>
      <c r="L408" s="3"/>
      <c r="M408" s="3"/>
      <c r="N408" s="3"/>
      <c r="O408" s="3"/>
      <c r="P408" s="3"/>
      <c r="Q408" s="3"/>
      <c r="R408" s="3"/>
      <c r="S408" s="3"/>
      <c r="T408" s="3"/>
      <c r="U408" s="3"/>
      <c r="V408" s="3"/>
      <c r="W408" s="3"/>
      <c r="X408" s="3"/>
      <c r="Y408" s="3"/>
      <c r="Z408" s="3"/>
    </row>
    <row r="409" spans="1:26" ht="15.75" customHeight="1" x14ac:dyDescent="0.25">
      <c r="A409" s="3"/>
      <c r="B409" s="623" t="s">
        <v>77</v>
      </c>
      <c r="C409" s="624">
        <f t="shared" ref="C409:D409" si="7">J393</f>
        <v>25646912.286970925</v>
      </c>
      <c r="D409" s="624">
        <f t="shared" si="7"/>
        <v>2660241.2312450777</v>
      </c>
      <c r="E409" s="624">
        <f>D409*0.90718474</f>
        <v>2413330.2497043456</v>
      </c>
      <c r="F409" s="730">
        <f>E409/1000000</f>
        <v>2.4133302497043454</v>
      </c>
      <c r="G409" s="731">
        <f>F409*(12/44)</f>
        <v>0.65818097719209412</v>
      </c>
      <c r="H409" s="3"/>
      <c r="I409" s="3"/>
      <c r="J409" s="3"/>
      <c r="K409" s="3"/>
      <c r="L409" s="3"/>
      <c r="M409" s="3"/>
      <c r="N409" s="3"/>
      <c r="O409" s="3"/>
      <c r="P409" s="3"/>
      <c r="Q409" s="3"/>
      <c r="R409" s="3"/>
      <c r="S409" s="3"/>
      <c r="T409" s="3"/>
      <c r="U409" s="3"/>
      <c r="V409" s="3"/>
      <c r="W409" s="3"/>
      <c r="X409" s="3"/>
      <c r="Y409" s="3"/>
      <c r="Z409" s="3"/>
    </row>
    <row r="410" spans="1:26" ht="15.75" customHeight="1" x14ac:dyDescent="0.25">
      <c r="A410" s="3"/>
      <c r="B410" s="631"/>
      <c r="C410" s="633"/>
      <c r="D410" s="633"/>
      <c r="E410" s="635"/>
      <c r="F410" s="732"/>
      <c r="G410" s="733"/>
      <c r="H410" s="3"/>
      <c r="I410" s="3"/>
      <c r="J410" s="3"/>
      <c r="K410" s="3"/>
      <c r="L410" s="3"/>
      <c r="M410" s="3"/>
      <c r="N410" s="3"/>
      <c r="O410" s="3"/>
      <c r="P410" s="3"/>
      <c r="Q410" s="3"/>
      <c r="R410" s="3"/>
      <c r="S410" s="3"/>
      <c r="T410" s="3"/>
      <c r="U410" s="3"/>
      <c r="V410" s="3"/>
      <c r="W410" s="3"/>
      <c r="X410" s="3"/>
      <c r="Y410" s="3"/>
      <c r="Z410" s="3"/>
    </row>
    <row r="411" spans="1:26" ht="15.75" customHeight="1" x14ac:dyDescent="0.25">
      <c r="A411" s="3"/>
      <c r="B411" s="638" t="s">
        <v>205</v>
      </c>
      <c r="C411" s="735"/>
      <c r="D411" s="272">
        <f t="shared" ref="D411:E411" si="8">SUM(D405:D410)</f>
        <v>26962908.515930317</v>
      </c>
      <c r="E411" s="272">
        <f t="shared" si="8"/>
        <v>24460339.151668031</v>
      </c>
      <c r="F411" s="738">
        <f>E411/1000000</f>
        <v>24.46033915166803</v>
      </c>
      <c r="G411" s="740">
        <f>SUM(G405:G410)</f>
        <v>6.6710015868185524</v>
      </c>
      <c r="H411" s="3"/>
      <c r="I411" s="3"/>
      <c r="J411" s="3"/>
      <c r="K411" s="3"/>
      <c r="L411" s="3"/>
      <c r="M411" s="3"/>
      <c r="N411" s="3"/>
      <c r="O411" s="3"/>
      <c r="P411" s="3"/>
      <c r="Q411" s="3"/>
      <c r="R411" s="3"/>
      <c r="S411" s="3"/>
      <c r="T411" s="3"/>
      <c r="U411" s="3"/>
      <c r="V411" s="3"/>
      <c r="W411" s="3"/>
      <c r="X411" s="3"/>
      <c r="Y411" s="3"/>
      <c r="Z411" s="3"/>
    </row>
    <row r="412" spans="1:26" ht="15.75" customHeight="1" x14ac:dyDescent="0.25">
      <c r="A412" s="3"/>
      <c r="B412" s="265"/>
      <c r="C412" s="266"/>
      <c r="D412" s="266"/>
      <c r="E412" s="266"/>
      <c r="F412" s="266"/>
      <c r="G412" s="277"/>
      <c r="H412" s="3"/>
      <c r="I412" s="3"/>
      <c r="J412" s="3"/>
      <c r="K412" s="3"/>
      <c r="L412" s="3"/>
      <c r="M412" s="3"/>
      <c r="N412" s="3"/>
      <c r="O412" s="3"/>
      <c r="P412" s="3"/>
      <c r="Q412" s="3"/>
      <c r="R412" s="3"/>
      <c r="S412" s="3"/>
      <c r="T412" s="3"/>
      <c r="U412" s="3"/>
      <c r="V412" s="3"/>
      <c r="W412" s="3"/>
      <c r="X412" s="3"/>
      <c r="Y412" s="3"/>
      <c r="Z412" s="3"/>
    </row>
    <row r="413" spans="1:26" ht="15.75" customHeight="1"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24" customHeight="1" x14ac:dyDescent="0.45">
      <c r="A417" s="3"/>
      <c r="B417" s="721" t="s">
        <v>682</v>
      </c>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25">
      <c r="A418" s="3"/>
      <c r="B418" s="721" t="s">
        <v>672</v>
      </c>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21" customHeight="1" x14ac:dyDescent="0.4">
      <c r="A420" s="3"/>
      <c r="B420" s="20" t="s">
        <v>683</v>
      </c>
      <c r="C420" s="20"/>
      <c r="D420" s="20"/>
      <c r="E420" s="20">
        <v>2011</v>
      </c>
      <c r="F420" s="20"/>
      <c r="G420" s="20"/>
      <c r="H420" s="3"/>
      <c r="I420" s="3"/>
      <c r="J420" s="3"/>
      <c r="K420" s="3"/>
      <c r="L420" s="3"/>
      <c r="M420" s="3"/>
      <c r="N420" s="3"/>
      <c r="O420" s="3"/>
      <c r="P420" s="3"/>
      <c r="Q420" s="3"/>
      <c r="R420" s="3"/>
      <c r="S420" s="3"/>
      <c r="T420" s="3"/>
      <c r="U420" s="3"/>
      <c r="V420" s="3"/>
      <c r="W420" s="3"/>
      <c r="X420" s="3"/>
      <c r="Y420" s="3"/>
      <c r="Z420" s="3"/>
    </row>
    <row r="421" spans="1:26" ht="15.75" customHeight="1" x14ac:dyDescent="0.25">
      <c r="A421" s="3"/>
      <c r="B421" s="20"/>
      <c r="C421" s="20"/>
      <c r="D421" s="20"/>
      <c r="E421" s="20"/>
      <c r="F421" s="20"/>
      <c r="G421" s="20"/>
      <c r="H421" s="3"/>
      <c r="I421" s="3"/>
      <c r="J421" s="3"/>
      <c r="K421" s="3"/>
      <c r="L421" s="3"/>
      <c r="M421" s="3"/>
      <c r="N421" s="3"/>
      <c r="O421" s="3"/>
      <c r="P421" s="3"/>
      <c r="Q421" s="3"/>
      <c r="R421" s="3"/>
      <c r="S421" s="3"/>
      <c r="T421" s="3"/>
      <c r="U421" s="3"/>
      <c r="V421" s="3"/>
      <c r="W421" s="3"/>
      <c r="X421" s="3"/>
      <c r="Y421" s="3"/>
      <c r="Z421" s="3"/>
    </row>
    <row r="422" spans="1:26" ht="15.75" customHeight="1" x14ac:dyDescent="0.25">
      <c r="A422" s="3"/>
      <c r="B422" s="751"/>
      <c r="C422" s="753" t="s">
        <v>685</v>
      </c>
      <c r="D422" s="754" t="s">
        <v>686</v>
      </c>
      <c r="E422" s="754" t="s">
        <v>686</v>
      </c>
      <c r="F422" s="753" t="s">
        <v>688</v>
      </c>
      <c r="G422" s="755" t="s">
        <v>686</v>
      </c>
      <c r="H422" s="3"/>
      <c r="I422" s="2312" t="s">
        <v>1</v>
      </c>
      <c r="J422" s="2313"/>
      <c r="K422" s="3"/>
      <c r="L422" s="3"/>
      <c r="M422" s="3"/>
      <c r="N422" s="3"/>
      <c r="O422" s="3"/>
      <c r="P422" s="3"/>
      <c r="Q422" s="3"/>
      <c r="R422" s="3"/>
      <c r="S422" s="3"/>
      <c r="T422" s="3"/>
      <c r="U422" s="3"/>
      <c r="V422" s="3"/>
      <c r="W422" s="3"/>
      <c r="X422" s="3"/>
      <c r="Y422" s="3"/>
      <c r="Z422" s="3"/>
    </row>
    <row r="423" spans="1:26" ht="16.5" customHeight="1" x14ac:dyDescent="0.35">
      <c r="A423" s="3"/>
      <c r="B423" s="763" t="s">
        <v>9</v>
      </c>
      <c r="C423" s="764" t="s">
        <v>690</v>
      </c>
      <c r="D423" s="765" t="s">
        <v>691</v>
      </c>
      <c r="E423" s="765" t="s">
        <v>692</v>
      </c>
      <c r="F423" s="764"/>
      <c r="G423" s="766" t="s">
        <v>693</v>
      </c>
      <c r="H423" s="3"/>
      <c r="I423" s="236"/>
      <c r="J423" s="236"/>
      <c r="K423" s="3"/>
      <c r="L423" s="3"/>
      <c r="M423" s="3"/>
      <c r="N423" s="3"/>
      <c r="O423" s="3"/>
      <c r="P423" s="3"/>
      <c r="Q423" s="3"/>
      <c r="R423" s="3"/>
      <c r="S423" s="3"/>
      <c r="T423" s="3"/>
      <c r="U423" s="3"/>
      <c r="V423" s="3"/>
      <c r="W423" s="3"/>
      <c r="X423" s="3"/>
      <c r="Y423" s="3"/>
      <c r="Z423" s="3"/>
    </row>
    <row r="424" spans="1:26" ht="15.75" customHeight="1" x14ac:dyDescent="0.25">
      <c r="A424" s="3"/>
      <c r="B424" s="769" t="s">
        <v>53</v>
      </c>
      <c r="C424" s="771">
        <f>C405/1000</f>
        <v>225613.36701600003</v>
      </c>
      <c r="D424" s="772">
        <f>L55+L62</f>
        <v>461.60369068234735</v>
      </c>
      <c r="E424" s="648">
        <f t="shared" ref="E424:E427" si="9">D424*0.90718474</f>
        <v>418.75982411470574</v>
      </c>
      <c r="F424" s="624">
        <f t="shared" ref="F424:F427" si="10">$J$425</f>
        <v>27.9</v>
      </c>
      <c r="G424" s="773">
        <f t="shared" ref="G424:G427" si="11">(E424*F424)/1000000</f>
        <v>1.1683399092800289E-2</v>
      </c>
      <c r="H424" s="3"/>
      <c r="I424" s="241" t="s">
        <v>188</v>
      </c>
      <c r="J424" s="243">
        <f>Summary!E4</f>
        <v>1</v>
      </c>
      <c r="K424" s="3"/>
      <c r="L424" s="3"/>
      <c r="M424" s="3"/>
      <c r="N424" s="3"/>
      <c r="O424" s="3"/>
      <c r="P424" s="3"/>
      <c r="Q424" s="3"/>
      <c r="R424" s="3"/>
      <c r="S424" s="3"/>
      <c r="T424" s="3"/>
      <c r="U424" s="3"/>
      <c r="V424" s="3"/>
      <c r="W424" s="3"/>
      <c r="X424" s="3"/>
      <c r="Y424" s="3"/>
      <c r="Z424" s="3"/>
    </row>
    <row r="425" spans="1:26" ht="15.75" customHeight="1" x14ac:dyDescent="0.25">
      <c r="A425" s="3"/>
      <c r="B425" s="769" t="s">
        <v>703</v>
      </c>
      <c r="C425" s="771">
        <f>J243/1000</f>
        <v>1804.1313567367617</v>
      </c>
      <c r="D425" s="772">
        <f>L243</f>
        <v>3.6689612981783335</v>
      </c>
      <c r="E425" s="648">
        <f t="shared" si="9"/>
        <v>3.3284257013579741</v>
      </c>
      <c r="F425" s="624">
        <f t="shared" si="10"/>
        <v>27.9</v>
      </c>
      <c r="G425" s="773">
        <f t="shared" si="11"/>
        <v>9.2863077067887481E-5</v>
      </c>
      <c r="H425" s="3"/>
      <c r="I425" s="241" t="s">
        <v>192</v>
      </c>
      <c r="J425" s="243">
        <f>Summary!E5</f>
        <v>27.9</v>
      </c>
      <c r="K425" s="3"/>
      <c r="L425" s="3"/>
      <c r="M425" s="3"/>
      <c r="N425" s="3"/>
      <c r="O425" s="3"/>
      <c r="P425" s="3"/>
      <c r="Q425" s="3"/>
      <c r="R425" s="3"/>
      <c r="S425" s="3"/>
      <c r="T425" s="3"/>
      <c r="U425" s="3"/>
      <c r="V425" s="3"/>
      <c r="W425" s="3"/>
      <c r="X425" s="3"/>
      <c r="Y425" s="3"/>
      <c r="Z425" s="3"/>
    </row>
    <row r="426" spans="1:26" ht="15.75" customHeight="1" x14ac:dyDescent="0.25">
      <c r="A426" s="3"/>
      <c r="B426" s="769" t="s">
        <v>704</v>
      </c>
      <c r="C426" s="771">
        <f>J287/1000</f>
        <v>842.63684530900002</v>
      </c>
      <c r="D426" s="772">
        <f>L287</f>
        <v>1.629046185748185</v>
      </c>
      <c r="E426" s="648">
        <f t="shared" si="9"/>
        <v>1.4778458404659591</v>
      </c>
      <c r="F426" s="624">
        <f t="shared" si="10"/>
        <v>27.9</v>
      </c>
      <c r="G426" s="773">
        <f t="shared" si="11"/>
        <v>4.1231898949000259E-5</v>
      </c>
      <c r="H426" s="3"/>
      <c r="I426" s="241" t="s">
        <v>194</v>
      </c>
      <c r="J426" s="243">
        <f>Summary!E6</f>
        <v>273</v>
      </c>
      <c r="K426" s="3"/>
      <c r="L426" s="3"/>
      <c r="M426" s="3"/>
      <c r="N426" s="3"/>
      <c r="O426" s="3"/>
      <c r="P426" s="3"/>
      <c r="Q426" s="3"/>
      <c r="R426" s="3"/>
      <c r="S426" s="3"/>
      <c r="T426" s="3"/>
      <c r="U426" s="3"/>
      <c r="V426" s="3"/>
      <c r="W426" s="3"/>
      <c r="X426" s="3"/>
      <c r="Y426" s="3"/>
      <c r="Z426" s="3"/>
    </row>
    <row r="427" spans="1:26" ht="15.75" customHeight="1" x14ac:dyDescent="0.25">
      <c r="A427" s="3"/>
      <c r="B427" s="769" t="s">
        <v>77</v>
      </c>
      <c r="C427" s="771">
        <f>J393/1000</f>
        <v>25646.912286970924</v>
      </c>
      <c r="D427" s="772">
        <f>L393</f>
        <v>46.118157938978527</v>
      </c>
      <c r="E427" s="648">
        <f t="shared" si="9"/>
        <v>41.837689119151172</v>
      </c>
      <c r="F427" s="624">
        <f t="shared" si="10"/>
        <v>27.9</v>
      </c>
      <c r="G427" s="773">
        <f t="shared" si="11"/>
        <v>1.1672715264243177E-3</v>
      </c>
      <c r="H427" s="3"/>
      <c r="I427" s="241" t="s">
        <v>197</v>
      </c>
      <c r="J427" s="243">
        <f>Summary!E7</f>
        <v>24300</v>
      </c>
      <c r="K427" s="3"/>
      <c r="L427" s="3"/>
      <c r="M427" s="3"/>
      <c r="N427" s="3"/>
      <c r="O427" s="3"/>
      <c r="P427" s="3"/>
      <c r="Q427" s="3"/>
      <c r="R427" s="3"/>
      <c r="S427" s="3"/>
      <c r="T427" s="3"/>
      <c r="U427" s="3"/>
      <c r="V427" s="3"/>
      <c r="W427" s="3"/>
      <c r="X427" s="3"/>
      <c r="Y427" s="3"/>
      <c r="Z427" s="3"/>
    </row>
    <row r="428" spans="1:26" ht="15.75" customHeight="1" x14ac:dyDescent="0.25">
      <c r="A428" s="3"/>
      <c r="B428" s="788"/>
      <c r="C428" s="790"/>
      <c r="D428" s="792">
        <f>SUM(D424:D427)</f>
        <v>513.0198561052523</v>
      </c>
      <c r="E428" s="790"/>
      <c r="F428" s="793" t="s">
        <v>205</v>
      </c>
      <c r="G428" s="794">
        <f>SUM(G424:G427)</f>
        <v>1.2984765595241494E-2</v>
      </c>
      <c r="H428" s="3"/>
      <c r="I428" s="241"/>
      <c r="J428" s="243"/>
      <c r="K428" s="3"/>
      <c r="L428" s="3"/>
      <c r="M428" s="3"/>
      <c r="N428" s="3"/>
      <c r="O428" s="3"/>
      <c r="P428" s="3"/>
      <c r="Q428" s="3"/>
      <c r="R428" s="3"/>
      <c r="S428" s="3"/>
      <c r="T428" s="3"/>
      <c r="U428" s="3"/>
      <c r="V428" s="3"/>
      <c r="W428" s="3"/>
      <c r="X428" s="3"/>
      <c r="Y428" s="3"/>
      <c r="Z428" s="3"/>
    </row>
    <row r="429" spans="1:26" ht="15.75" customHeight="1"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24" customHeight="1" x14ac:dyDescent="0.45">
      <c r="A430" s="3"/>
      <c r="B430" s="721" t="s">
        <v>708</v>
      </c>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25">
      <c r="A431" s="3"/>
      <c r="B431" s="721" t="s">
        <v>709</v>
      </c>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21" customHeight="1" x14ac:dyDescent="0.4">
      <c r="A432" s="3"/>
      <c r="B432" s="3" t="s">
        <v>710</v>
      </c>
      <c r="C432" s="20"/>
      <c r="D432" s="20"/>
      <c r="E432" s="20">
        <v>2011</v>
      </c>
      <c r="F432" s="20"/>
      <c r="G432" s="20"/>
      <c r="H432" s="3"/>
      <c r="I432" s="3"/>
      <c r="J432" s="3"/>
      <c r="K432" s="3"/>
      <c r="L432" s="3"/>
      <c r="M432" s="3"/>
      <c r="N432" s="3"/>
      <c r="O432" s="3"/>
      <c r="P432" s="3"/>
      <c r="Q432" s="3"/>
      <c r="R432" s="3"/>
      <c r="S432" s="3"/>
      <c r="T432" s="3"/>
      <c r="U432" s="3"/>
      <c r="V432" s="3"/>
      <c r="W432" s="3"/>
      <c r="X432" s="3"/>
      <c r="Y432" s="3"/>
      <c r="Z432" s="3"/>
    </row>
    <row r="433" spans="1:26" ht="15.75" customHeight="1" x14ac:dyDescent="0.25">
      <c r="A433" s="3"/>
      <c r="B433" s="3"/>
      <c r="C433" s="20"/>
      <c r="D433" s="20"/>
      <c r="E433" s="20"/>
      <c r="F433" s="20"/>
      <c r="G433" s="20"/>
      <c r="H433" s="3"/>
      <c r="I433" s="3"/>
      <c r="J433" s="3"/>
      <c r="K433" s="3"/>
      <c r="L433" s="3"/>
      <c r="M433" s="3"/>
      <c r="N433" s="3"/>
      <c r="O433" s="3"/>
      <c r="P433" s="3"/>
      <c r="Q433" s="3"/>
      <c r="R433" s="3"/>
      <c r="S433" s="3"/>
      <c r="T433" s="3"/>
      <c r="U433" s="3"/>
      <c r="V433" s="3"/>
      <c r="W433" s="3"/>
      <c r="X433" s="3"/>
      <c r="Y433" s="3"/>
      <c r="Z433" s="3"/>
    </row>
    <row r="434" spans="1:26" ht="15.75" customHeight="1" x14ac:dyDescent="0.25">
      <c r="A434" s="3"/>
      <c r="B434" s="797"/>
      <c r="C434" s="799" t="s">
        <v>685</v>
      </c>
      <c r="D434" s="800" t="s">
        <v>19</v>
      </c>
      <c r="E434" s="800" t="s">
        <v>19</v>
      </c>
      <c r="F434" s="799" t="s">
        <v>688</v>
      </c>
      <c r="G434" s="801" t="s">
        <v>686</v>
      </c>
      <c r="H434" s="3"/>
      <c r="I434" s="3"/>
      <c r="J434" s="3"/>
      <c r="K434" s="3"/>
      <c r="L434" s="3"/>
      <c r="M434" s="3"/>
      <c r="N434" s="3"/>
      <c r="O434" s="3"/>
      <c r="P434" s="3"/>
      <c r="Q434" s="3"/>
      <c r="R434" s="3"/>
      <c r="S434" s="3"/>
      <c r="T434" s="3"/>
      <c r="U434" s="3"/>
      <c r="V434" s="3"/>
      <c r="W434" s="3"/>
      <c r="X434" s="3"/>
      <c r="Y434" s="3"/>
      <c r="Z434" s="3"/>
    </row>
    <row r="435" spans="1:26" ht="16.5" customHeight="1" x14ac:dyDescent="0.35">
      <c r="A435" s="3"/>
      <c r="B435" s="802" t="s">
        <v>9</v>
      </c>
      <c r="C435" s="803" t="s">
        <v>690</v>
      </c>
      <c r="D435" s="804" t="s">
        <v>712</v>
      </c>
      <c r="E435" s="804" t="s">
        <v>713</v>
      </c>
      <c r="F435" s="803"/>
      <c r="G435" s="805" t="s">
        <v>714</v>
      </c>
      <c r="H435" s="3"/>
      <c r="I435" s="3"/>
      <c r="J435" s="3"/>
      <c r="K435" s="3"/>
      <c r="L435" s="3"/>
      <c r="M435" s="3"/>
      <c r="N435" s="3"/>
      <c r="O435" s="3"/>
      <c r="P435" s="3"/>
      <c r="Q435" s="3"/>
      <c r="R435" s="3"/>
      <c r="S435" s="3"/>
      <c r="T435" s="3"/>
      <c r="U435" s="3"/>
      <c r="V435" s="3"/>
      <c r="W435" s="3"/>
      <c r="X435" s="3"/>
      <c r="Y435" s="3"/>
      <c r="Z435" s="3"/>
    </row>
    <row r="436" spans="1:26" ht="15.75" customHeight="1" x14ac:dyDescent="0.25">
      <c r="A436" s="3"/>
      <c r="B436" s="623" t="s">
        <v>53</v>
      </c>
      <c r="C436" s="771">
        <f t="shared" ref="C436:C439" si="12">C424</f>
        <v>225613.36701600003</v>
      </c>
      <c r="D436" s="807">
        <f>M55+M62</f>
        <v>266.80721122700658</v>
      </c>
      <c r="E436" s="648">
        <f t="shared" ref="E436:E439" si="13">D436*0.90718474</f>
        <v>242.04343054709705</v>
      </c>
      <c r="F436" s="624">
        <f t="shared" ref="F436:F439" si="14">$J$426</f>
        <v>273</v>
      </c>
      <c r="G436" s="809">
        <f t="shared" ref="G436:G439" si="15">E436*F436/1000000</f>
        <v>6.6077856539357493E-2</v>
      </c>
      <c r="H436" s="3"/>
      <c r="I436" s="3"/>
      <c r="J436" s="3"/>
      <c r="K436" s="3"/>
      <c r="L436" s="3"/>
      <c r="M436" s="3"/>
      <c r="N436" s="3"/>
      <c r="O436" s="3"/>
      <c r="P436" s="3"/>
      <c r="Q436" s="3"/>
      <c r="R436" s="3"/>
      <c r="S436" s="3"/>
      <c r="T436" s="3"/>
      <c r="U436" s="3"/>
      <c r="V436" s="3"/>
      <c r="W436" s="3"/>
      <c r="X436" s="3"/>
      <c r="Y436" s="3"/>
      <c r="Z436" s="3"/>
    </row>
    <row r="437" spans="1:26" ht="15.75" customHeight="1" x14ac:dyDescent="0.25">
      <c r="A437" s="3"/>
      <c r="B437" s="623" t="s">
        <v>703</v>
      </c>
      <c r="C437" s="771">
        <f t="shared" si="12"/>
        <v>1804.1313567367617</v>
      </c>
      <c r="D437" s="807">
        <f>M243</f>
        <v>3.5683588965733426</v>
      </c>
      <c r="E437" s="648">
        <f t="shared" si="13"/>
        <v>3.237160737814575</v>
      </c>
      <c r="F437" s="624">
        <f t="shared" si="14"/>
        <v>273</v>
      </c>
      <c r="G437" s="809">
        <f t="shared" si="15"/>
        <v>8.8374488142337895E-4</v>
      </c>
      <c r="H437" s="3"/>
      <c r="I437" s="3"/>
      <c r="J437" s="3"/>
      <c r="K437" s="3"/>
      <c r="L437" s="3"/>
      <c r="M437" s="3"/>
      <c r="N437" s="3"/>
      <c r="O437" s="3"/>
      <c r="P437" s="3"/>
      <c r="Q437" s="3"/>
      <c r="R437" s="3"/>
      <c r="S437" s="3"/>
      <c r="T437" s="3"/>
      <c r="U437" s="3"/>
      <c r="V437" s="3"/>
      <c r="W437" s="3"/>
      <c r="X437" s="3"/>
      <c r="Y437" s="3"/>
      <c r="Z437" s="3"/>
    </row>
    <row r="438" spans="1:26" ht="15.75" customHeight="1" x14ac:dyDescent="0.25">
      <c r="A438" s="3"/>
      <c r="B438" s="623" t="s">
        <v>704</v>
      </c>
      <c r="C438" s="771">
        <f t="shared" si="12"/>
        <v>842.63684530900002</v>
      </c>
      <c r="D438" s="807">
        <f>M287</f>
        <v>1.1718190251999789</v>
      </c>
      <c r="E438" s="648">
        <f t="shared" si="13"/>
        <v>1.0630563377030964</v>
      </c>
      <c r="F438" s="624">
        <f t="shared" si="14"/>
        <v>273</v>
      </c>
      <c r="G438" s="809">
        <f t="shared" si="15"/>
        <v>2.9021438019294533E-4</v>
      </c>
      <c r="H438" s="3"/>
      <c r="I438" s="3"/>
      <c r="J438" s="3"/>
      <c r="K438" s="3"/>
      <c r="L438" s="3"/>
      <c r="M438" s="3"/>
      <c r="N438" s="3"/>
      <c r="O438" s="3"/>
      <c r="P438" s="3"/>
      <c r="Q438" s="3"/>
      <c r="R438" s="3"/>
      <c r="S438" s="3"/>
      <c r="T438" s="3"/>
      <c r="U438" s="3"/>
      <c r="V438" s="3"/>
      <c r="W438" s="3"/>
      <c r="X438" s="3"/>
      <c r="Y438" s="3"/>
      <c r="Z438" s="3"/>
    </row>
    <row r="439" spans="1:26" ht="15.75" customHeight="1" x14ac:dyDescent="0.25">
      <c r="A439" s="3"/>
      <c r="B439" s="623" t="s">
        <v>77</v>
      </c>
      <c r="C439" s="771">
        <f t="shared" si="12"/>
        <v>25646.912286970924</v>
      </c>
      <c r="D439" s="807">
        <f>M393</f>
        <v>16.41812203366425</v>
      </c>
      <c r="E439" s="648">
        <f t="shared" si="13"/>
        <v>14.894269768397974</v>
      </c>
      <c r="F439" s="624">
        <f t="shared" si="14"/>
        <v>273</v>
      </c>
      <c r="G439" s="809">
        <f t="shared" si="15"/>
        <v>4.066135646772647E-3</v>
      </c>
      <c r="H439" s="3"/>
      <c r="I439" s="3"/>
      <c r="J439" s="3"/>
      <c r="K439" s="3"/>
      <c r="L439" s="3"/>
      <c r="M439" s="3"/>
      <c r="N439" s="3"/>
      <c r="O439" s="3"/>
      <c r="P439" s="3"/>
      <c r="Q439" s="3"/>
      <c r="R439" s="3"/>
      <c r="S439" s="3"/>
      <c r="T439" s="3"/>
      <c r="U439" s="3"/>
      <c r="V439" s="3"/>
      <c r="W439" s="3"/>
      <c r="X439" s="3"/>
      <c r="Y439" s="3"/>
      <c r="Z439" s="3"/>
    </row>
    <row r="440" spans="1:26" ht="15.75" customHeight="1" x14ac:dyDescent="0.25">
      <c r="A440" s="3"/>
      <c r="B440" s="817"/>
      <c r="C440" s="790"/>
      <c r="D440" s="790"/>
      <c r="E440" s="790"/>
      <c r="F440" s="793" t="s">
        <v>205</v>
      </c>
      <c r="G440" s="820">
        <f>SUM(G436:G439)</f>
        <v>7.1317951447746469E-2</v>
      </c>
      <c r="H440" s="3"/>
      <c r="I440" s="3"/>
      <c r="J440" s="3"/>
      <c r="K440" s="3"/>
      <c r="L440" s="3"/>
      <c r="M440" s="3"/>
      <c r="N440" s="3"/>
      <c r="O440" s="3"/>
      <c r="P440" s="3"/>
      <c r="Q440" s="3"/>
      <c r="R440" s="3"/>
      <c r="S440" s="3"/>
      <c r="T440" s="3"/>
      <c r="U440" s="3"/>
      <c r="V440" s="3"/>
      <c r="W440" s="3"/>
      <c r="X440" s="3"/>
      <c r="Y440" s="3"/>
      <c r="Z440" s="3"/>
    </row>
    <row r="441" spans="1:26" ht="15.75" customHeight="1" x14ac:dyDescent="0.25">
      <c r="A441" s="3"/>
      <c r="B441" s="3"/>
      <c r="C441" s="20"/>
      <c r="D441" s="20"/>
      <c r="E441" s="20"/>
      <c r="F441" s="13"/>
      <c r="G441" s="822"/>
      <c r="H441" s="3"/>
      <c r="I441" s="3"/>
      <c r="J441" s="3"/>
      <c r="K441" s="3"/>
      <c r="L441" s="3"/>
      <c r="M441" s="3"/>
      <c r="N441" s="3"/>
      <c r="O441" s="3"/>
      <c r="P441" s="3"/>
      <c r="Q441" s="3"/>
      <c r="R441" s="3"/>
      <c r="S441" s="3"/>
      <c r="T441" s="3"/>
      <c r="U441" s="3"/>
      <c r="V441" s="3"/>
      <c r="W441" s="3"/>
      <c r="X441" s="3"/>
      <c r="Y441" s="3"/>
      <c r="Z441" s="3"/>
    </row>
    <row r="442" spans="1:26" ht="15.75" customHeight="1"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25">
      <c r="A443" s="3"/>
      <c r="B443" s="721" t="s">
        <v>723</v>
      </c>
      <c r="C443" s="20"/>
      <c r="D443" s="20"/>
      <c r="E443" s="20"/>
      <c r="F443" s="13"/>
      <c r="G443" s="822"/>
      <c r="H443" s="3"/>
      <c r="I443" s="3"/>
      <c r="J443" s="3"/>
      <c r="K443" s="3"/>
      <c r="L443" s="3"/>
      <c r="M443" s="3"/>
      <c r="N443" s="3"/>
      <c r="O443" s="3"/>
      <c r="P443" s="3"/>
      <c r="Q443" s="3"/>
      <c r="R443" s="3"/>
      <c r="S443" s="3"/>
      <c r="T443" s="3"/>
      <c r="U443" s="3"/>
      <c r="V443" s="3"/>
      <c r="W443" s="3"/>
      <c r="X443" s="3"/>
      <c r="Y443" s="3"/>
      <c r="Z443" s="3"/>
    </row>
    <row r="444" spans="1:26" ht="15.75" customHeight="1" x14ac:dyDescent="0.25">
      <c r="A444" s="3"/>
      <c r="B444" s="721" t="s">
        <v>709</v>
      </c>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25">
      <c r="A445" s="3"/>
      <c r="B445" s="3" t="s">
        <v>724</v>
      </c>
      <c r="C445" s="20"/>
      <c r="D445" s="20"/>
      <c r="E445" s="20">
        <v>2011</v>
      </c>
      <c r="F445" s="20"/>
      <c r="G445" s="20"/>
      <c r="H445" s="3"/>
      <c r="I445" s="3"/>
      <c r="J445" s="3"/>
      <c r="K445" s="3"/>
      <c r="L445" s="3"/>
      <c r="M445" s="3"/>
      <c r="N445" s="3"/>
      <c r="O445" s="3"/>
      <c r="P445" s="3"/>
      <c r="Q445" s="3"/>
      <c r="R445" s="3"/>
      <c r="S445" s="3"/>
      <c r="T445" s="3"/>
      <c r="U445" s="3"/>
      <c r="V445" s="3"/>
      <c r="W445" s="3"/>
      <c r="X445" s="3"/>
      <c r="Y445" s="3"/>
      <c r="Z445" s="3"/>
    </row>
    <row r="446" spans="1:26" ht="15.75" customHeight="1"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25">
      <c r="A447" s="3"/>
      <c r="B447" s="825"/>
      <c r="C447" s="826"/>
      <c r="D447" s="827" t="s">
        <v>686</v>
      </c>
      <c r="E447" s="828" t="s">
        <v>686</v>
      </c>
      <c r="F447" s="828" t="s">
        <v>686</v>
      </c>
      <c r="G447" s="829" t="s">
        <v>686</v>
      </c>
      <c r="H447" s="3"/>
      <c r="I447" s="3"/>
      <c r="J447" s="3"/>
      <c r="K447" s="3"/>
      <c r="L447" s="3"/>
      <c r="M447" s="3"/>
      <c r="N447" s="3"/>
      <c r="O447" s="3"/>
      <c r="P447" s="3"/>
      <c r="Q447" s="3"/>
      <c r="R447" s="3"/>
      <c r="S447" s="3"/>
      <c r="T447" s="3"/>
      <c r="U447" s="3"/>
      <c r="V447" s="3"/>
      <c r="W447" s="3"/>
      <c r="X447" s="3"/>
      <c r="Y447" s="3"/>
      <c r="Z447" s="3"/>
    </row>
    <row r="448" spans="1:26" ht="16.5" customHeight="1" x14ac:dyDescent="0.35">
      <c r="A448" s="3"/>
      <c r="B448" s="564"/>
      <c r="C448" s="830" t="s">
        <v>685</v>
      </c>
      <c r="D448" s="831" t="s">
        <v>728</v>
      </c>
      <c r="E448" s="832" t="s">
        <v>729</v>
      </c>
      <c r="F448" s="832" t="s">
        <v>730</v>
      </c>
      <c r="G448" s="833" t="s">
        <v>205</v>
      </c>
      <c r="H448" s="3"/>
      <c r="I448" s="3"/>
      <c r="J448" s="3"/>
      <c r="K448" s="3"/>
      <c r="L448" s="3"/>
      <c r="M448" s="3"/>
      <c r="N448" s="3"/>
      <c r="O448" s="3"/>
      <c r="P448" s="3"/>
      <c r="Q448" s="3"/>
      <c r="R448" s="3"/>
      <c r="S448" s="3"/>
      <c r="T448" s="3"/>
      <c r="U448" s="3"/>
      <c r="V448" s="3"/>
      <c r="W448" s="3"/>
      <c r="X448" s="3"/>
      <c r="Y448" s="3"/>
      <c r="Z448" s="3"/>
    </row>
    <row r="449" spans="1:26" ht="16.5" customHeight="1" x14ac:dyDescent="0.35">
      <c r="A449" s="3"/>
      <c r="B449" s="838" t="s">
        <v>9</v>
      </c>
      <c r="C449" s="839" t="s">
        <v>690</v>
      </c>
      <c r="D449" s="831" t="s">
        <v>733</v>
      </c>
      <c r="E449" s="832" t="s">
        <v>734</v>
      </c>
      <c r="F449" s="832" t="s">
        <v>736</v>
      </c>
      <c r="G449" s="833" t="s">
        <v>737</v>
      </c>
      <c r="H449" s="3"/>
      <c r="I449" s="3"/>
      <c r="J449" s="3"/>
      <c r="K449" s="3"/>
      <c r="L449" s="3"/>
      <c r="M449" s="3"/>
      <c r="N449" s="3"/>
      <c r="O449" s="3"/>
      <c r="P449" s="3"/>
      <c r="Q449" s="3"/>
      <c r="R449" s="3"/>
      <c r="S449" s="3"/>
      <c r="T449" s="3"/>
      <c r="U449" s="3"/>
      <c r="V449" s="3"/>
      <c r="W449" s="3"/>
      <c r="X449" s="3"/>
      <c r="Y449" s="3"/>
      <c r="Z449" s="3"/>
    </row>
    <row r="450" spans="1:26" ht="15.75" customHeight="1" x14ac:dyDescent="0.25">
      <c r="A450" s="3"/>
      <c r="B450" s="623" t="s">
        <v>53</v>
      </c>
      <c r="C450" s="843">
        <f t="shared" ref="C450:C453" si="16">C436</f>
        <v>225613.36701600003</v>
      </c>
      <c r="D450" s="848">
        <f>D405*0.90718474/1000000</f>
        <v>21.852381106171343</v>
      </c>
      <c r="E450" s="848">
        <f t="shared" ref="E450:E453" si="17">G436</f>
        <v>6.6077856539357493E-2</v>
      </c>
      <c r="F450" s="848">
        <f t="shared" ref="F450:F453" si="18">G424</f>
        <v>1.1683399092800289E-2</v>
      </c>
      <c r="G450" s="855">
        <f t="shared" ref="G450:G453" si="19">D450+E450+F450</f>
        <v>21.930142361803501</v>
      </c>
      <c r="H450" s="3"/>
      <c r="I450" s="3"/>
      <c r="J450" s="3"/>
      <c r="K450" s="3"/>
      <c r="L450" s="3"/>
      <c r="M450" s="3"/>
      <c r="N450" s="3"/>
      <c r="O450" s="3"/>
      <c r="P450" s="3"/>
      <c r="Q450" s="3"/>
      <c r="R450" s="3"/>
      <c r="S450" s="3"/>
      <c r="T450" s="3"/>
      <c r="U450" s="3"/>
      <c r="V450" s="3"/>
      <c r="W450" s="3"/>
      <c r="X450" s="3"/>
      <c r="Y450" s="3"/>
      <c r="Z450" s="3"/>
    </row>
    <row r="451" spans="1:26" ht="15.75" customHeight="1" x14ac:dyDescent="0.25">
      <c r="A451" s="3"/>
      <c r="B451" s="623" t="s">
        <v>703</v>
      </c>
      <c r="C451" s="771">
        <f t="shared" si="16"/>
        <v>1804.1313567367617</v>
      </c>
      <c r="D451" s="859">
        <f>(K243*0.90718474)/1000000</f>
        <v>0.13522355827553242</v>
      </c>
      <c r="E451" s="859">
        <f t="shared" si="17"/>
        <v>8.8374488142337895E-4</v>
      </c>
      <c r="F451" s="859">
        <f t="shared" si="18"/>
        <v>9.2863077067887481E-5</v>
      </c>
      <c r="G451" s="861">
        <f t="shared" si="19"/>
        <v>0.13620016623402367</v>
      </c>
      <c r="H451" s="3"/>
      <c r="I451" s="3"/>
      <c r="J451" s="3"/>
      <c r="K451" s="3"/>
      <c r="L451" s="3"/>
      <c r="M451" s="3"/>
      <c r="N451" s="3"/>
      <c r="O451" s="3"/>
      <c r="P451" s="3"/>
      <c r="Q451" s="3"/>
      <c r="R451" s="3"/>
      <c r="S451" s="3"/>
      <c r="T451" s="3"/>
      <c r="U451" s="3"/>
      <c r="V451" s="3"/>
      <c r="W451" s="3"/>
      <c r="X451" s="3"/>
      <c r="Y451" s="3"/>
      <c r="Z451" s="3"/>
    </row>
    <row r="452" spans="1:26" ht="15.75" customHeight="1" x14ac:dyDescent="0.25">
      <c r="A452" s="3"/>
      <c r="B452" s="623" t="s">
        <v>704</v>
      </c>
      <c r="C452" s="771">
        <f t="shared" si="16"/>
        <v>842.63684530900002</v>
      </c>
      <c r="D452" s="859">
        <f>(K287*0.90718474)/1000000</f>
        <v>5.9404237516808879E-2</v>
      </c>
      <c r="E452" s="859">
        <f t="shared" si="17"/>
        <v>2.9021438019294533E-4</v>
      </c>
      <c r="F452" s="859">
        <f t="shared" si="18"/>
        <v>4.1231898949000259E-5</v>
      </c>
      <c r="G452" s="861">
        <f t="shared" si="19"/>
        <v>5.9735683795950824E-2</v>
      </c>
      <c r="H452" s="3"/>
      <c r="I452" s="3"/>
      <c r="J452" s="3"/>
      <c r="K452" s="3"/>
      <c r="L452" s="3"/>
      <c r="M452" s="3"/>
      <c r="N452" s="3"/>
      <c r="O452" s="3"/>
      <c r="P452" s="3"/>
      <c r="Q452" s="3"/>
      <c r="R452" s="3"/>
      <c r="S452" s="3"/>
      <c r="T452" s="3"/>
      <c r="U452" s="3"/>
      <c r="V452" s="3"/>
      <c r="W452" s="3"/>
      <c r="X452" s="3"/>
      <c r="Y452" s="3"/>
      <c r="Z452" s="3"/>
    </row>
    <row r="453" spans="1:26" ht="15.75" customHeight="1" x14ac:dyDescent="0.25">
      <c r="A453" s="3"/>
      <c r="B453" s="623" t="s">
        <v>77</v>
      </c>
      <c r="C453" s="771">
        <f t="shared" si="16"/>
        <v>25646.912286970924</v>
      </c>
      <c r="D453" s="859">
        <f>(K393*0.90718474)/1000000</f>
        <v>2.4133302497043454</v>
      </c>
      <c r="E453" s="859">
        <f t="shared" si="17"/>
        <v>4.066135646772647E-3</v>
      </c>
      <c r="F453" s="859">
        <f t="shared" si="18"/>
        <v>1.1672715264243177E-3</v>
      </c>
      <c r="G453" s="861">
        <f t="shared" si="19"/>
        <v>2.4185636568775424</v>
      </c>
      <c r="H453" s="3"/>
      <c r="I453" s="3"/>
      <c r="J453" s="3"/>
      <c r="K453" s="3"/>
      <c r="L453" s="3"/>
      <c r="M453" s="3"/>
      <c r="N453" s="3"/>
      <c r="O453" s="3"/>
      <c r="P453" s="3"/>
      <c r="Q453" s="3"/>
      <c r="R453" s="3"/>
      <c r="S453" s="3"/>
      <c r="T453" s="3"/>
      <c r="U453" s="3"/>
      <c r="V453" s="3"/>
      <c r="W453" s="3"/>
      <c r="X453" s="3"/>
      <c r="Y453" s="3"/>
      <c r="Z453" s="3"/>
    </row>
    <row r="454" spans="1:26" ht="15.75" customHeight="1" x14ac:dyDescent="0.25">
      <c r="A454" s="3"/>
      <c r="B454" s="817"/>
      <c r="C454" s="872"/>
      <c r="D454" s="880">
        <f t="shared" ref="D454:F454" si="20">SUM(D450:D453)</f>
        <v>24.46033915166803</v>
      </c>
      <c r="E454" s="880">
        <f t="shared" si="20"/>
        <v>7.1317951447746469E-2</v>
      </c>
      <c r="F454" s="880">
        <f t="shared" si="20"/>
        <v>1.2984765595241494E-2</v>
      </c>
      <c r="G454" s="884">
        <f>SUM(D454:F454)</f>
        <v>24.544641868711018</v>
      </c>
      <c r="H454" s="3"/>
      <c r="I454" s="3"/>
      <c r="J454" s="3"/>
      <c r="K454" s="3"/>
      <c r="L454" s="3"/>
      <c r="M454" s="3"/>
      <c r="N454" s="3"/>
      <c r="O454" s="3"/>
      <c r="P454" s="3"/>
      <c r="Q454" s="3"/>
      <c r="R454" s="3"/>
      <c r="S454" s="3"/>
      <c r="T454" s="3"/>
      <c r="U454" s="3"/>
      <c r="V454" s="3"/>
      <c r="W454" s="3"/>
      <c r="X454" s="3"/>
      <c r="Y454" s="3"/>
      <c r="Z454" s="3"/>
    </row>
    <row r="455" spans="1:26" ht="15.75" customHeight="1"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ht="15.75" customHeight="1"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ht="15.75" customHeight="1"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ht="15.75" customHeight="1"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ht="15.75" customHeight="1"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ht="15.75" customHeight="1"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ht="15.75" customHeight="1"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ht="15.75" customHeight="1"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ht="15.75" customHeight="1"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ht="15.75" customHeight="1"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ht="15.75" customHeight="1"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ht="15.75" customHeight="1"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ht="15.75" customHeight="1"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ht="15.75" customHeight="1"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ht="15.75" customHeight="1"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ht="15.75" customHeight="1"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ht="15.75" customHeight="1"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ht="15.75" customHeight="1"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ht="15.75" customHeight="1"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ht="15.75" customHeight="1"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ht="15.75" customHeight="1"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ht="15.75" customHeight="1"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ht="15.75" customHeight="1"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ht="15.75" customHeight="1"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ht="15.75" customHeight="1"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ht="15.75" customHeight="1"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ht="15.75" customHeight="1"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ht="15.75" customHeight="1"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ht="15.75" customHeight="1"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ht="15.75" customHeight="1"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ht="15.75" customHeight="1"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ht="15.75" customHeight="1"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ht="15.75" customHeight="1"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ht="15.75" customHeight="1"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ht="15.75" customHeight="1"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ht="15.75" customHeight="1"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ht="15.75" customHeight="1"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ht="15.75" customHeight="1"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ht="15.75" customHeight="1"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ht="15.75" customHeight="1"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ht="15.75" customHeight="1"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ht="15.75" customHeight="1"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ht="15.75" customHeight="1"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ht="15.75" customHeight="1"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ht="15.75" customHeight="1"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ht="15.75" customHeight="1"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ht="15.75" customHeight="1"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ht="15.75" customHeight="1"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ht="15.75" customHeight="1"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ht="15.75" customHeight="1"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ht="15.75" customHeight="1"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ht="15.75" customHeight="1"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ht="15.75" customHeight="1"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ht="15.75" customHeight="1"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ht="15.75" customHeight="1"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ht="15.75" customHeight="1"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ht="15.75" customHeight="1"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ht="15.75" customHeight="1"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ht="15.75" customHeight="1"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ht="15.75" customHeight="1"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ht="15.75" customHeight="1"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ht="15.75" customHeight="1"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ht="15.75" customHeight="1"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ht="15.75" customHeight="1"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ht="15.75" customHeight="1"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ht="15.75" customHeight="1"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ht="15.75" customHeight="1"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ht="15.75" customHeight="1"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ht="15.75" customHeight="1"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ht="15.75" customHeight="1"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ht="15.75" customHeight="1"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ht="15.75" customHeight="1"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ht="15.75" customHeight="1"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ht="15.75" customHeight="1"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ht="15.75" customHeight="1"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ht="15.75" customHeight="1"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ht="15.75" customHeight="1"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ht="15.75" customHeight="1"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ht="15.75" customHeight="1"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ht="15.75" customHeight="1"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ht="15.75" customHeight="1"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ht="15.75" customHeight="1"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ht="15.75" customHeight="1"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ht="15.75" customHeight="1"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ht="15.75" customHeight="1"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ht="15.75" customHeight="1"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ht="15.75" customHeight="1"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ht="15.75" customHeight="1"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ht="15.75" customHeight="1"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ht="15.75" customHeight="1"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ht="15.75" customHeight="1"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ht="15.75" customHeight="1"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ht="15.75" customHeight="1"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ht="15.75" customHeight="1"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ht="15.75" customHeight="1"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ht="15.75" customHeight="1"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ht="15.75" customHeight="1"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ht="15.75" customHeight="1"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ht="15.75" customHeight="1"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ht="15.75" customHeight="1"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ht="15.75" customHeight="1"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ht="15.75" customHeight="1"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ht="15.75" customHeight="1"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ht="15.75" customHeight="1"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ht="15.75" customHeight="1"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ht="15.75" customHeight="1"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ht="15.75" customHeight="1"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ht="15.75" customHeight="1"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ht="15.75" customHeight="1"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ht="15.75" customHeight="1"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ht="15.75" customHeight="1"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ht="15.75" customHeight="1"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ht="15.75" customHeight="1"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ht="15.75" customHeight="1"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ht="15.75" customHeight="1"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ht="15.75" customHeight="1"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ht="15.75" customHeight="1"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ht="15.75" customHeight="1"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ht="15.75" customHeight="1"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ht="15.75" customHeight="1"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ht="15.75" customHeight="1"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ht="15.75" customHeight="1"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ht="15.75" customHeight="1"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ht="15.75" customHeight="1"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ht="15.75" customHeight="1"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ht="15.75" customHeight="1"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ht="15.75" customHeight="1"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ht="15.75" customHeight="1"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ht="15.75" customHeight="1"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ht="15.75" customHeight="1"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ht="15.75" customHeight="1"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ht="15.75" customHeight="1"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ht="15.75" customHeight="1"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ht="15.75" customHeight="1"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ht="15.75" customHeight="1"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ht="15.75" customHeight="1"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ht="15.75" customHeight="1"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ht="15.75" customHeight="1"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ht="15.75" customHeight="1"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ht="15.75" customHeight="1"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ht="15.75" customHeight="1"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ht="15.75" customHeight="1"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ht="15.75" customHeight="1"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ht="15.75" customHeight="1"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ht="15.75" customHeight="1"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ht="15.75" customHeight="1"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ht="15.75" customHeight="1"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ht="15.75" customHeight="1"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ht="15.75" customHeight="1"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ht="15.75" customHeight="1"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ht="15.75" customHeight="1"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ht="15.75" customHeight="1"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ht="15.75" customHeight="1"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ht="15.75" customHeight="1"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ht="15.75" customHeight="1"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ht="15.75" customHeight="1"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ht="15.75" customHeight="1"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ht="15.75" customHeight="1"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ht="15.75" customHeight="1"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ht="15.75" customHeight="1"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ht="15.75" customHeight="1"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ht="15.75" customHeight="1"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ht="15.75" customHeight="1"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ht="15.75" customHeight="1"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ht="15.75" customHeight="1"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ht="15.75" customHeight="1" x14ac:dyDescent="0.2"/>
    <row r="656" spans="1:2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2">
    <mergeCell ref="H293:I293"/>
    <mergeCell ref="I422:J422"/>
  </mergeCells>
  <pageMargins left="0.7" right="0.7" top="0.75" bottom="0.75" header="0" footer="0"/>
  <pageSetup orientation="landscape"/>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defaultColWidth="16.83203125" defaultRowHeight="15" customHeight="1" x14ac:dyDescent="0.2"/>
  <cols>
    <col min="1" max="1" width="3.83203125" customWidth="1"/>
    <col min="2" max="2" width="14.33203125" customWidth="1"/>
    <col min="3" max="3" width="34.5" customWidth="1"/>
    <col min="4" max="4" width="30.5" customWidth="1"/>
    <col min="5" max="5" width="13.5" customWidth="1"/>
    <col min="6" max="6" width="15.6640625" customWidth="1"/>
    <col min="7" max="7" width="13.5" customWidth="1"/>
    <col min="8" max="8" width="12.33203125" customWidth="1"/>
    <col min="9" max="9" width="18" customWidth="1"/>
    <col min="10" max="10" width="17.6640625" customWidth="1"/>
    <col min="11" max="11" width="21.33203125" customWidth="1"/>
    <col min="12" max="12" width="19.1640625" customWidth="1"/>
    <col min="13" max="13" width="19.33203125" customWidth="1"/>
    <col min="14" max="14" width="12.1640625" customWidth="1"/>
    <col min="15" max="15" width="11.5" customWidth="1"/>
    <col min="16" max="26" width="8" customWidth="1"/>
  </cols>
  <sheetData>
    <row r="1" spans="1:26" x14ac:dyDescent="0.25">
      <c r="A1" s="3"/>
      <c r="B1" s="3"/>
      <c r="C1" s="3"/>
      <c r="D1" s="3"/>
      <c r="E1" s="3"/>
      <c r="F1" s="3"/>
      <c r="G1" s="3"/>
      <c r="H1" s="3"/>
      <c r="I1" s="3"/>
      <c r="J1" s="3"/>
      <c r="K1" s="3"/>
      <c r="L1" s="3"/>
      <c r="M1" s="3"/>
      <c r="N1" s="3"/>
      <c r="O1" s="3"/>
      <c r="P1" s="3"/>
      <c r="Q1" s="3"/>
      <c r="R1" s="3"/>
      <c r="S1" s="3"/>
      <c r="T1" s="3"/>
      <c r="U1" s="3"/>
      <c r="V1" s="3"/>
      <c r="W1" s="3"/>
      <c r="X1" s="3"/>
      <c r="Y1" s="3"/>
      <c r="Z1" s="3"/>
    </row>
    <row r="2" spans="1:26" x14ac:dyDescent="0.25">
      <c r="A2" s="3"/>
      <c r="B2" s="3"/>
      <c r="C2" s="3"/>
      <c r="D2" s="3"/>
      <c r="E2" s="3"/>
      <c r="F2" s="3"/>
      <c r="G2" s="3"/>
      <c r="H2" s="3"/>
      <c r="I2" s="3"/>
      <c r="J2" s="12"/>
      <c r="K2" s="12"/>
      <c r="L2" s="12"/>
      <c r="M2" s="12"/>
      <c r="N2" s="3"/>
      <c r="O2" s="3"/>
      <c r="P2" s="3"/>
      <c r="Q2" s="3"/>
      <c r="R2" s="3"/>
      <c r="S2" s="3"/>
      <c r="T2" s="3"/>
      <c r="U2" s="3"/>
      <c r="V2" s="3"/>
      <c r="W2" s="3"/>
      <c r="X2" s="3"/>
      <c r="Y2" s="3"/>
      <c r="Z2" s="3"/>
    </row>
    <row r="3" spans="1:26" x14ac:dyDescent="0.25">
      <c r="A3" s="3"/>
      <c r="B3" s="15" t="s">
        <v>6</v>
      </c>
      <c r="C3" s="15" t="s">
        <v>7</v>
      </c>
      <c r="D3" s="15" t="s">
        <v>8</v>
      </c>
      <c r="E3" s="15" t="s">
        <v>9</v>
      </c>
      <c r="F3" s="15" t="s">
        <v>10</v>
      </c>
      <c r="G3" s="15" t="s">
        <v>10</v>
      </c>
      <c r="H3" s="15" t="s">
        <v>11</v>
      </c>
      <c r="I3" s="15" t="s">
        <v>12</v>
      </c>
      <c r="J3" s="21" t="s">
        <v>13</v>
      </c>
      <c r="K3" s="15" t="s">
        <v>15</v>
      </c>
      <c r="L3" s="15" t="s">
        <v>16</v>
      </c>
      <c r="M3" s="15" t="s">
        <v>17</v>
      </c>
      <c r="N3" s="3"/>
      <c r="O3" s="3"/>
      <c r="P3" s="3"/>
      <c r="Q3" s="3"/>
      <c r="R3" s="3"/>
      <c r="S3" s="3"/>
      <c r="T3" s="3"/>
      <c r="U3" s="3"/>
      <c r="V3" s="3"/>
      <c r="W3" s="3"/>
      <c r="X3" s="3"/>
      <c r="Y3" s="3"/>
      <c r="Z3" s="3"/>
    </row>
    <row r="4" spans="1:26" x14ac:dyDescent="0.25">
      <c r="A4" s="3"/>
      <c r="B4" s="25"/>
      <c r="C4" s="25"/>
      <c r="D4" s="25"/>
      <c r="E4" s="25"/>
      <c r="F4" s="25"/>
      <c r="G4" s="25" t="s">
        <v>21</v>
      </c>
      <c r="H4" s="25" t="s">
        <v>22</v>
      </c>
      <c r="I4" s="25" t="s">
        <v>23</v>
      </c>
      <c r="J4" s="25" t="s">
        <v>24</v>
      </c>
      <c r="K4" s="25" t="s">
        <v>25</v>
      </c>
      <c r="L4" s="25" t="s">
        <v>25</v>
      </c>
      <c r="M4" s="25" t="s">
        <v>25</v>
      </c>
      <c r="N4" s="3"/>
      <c r="O4" s="3"/>
      <c r="P4" s="3"/>
      <c r="Q4" s="3"/>
      <c r="R4" s="3"/>
      <c r="S4" s="3"/>
      <c r="T4" s="3"/>
      <c r="U4" s="3"/>
      <c r="V4" s="3"/>
      <c r="W4" s="3"/>
      <c r="X4" s="3"/>
      <c r="Y4" s="3"/>
      <c r="Z4" s="3"/>
    </row>
    <row r="5" spans="1:26" x14ac:dyDescent="0.25">
      <c r="A5" s="3"/>
      <c r="B5" s="31"/>
      <c r="C5" s="31"/>
      <c r="D5" s="31"/>
      <c r="E5" s="31"/>
      <c r="F5" s="31"/>
      <c r="G5" s="31"/>
      <c r="H5" s="31"/>
      <c r="I5" s="31"/>
      <c r="J5" s="31"/>
      <c r="K5" s="33"/>
      <c r="L5" s="31"/>
      <c r="M5" s="31"/>
      <c r="N5" s="3"/>
      <c r="O5" s="3"/>
      <c r="P5" s="3"/>
      <c r="Q5" s="3"/>
      <c r="R5" s="3"/>
      <c r="S5" s="3"/>
      <c r="T5" s="3"/>
      <c r="U5" s="3"/>
      <c r="V5" s="3"/>
      <c r="W5" s="3"/>
      <c r="X5" s="3"/>
      <c r="Y5" s="3"/>
      <c r="Z5" s="3"/>
    </row>
    <row r="6" spans="1:26" x14ac:dyDescent="0.25">
      <c r="A6" s="3"/>
      <c r="B6" s="24" t="s">
        <v>30</v>
      </c>
      <c r="C6" s="26" t="s">
        <v>31</v>
      </c>
      <c r="D6" s="24"/>
      <c r="E6" s="24"/>
      <c r="F6" s="38"/>
      <c r="G6" s="24"/>
      <c r="H6" s="24"/>
      <c r="I6" s="24"/>
      <c r="J6" s="40"/>
      <c r="K6" s="44"/>
      <c r="L6" s="24"/>
      <c r="M6" s="24"/>
      <c r="N6" s="3"/>
      <c r="O6" s="3"/>
      <c r="P6" s="3"/>
      <c r="Q6" s="3"/>
      <c r="R6" s="3"/>
      <c r="S6" s="3"/>
      <c r="T6" s="3"/>
      <c r="U6" s="3"/>
      <c r="V6" s="3"/>
      <c r="W6" s="3"/>
      <c r="X6" s="3"/>
      <c r="Y6" s="3"/>
      <c r="Z6" s="3"/>
    </row>
    <row r="7" spans="1:26" x14ac:dyDescent="0.25">
      <c r="A7" s="3"/>
      <c r="B7" s="49"/>
      <c r="C7" s="50" t="s">
        <v>48</v>
      </c>
      <c r="D7" s="50" t="s">
        <v>52</v>
      </c>
      <c r="E7" s="50" t="s">
        <v>53</v>
      </c>
      <c r="F7" s="52">
        <v>711214</v>
      </c>
      <c r="G7" s="50" t="s">
        <v>55</v>
      </c>
      <c r="H7" s="55">
        <v>11080</v>
      </c>
      <c r="I7" s="50" t="s">
        <v>60</v>
      </c>
      <c r="J7" s="59">
        <v>15857480</v>
      </c>
      <c r="K7" s="59">
        <f t="shared" ref="K7:K8" si="0">J7/($J$7+$J$8)*K$9</f>
        <v>1624579.0892771983</v>
      </c>
      <c r="L7" s="71">
        <f t="shared" ref="L7:L8" si="1">J7/($J$7+$J$8)*L$9</f>
        <v>192.13746850227773</v>
      </c>
      <c r="M7" s="71">
        <f t="shared" ref="M7:M8" si="2">J7/($J$7+$J$8)*M$9</f>
        <v>27.95199068628779</v>
      </c>
      <c r="N7" s="3"/>
      <c r="O7" s="3"/>
      <c r="P7" s="3"/>
      <c r="Q7" s="3"/>
      <c r="R7" s="3"/>
      <c r="S7" s="3"/>
      <c r="T7" s="3"/>
      <c r="U7" s="3"/>
      <c r="V7" s="3"/>
      <c r="W7" s="3"/>
      <c r="X7" s="3"/>
      <c r="Y7" s="3"/>
      <c r="Z7" s="3"/>
    </row>
    <row r="8" spans="1:26" x14ac:dyDescent="0.25">
      <c r="A8" s="3"/>
      <c r="B8" s="49"/>
      <c r="C8" s="50" t="s">
        <v>48</v>
      </c>
      <c r="D8" s="50" t="s">
        <v>52</v>
      </c>
      <c r="E8" s="50" t="s">
        <v>65</v>
      </c>
      <c r="F8" s="52">
        <v>113500</v>
      </c>
      <c r="G8" s="50" t="s">
        <v>66</v>
      </c>
      <c r="H8" s="55">
        <v>140000</v>
      </c>
      <c r="I8" s="50" t="s">
        <v>67</v>
      </c>
      <c r="J8" s="85">
        <f>(F8*H8)/1000000</f>
        <v>15890</v>
      </c>
      <c r="K8" s="59">
        <f t="shared" si="0"/>
        <v>1627.9107228017742</v>
      </c>
      <c r="L8" s="71">
        <f t="shared" si="1"/>
        <v>0.19253149772228581</v>
      </c>
      <c r="M8" s="71">
        <f t="shared" si="2"/>
        <v>2.8009313712211079E-2</v>
      </c>
      <c r="N8" s="3"/>
      <c r="O8" s="3"/>
      <c r="P8" s="3"/>
      <c r="Q8" s="3"/>
      <c r="R8" s="3"/>
      <c r="S8" s="3"/>
      <c r="T8" s="3"/>
      <c r="U8" s="3"/>
      <c r="V8" s="3"/>
      <c r="W8" s="3"/>
      <c r="X8" s="3"/>
      <c r="Y8" s="3"/>
      <c r="Z8" s="3"/>
    </row>
    <row r="9" spans="1:26" x14ac:dyDescent="0.25">
      <c r="A9" s="3"/>
      <c r="B9" s="49"/>
      <c r="C9" s="49"/>
      <c r="D9" s="91"/>
      <c r="E9" s="49"/>
      <c r="F9" s="92"/>
      <c r="G9" s="49"/>
      <c r="H9" s="68"/>
      <c r="I9" s="49"/>
      <c r="J9" s="96">
        <f>SUM(J7:J8)</f>
        <v>15873370</v>
      </c>
      <c r="K9" s="99">
        <v>1626207</v>
      </c>
      <c r="L9" s="101">
        <v>192.33</v>
      </c>
      <c r="M9" s="101">
        <v>27.98</v>
      </c>
      <c r="N9" s="3"/>
      <c r="O9" s="3"/>
      <c r="P9" s="3"/>
      <c r="Q9" s="3"/>
      <c r="R9" s="3"/>
      <c r="S9" s="3"/>
      <c r="T9" s="3"/>
      <c r="U9" s="3"/>
      <c r="V9" s="3"/>
      <c r="W9" s="3"/>
      <c r="X9" s="3"/>
      <c r="Y9" s="3"/>
      <c r="Z9" s="3"/>
    </row>
    <row r="10" spans="1:26" x14ac:dyDescent="0.25">
      <c r="A10" s="3"/>
      <c r="B10" s="49"/>
      <c r="C10" s="49" t="s">
        <v>72</v>
      </c>
      <c r="D10" s="49" t="s">
        <v>73</v>
      </c>
      <c r="E10" s="49" t="s">
        <v>65</v>
      </c>
      <c r="F10" s="92">
        <v>665</v>
      </c>
      <c r="G10" s="49" t="s">
        <v>66</v>
      </c>
      <c r="H10" s="68">
        <v>140000</v>
      </c>
      <c r="I10" s="49" t="s">
        <v>67</v>
      </c>
      <c r="J10" s="105">
        <f t="shared" ref="J10:J11" si="3">(F10*H10)/1000000</f>
        <v>93.1</v>
      </c>
      <c r="K10" s="107">
        <v>7.48</v>
      </c>
      <c r="L10" s="109">
        <v>0</v>
      </c>
      <c r="M10" s="109">
        <v>0</v>
      </c>
      <c r="N10" s="3"/>
      <c r="O10" s="3"/>
      <c r="P10" s="3"/>
      <c r="Q10" s="3"/>
      <c r="R10" s="3"/>
      <c r="S10" s="3"/>
      <c r="T10" s="3"/>
      <c r="U10" s="3"/>
      <c r="V10" s="3"/>
      <c r="W10" s="3"/>
      <c r="X10" s="3"/>
      <c r="Y10" s="3"/>
      <c r="Z10" s="3"/>
    </row>
    <row r="11" spans="1:26" x14ac:dyDescent="0.25">
      <c r="A11" s="3"/>
      <c r="B11" s="113"/>
      <c r="C11" s="113" t="s">
        <v>75</v>
      </c>
      <c r="D11" s="113" t="s">
        <v>76</v>
      </c>
      <c r="E11" s="113" t="s">
        <v>77</v>
      </c>
      <c r="F11" s="116">
        <v>2767100</v>
      </c>
      <c r="G11" s="113" t="s">
        <v>79</v>
      </c>
      <c r="H11" s="118">
        <v>1020</v>
      </c>
      <c r="I11" s="113" t="s">
        <v>80</v>
      </c>
      <c r="J11" s="120">
        <f t="shared" si="3"/>
        <v>2822.442</v>
      </c>
      <c r="K11" s="122">
        <v>166.25</v>
      </c>
      <c r="L11" s="125">
        <v>0</v>
      </c>
      <c r="M11" s="125">
        <v>0</v>
      </c>
      <c r="N11" s="3"/>
      <c r="O11" s="3"/>
      <c r="P11" s="3"/>
      <c r="Q11" s="3"/>
      <c r="R11" s="3"/>
      <c r="S11" s="3"/>
      <c r="T11" s="3"/>
      <c r="U11" s="3"/>
      <c r="V11" s="3"/>
      <c r="W11" s="3"/>
      <c r="X11" s="3"/>
      <c r="Y11" s="3"/>
      <c r="Z11" s="3"/>
    </row>
    <row r="12" spans="1:26" x14ac:dyDescent="0.25">
      <c r="A12" s="3"/>
      <c r="B12" s="129"/>
      <c r="C12" s="129"/>
      <c r="D12" s="129"/>
      <c r="E12" s="129"/>
      <c r="F12" s="132"/>
      <c r="G12" s="129"/>
      <c r="H12" s="132"/>
      <c r="I12" s="129"/>
      <c r="J12" s="132"/>
      <c r="K12" s="135"/>
      <c r="L12" s="137"/>
      <c r="M12" s="137"/>
      <c r="N12" s="3"/>
      <c r="O12" s="3"/>
      <c r="P12" s="3"/>
      <c r="Q12" s="3"/>
      <c r="R12" s="3"/>
      <c r="S12" s="3"/>
      <c r="T12" s="3"/>
      <c r="U12" s="3"/>
      <c r="V12" s="3"/>
      <c r="W12" s="3"/>
      <c r="X12" s="3"/>
      <c r="Y12" s="3"/>
      <c r="Z12" s="3"/>
    </row>
    <row r="13" spans="1:26" x14ac:dyDescent="0.25">
      <c r="A13" s="3"/>
      <c r="B13" s="24" t="s">
        <v>83</v>
      </c>
      <c r="C13" s="26" t="s">
        <v>84</v>
      </c>
      <c r="D13" s="24"/>
      <c r="E13" s="24"/>
      <c r="F13" s="38"/>
      <c r="G13" s="24"/>
      <c r="H13" s="38"/>
      <c r="I13" s="24"/>
      <c r="J13" s="40"/>
      <c r="K13" s="44"/>
      <c r="L13" s="143"/>
      <c r="M13" s="143"/>
      <c r="N13" s="3"/>
      <c r="O13" s="3"/>
      <c r="P13" s="3"/>
      <c r="Q13" s="3"/>
      <c r="R13" s="3"/>
      <c r="S13" s="3"/>
      <c r="T13" s="3"/>
      <c r="U13" s="3"/>
      <c r="V13" s="3"/>
      <c r="W13" s="3"/>
      <c r="X13" s="3"/>
      <c r="Y13" s="3"/>
      <c r="Z13" s="3"/>
    </row>
    <row r="14" spans="1:26" x14ac:dyDescent="0.25">
      <c r="A14" s="3"/>
      <c r="B14" s="49"/>
      <c r="C14" s="61"/>
      <c r="D14" s="49"/>
      <c r="E14" s="49"/>
      <c r="F14" s="68"/>
      <c r="G14" s="49"/>
      <c r="H14" s="68"/>
      <c r="I14" s="49"/>
      <c r="J14" s="147"/>
      <c r="K14" s="92"/>
      <c r="L14" s="107"/>
      <c r="M14" s="107"/>
      <c r="N14" s="3"/>
      <c r="O14" s="3"/>
      <c r="P14" s="3"/>
      <c r="Q14" s="3"/>
      <c r="R14" s="3"/>
      <c r="S14" s="3"/>
      <c r="T14" s="3"/>
      <c r="U14" s="3"/>
      <c r="V14" s="3"/>
      <c r="W14" s="3"/>
      <c r="X14" s="3"/>
      <c r="Y14" s="3"/>
      <c r="Z14" s="3"/>
    </row>
    <row r="15" spans="1:26" x14ac:dyDescent="0.25">
      <c r="A15" s="3"/>
      <c r="B15" s="49"/>
      <c r="C15" s="61" t="s">
        <v>86</v>
      </c>
      <c r="D15" s="49" t="s">
        <v>87</v>
      </c>
      <c r="E15" s="49"/>
      <c r="F15" s="68"/>
      <c r="G15" s="49"/>
      <c r="H15" s="68"/>
      <c r="I15" s="49"/>
      <c r="J15" s="147"/>
      <c r="K15" s="153"/>
      <c r="L15" s="107"/>
      <c r="M15" s="109"/>
      <c r="N15" s="3"/>
      <c r="O15" s="3"/>
      <c r="P15" s="3"/>
      <c r="Q15" s="3"/>
      <c r="R15" s="3"/>
      <c r="S15" s="3"/>
      <c r="T15" s="3"/>
      <c r="U15" s="3"/>
      <c r="V15" s="3"/>
      <c r="W15" s="3"/>
      <c r="X15" s="3"/>
      <c r="Y15" s="3"/>
      <c r="Z15" s="3"/>
    </row>
    <row r="16" spans="1:26" x14ac:dyDescent="0.25">
      <c r="A16" s="3"/>
      <c r="B16" s="49"/>
      <c r="C16" s="50" t="s">
        <v>88</v>
      </c>
      <c r="D16" s="155" t="s">
        <v>89</v>
      </c>
      <c r="E16" s="50" t="s">
        <v>92</v>
      </c>
      <c r="F16" s="52">
        <v>1080</v>
      </c>
      <c r="G16" s="50" t="s">
        <v>93</v>
      </c>
      <c r="H16" s="55">
        <v>139</v>
      </c>
      <c r="I16" s="50" t="s">
        <v>94</v>
      </c>
      <c r="J16" s="59">
        <f>(F16*H16)/1000</f>
        <v>150.12</v>
      </c>
      <c r="K16" s="157">
        <f>(+J16/(J16+J17))*K18</f>
        <v>17.680268317647489</v>
      </c>
      <c r="L16" s="161">
        <f>(J16/(J16+J17))*L18</f>
        <v>1.3260544686342993E-4</v>
      </c>
      <c r="M16" s="161">
        <f>(J16/(J16+J17))*M18</f>
        <v>9.9719296041299302E-5</v>
      </c>
      <c r="N16" s="3"/>
      <c r="O16" s="3"/>
      <c r="P16" s="3"/>
      <c r="Q16" s="3"/>
      <c r="R16" s="3"/>
      <c r="S16" s="3"/>
      <c r="T16" s="3"/>
      <c r="U16" s="3"/>
      <c r="V16" s="3"/>
      <c r="W16" s="3"/>
      <c r="X16" s="3"/>
      <c r="Y16" s="3"/>
      <c r="Z16" s="3"/>
    </row>
    <row r="17" spans="1:26" x14ac:dyDescent="0.25">
      <c r="A17" s="3"/>
      <c r="B17" s="49"/>
      <c r="C17" s="50"/>
      <c r="D17" s="155" t="s">
        <v>89</v>
      </c>
      <c r="E17" s="50" t="s">
        <v>90</v>
      </c>
      <c r="F17" s="52">
        <v>1246119</v>
      </c>
      <c r="G17" s="50" t="s">
        <v>55</v>
      </c>
      <c r="H17" s="55">
        <v>11356</v>
      </c>
      <c r="I17" s="50" t="s">
        <v>60</v>
      </c>
      <c r="J17" s="59">
        <f>(F17*H17*2000)/1000000</f>
        <v>28301854.728</v>
      </c>
      <c r="K17" s="157">
        <f>(+J17/(J16+J17))*K18</f>
        <v>3333229.3197316821</v>
      </c>
      <c r="L17" s="163">
        <f t="shared" ref="L17:M17" si="4">(J17/(J16+J17))*L18</f>
        <v>24.999867394553135</v>
      </c>
      <c r="M17" s="163">
        <f t="shared" si="4"/>
        <v>18.799900280703959</v>
      </c>
      <c r="N17" s="3"/>
      <c r="O17" s="3"/>
      <c r="P17" s="3"/>
      <c r="Q17" s="3"/>
      <c r="R17" s="3"/>
      <c r="S17" s="3"/>
      <c r="T17" s="3"/>
      <c r="U17" s="3"/>
      <c r="V17" s="3"/>
      <c r="W17" s="3"/>
      <c r="X17" s="3"/>
      <c r="Y17" s="3"/>
      <c r="Z17" s="3"/>
    </row>
    <row r="18" spans="1:26" x14ac:dyDescent="0.25">
      <c r="A18" s="3"/>
      <c r="B18" s="49"/>
      <c r="C18" s="49"/>
      <c r="D18" s="154"/>
      <c r="E18" s="49"/>
      <c r="F18" s="68"/>
      <c r="G18" s="49"/>
      <c r="H18" s="68"/>
      <c r="I18" s="49"/>
      <c r="J18" s="164">
        <v>32487813</v>
      </c>
      <c r="K18" s="165">
        <v>3333247</v>
      </c>
      <c r="L18" s="166">
        <v>25</v>
      </c>
      <c r="M18" s="166">
        <v>18.8</v>
      </c>
      <c r="N18" s="3"/>
      <c r="O18" s="3"/>
      <c r="P18" s="3"/>
      <c r="Q18" s="3"/>
      <c r="R18" s="3"/>
      <c r="S18" s="3"/>
      <c r="T18" s="3"/>
      <c r="U18" s="3"/>
      <c r="V18" s="3"/>
      <c r="W18" s="3"/>
      <c r="X18" s="3"/>
      <c r="Y18" s="3"/>
      <c r="Z18" s="3"/>
    </row>
    <row r="19" spans="1:26" x14ac:dyDescent="0.25">
      <c r="A19" s="3"/>
      <c r="B19" s="49"/>
      <c r="C19" s="50" t="s">
        <v>97</v>
      </c>
      <c r="D19" s="155" t="s">
        <v>98</v>
      </c>
      <c r="E19" s="50" t="s">
        <v>92</v>
      </c>
      <c r="F19" s="52">
        <v>1284</v>
      </c>
      <c r="G19" s="50" t="s">
        <v>66</v>
      </c>
      <c r="H19" s="55">
        <v>139</v>
      </c>
      <c r="I19" s="50" t="s">
        <v>94</v>
      </c>
      <c r="J19" s="59">
        <f>(F19*H19)/1000</f>
        <v>178.476</v>
      </c>
      <c r="K19" s="168">
        <f t="shared" ref="K19:K20" si="5">(J19/(J$20+J$19))*K$21</f>
        <v>18.523037689018818</v>
      </c>
      <c r="L19" s="169">
        <f t="shared" ref="L19:L20" si="6">(J19/(J$19+J$20))*L$21</f>
        <v>1.5769468121567734E-4</v>
      </c>
      <c r="M19" s="169">
        <f t="shared" ref="M19:M20" si="7">(J19/(J$19+J$20))*M$21</f>
        <v>1.1869492134513349E-4</v>
      </c>
      <c r="N19" s="3"/>
      <c r="O19" s="170"/>
      <c r="P19" s="3"/>
      <c r="Q19" s="3"/>
      <c r="R19" s="3"/>
      <c r="S19" s="3"/>
      <c r="T19" s="3"/>
      <c r="U19" s="3"/>
      <c r="V19" s="3"/>
      <c r="W19" s="3"/>
      <c r="X19" s="3"/>
      <c r="Y19" s="3"/>
      <c r="Z19" s="3"/>
    </row>
    <row r="20" spans="1:26" x14ac:dyDescent="0.25">
      <c r="A20" s="3"/>
      <c r="B20" s="49"/>
      <c r="C20" s="50"/>
      <c r="D20" s="155" t="s">
        <v>98</v>
      </c>
      <c r="E20" s="50" t="s">
        <v>90</v>
      </c>
      <c r="F20" s="52">
        <v>1390302</v>
      </c>
      <c r="G20" s="50" t="s">
        <v>55</v>
      </c>
      <c r="H20" s="55">
        <v>11356</v>
      </c>
      <c r="I20" s="50" t="s">
        <v>60</v>
      </c>
      <c r="J20" s="59">
        <f>(F20*H20*2000)/1000000</f>
        <v>31576539.024</v>
      </c>
      <c r="K20" s="168">
        <f t="shared" si="5"/>
        <v>3277154.4769623112</v>
      </c>
      <c r="L20" s="169">
        <f t="shared" si="6"/>
        <v>27.899842305318785</v>
      </c>
      <c r="M20" s="169">
        <f t="shared" si="7"/>
        <v>20.999881305078656</v>
      </c>
      <c r="N20" s="3"/>
      <c r="O20" s="3"/>
      <c r="P20" s="3"/>
      <c r="Q20" s="3"/>
      <c r="R20" s="3"/>
      <c r="S20" s="3"/>
      <c r="T20" s="3"/>
      <c r="U20" s="3"/>
      <c r="V20" s="3"/>
      <c r="W20" s="3"/>
      <c r="X20" s="3"/>
      <c r="Y20" s="3"/>
      <c r="Z20" s="3"/>
    </row>
    <row r="21" spans="1:26" ht="15.75" customHeight="1" x14ac:dyDescent="0.25">
      <c r="A21" s="3"/>
      <c r="B21" s="113"/>
      <c r="C21" s="113"/>
      <c r="D21" s="171"/>
      <c r="E21" s="113"/>
      <c r="F21" s="118"/>
      <c r="G21" s="113"/>
      <c r="H21" s="118"/>
      <c r="I21" s="113"/>
      <c r="J21" s="172">
        <v>31941293</v>
      </c>
      <c r="K21" s="173">
        <v>3277173</v>
      </c>
      <c r="L21" s="174">
        <v>27.9</v>
      </c>
      <c r="M21" s="174">
        <v>21</v>
      </c>
      <c r="N21" s="3"/>
      <c r="O21" s="3"/>
      <c r="P21" s="3"/>
      <c r="Q21" s="3"/>
      <c r="R21" s="3"/>
      <c r="S21" s="3"/>
      <c r="T21" s="3"/>
      <c r="U21" s="3"/>
      <c r="V21" s="3"/>
      <c r="W21" s="3"/>
      <c r="X21" s="3"/>
      <c r="Y21" s="3"/>
      <c r="Z21" s="3"/>
    </row>
    <row r="22" spans="1:26" ht="15.75" customHeight="1" x14ac:dyDescent="0.25">
      <c r="A22" s="3"/>
      <c r="B22" s="129"/>
      <c r="C22" s="129"/>
      <c r="D22" s="175"/>
      <c r="E22" s="129"/>
      <c r="F22" s="132"/>
      <c r="G22" s="129"/>
      <c r="H22" s="132"/>
      <c r="I22" s="129"/>
      <c r="J22" s="129"/>
      <c r="K22" s="135"/>
      <c r="L22" s="137"/>
      <c r="M22" s="137"/>
      <c r="N22" s="3"/>
      <c r="O22" s="3"/>
      <c r="P22" s="3"/>
      <c r="Q22" s="3"/>
      <c r="R22" s="3"/>
      <c r="S22" s="3"/>
      <c r="T22" s="3"/>
      <c r="U22" s="3"/>
      <c r="V22" s="3"/>
      <c r="W22" s="3"/>
      <c r="X22" s="3"/>
      <c r="Y22" s="3"/>
      <c r="Z22" s="3"/>
    </row>
    <row r="23" spans="1:26" ht="15.75" customHeight="1" x14ac:dyDescent="0.25">
      <c r="A23" s="3"/>
      <c r="B23" s="24" t="s">
        <v>100</v>
      </c>
      <c r="C23" s="26" t="s">
        <v>101</v>
      </c>
      <c r="D23" s="42"/>
      <c r="E23" s="24"/>
      <c r="F23" s="38"/>
      <c r="G23" s="24"/>
      <c r="H23" s="38"/>
      <c r="I23" s="24"/>
      <c r="J23" s="40"/>
      <c r="K23" s="44"/>
      <c r="L23" s="143"/>
      <c r="M23" s="143"/>
      <c r="N23" s="3"/>
      <c r="O23" s="3"/>
      <c r="P23" s="3"/>
      <c r="Q23" s="3"/>
      <c r="R23" s="3"/>
      <c r="S23" s="3"/>
      <c r="T23" s="3"/>
      <c r="U23" s="3"/>
      <c r="V23" s="3"/>
      <c r="W23" s="3"/>
      <c r="X23" s="3"/>
      <c r="Y23" s="3"/>
      <c r="Z23" s="3"/>
    </row>
    <row r="24" spans="1:26" ht="15.75" customHeight="1" x14ac:dyDescent="0.25">
      <c r="A24" s="3"/>
      <c r="B24" s="49"/>
      <c r="C24" s="50" t="s">
        <v>102</v>
      </c>
      <c r="D24" s="155" t="s">
        <v>103</v>
      </c>
      <c r="E24" s="50" t="s">
        <v>144</v>
      </c>
      <c r="F24" s="52">
        <v>75000000</v>
      </c>
      <c r="G24" s="50" t="s">
        <v>79</v>
      </c>
      <c r="H24" s="55">
        <v>1020</v>
      </c>
      <c r="I24" s="50" t="s">
        <v>145</v>
      </c>
      <c r="J24" s="59">
        <f>(F24*H24)/1000000</f>
        <v>76500</v>
      </c>
      <c r="K24" s="59">
        <f>(+J24/J26)*K26</f>
        <v>8023.2708769110341</v>
      </c>
      <c r="L24" s="71">
        <f>(+J24/J26)*L26</f>
        <v>2.1450042791546466E-2</v>
      </c>
      <c r="M24" s="71">
        <f>(+J24/J26)*M26</f>
        <v>0.18322488165166143</v>
      </c>
      <c r="N24" s="3"/>
      <c r="O24" s="3"/>
      <c r="P24" s="3"/>
      <c r="Q24" s="3"/>
      <c r="R24" s="3"/>
      <c r="S24" s="3"/>
      <c r="T24" s="3"/>
      <c r="U24" s="3"/>
      <c r="V24" s="3"/>
      <c r="W24" s="3"/>
      <c r="X24" s="3"/>
      <c r="Y24" s="3"/>
      <c r="Z24" s="3"/>
    </row>
    <row r="25" spans="1:26" ht="15.75" customHeight="1" x14ac:dyDescent="0.25">
      <c r="A25" s="3"/>
      <c r="B25" s="49"/>
      <c r="C25" s="50"/>
      <c r="D25" s="155" t="s">
        <v>103</v>
      </c>
      <c r="E25" s="50" t="s">
        <v>90</v>
      </c>
      <c r="F25" s="52">
        <v>292475</v>
      </c>
      <c r="G25" s="50" t="s">
        <v>55</v>
      </c>
      <c r="H25" s="55">
        <v>11356</v>
      </c>
      <c r="I25" s="50" t="s">
        <v>60</v>
      </c>
      <c r="J25" s="59">
        <f>J26-J24</f>
        <v>5451461</v>
      </c>
      <c r="K25" s="59">
        <f>(+J25/J26)*K26</f>
        <v>571745.729123089</v>
      </c>
      <c r="L25" s="71">
        <f>(+J25/J26)*L26</f>
        <v>1.5285499572084535</v>
      </c>
      <c r="M25" s="71">
        <f>(+J25/J26)*M26</f>
        <v>13.056775118348337</v>
      </c>
      <c r="N25" s="3"/>
      <c r="O25" s="3"/>
      <c r="P25" s="3"/>
      <c r="Q25" s="3"/>
      <c r="R25" s="3"/>
      <c r="S25" s="3"/>
      <c r="T25" s="3"/>
      <c r="U25" s="3"/>
      <c r="V25" s="3"/>
      <c r="W25" s="3"/>
      <c r="X25" s="3"/>
      <c r="Y25" s="3"/>
      <c r="Z25" s="3"/>
    </row>
    <row r="26" spans="1:26" ht="15.75" customHeight="1" x14ac:dyDescent="0.25">
      <c r="A26" s="3"/>
      <c r="B26" s="49"/>
      <c r="C26" s="49"/>
      <c r="D26" s="154"/>
      <c r="E26" s="49"/>
      <c r="F26" s="68"/>
      <c r="G26" s="49"/>
      <c r="H26" s="68"/>
      <c r="I26" s="49"/>
      <c r="J26" s="185">
        <v>5527961</v>
      </c>
      <c r="K26" s="165">
        <v>579769</v>
      </c>
      <c r="L26" s="187">
        <v>1.55</v>
      </c>
      <c r="M26" s="187">
        <v>13.24</v>
      </c>
      <c r="N26" s="3"/>
      <c r="O26" s="3"/>
      <c r="P26" s="3"/>
      <c r="Q26" s="3"/>
      <c r="R26" s="3"/>
      <c r="S26" s="3"/>
      <c r="T26" s="3"/>
      <c r="U26" s="3"/>
      <c r="V26" s="3"/>
      <c r="W26" s="3"/>
      <c r="X26" s="3"/>
      <c r="Y26" s="3"/>
      <c r="Z26" s="3"/>
    </row>
    <row r="27" spans="1:26" ht="15.75" customHeight="1" x14ac:dyDescent="0.25">
      <c r="A27" s="3"/>
      <c r="B27" s="49"/>
      <c r="C27" s="50" t="s">
        <v>105</v>
      </c>
      <c r="D27" s="155" t="s">
        <v>106</v>
      </c>
      <c r="E27" s="50" t="s">
        <v>144</v>
      </c>
      <c r="F27" s="52">
        <v>60000000</v>
      </c>
      <c r="G27" s="50" t="s">
        <v>79</v>
      </c>
      <c r="H27" s="55">
        <v>1020</v>
      </c>
      <c r="I27" s="50" t="s">
        <v>145</v>
      </c>
      <c r="J27" s="59">
        <f>(F27*H27)/1000000</f>
        <v>61200</v>
      </c>
      <c r="K27" s="59">
        <f>(+J27/J29)*K29</f>
        <v>6418.6666143325938</v>
      </c>
      <c r="L27" s="71">
        <f>(+J27/J29)*L29</f>
        <v>1.501333727527079E-2</v>
      </c>
      <c r="M27" s="71">
        <f>(+J27/J29)*M29</f>
        <v>0.12979272225072813</v>
      </c>
      <c r="N27" s="3"/>
      <c r="O27" s="3"/>
      <c r="P27" s="3"/>
      <c r="Q27" s="3"/>
      <c r="R27" s="3"/>
      <c r="S27" s="3"/>
      <c r="T27" s="3"/>
      <c r="U27" s="3"/>
      <c r="V27" s="3"/>
      <c r="W27" s="3"/>
      <c r="X27" s="3"/>
      <c r="Y27" s="3"/>
      <c r="Z27" s="3"/>
    </row>
    <row r="28" spans="1:26" ht="15.75" customHeight="1" x14ac:dyDescent="0.25">
      <c r="A28" s="3"/>
      <c r="B28" s="49"/>
      <c r="C28" s="50"/>
      <c r="D28" s="155" t="s">
        <v>106</v>
      </c>
      <c r="E28" s="50" t="s">
        <v>90</v>
      </c>
      <c r="F28" s="52">
        <v>296297</v>
      </c>
      <c r="G28" s="50" t="s">
        <v>55</v>
      </c>
      <c r="H28" s="55">
        <v>11356</v>
      </c>
      <c r="I28" s="50" t="s">
        <v>60</v>
      </c>
      <c r="J28" s="59">
        <f>J29-J27</f>
        <v>6257182</v>
      </c>
      <c r="K28" s="59">
        <f>(+J28/J29)*K29</f>
        <v>656254.33338566741</v>
      </c>
      <c r="L28" s="71">
        <f>(+J28/J29)*L29</f>
        <v>1.5349866627247293</v>
      </c>
      <c r="M28" s="71">
        <f>(+J28/J29)*M29</f>
        <v>13.270207277749272</v>
      </c>
      <c r="N28" s="3"/>
      <c r="O28" s="3"/>
      <c r="P28" s="3"/>
      <c r="Q28" s="3"/>
      <c r="R28" s="3"/>
      <c r="S28" s="3"/>
      <c r="T28" s="3"/>
      <c r="U28" s="3"/>
      <c r="V28" s="3"/>
      <c r="W28" s="3"/>
      <c r="X28" s="3"/>
      <c r="Y28" s="3"/>
      <c r="Z28" s="3"/>
    </row>
    <row r="29" spans="1:26" ht="15.75" customHeight="1" x14ac:dyDescent="0.25">
      <c r="A29" s="3"/>
      <c r="B29" s="49"/>
      <c r="C29" s="49"/>
      <c r="D29" s="154"/>
      <c r="E29" s="49"/>
      <c r="F29" s="68"/>
      <c r="G29" s="49"/>
      <c r="H29" s="68"/>
      <c r="I29" s="49"/>
      <c r="J29" s="185">
        <v>6318382</v>
      </c>
      <c r="K29" s="165">
        <v>662673</v>
      </c>
      <c r="L29" s="187">
        <v>1.55</v>
      </c>
      <c r="M29" s="187">
        <v>13.4</v>
      </c>
      <c r="N29" s="3"/>
      <c r="O29" s="3"/>
      <c r="P29" s="3"/>
      <c r="Q29" s="3"/>
      <c r="R29" s="3"/>
      <c r="S29" s="3"/>
      <c r="T29" s="3"/>
      <c r="U29" s="3"/>
      <c r="V29" s="3"/>
      <c r="W29" s="3"/>
      <c r="X29" s="3"/>
      <c r="Y29" s="3"/>
      <c r="Z29" s="3"/>
    </row>
    <row r="30" spans="1:26" ht="15.75" customHeight="1" x14ac:dyDescent="0.25">
      <c r="A30" s="3"/>
      <c r="B30" s="49"/>
      <c r="C30" s="49"/>
      <c r="D30" s="154"/>
      <c r="E30" s="49"/>
      <c r="F30" s="68"/>
      <c r="G30" s="49"/>
      <c r="H30" s="68"/>
      <c r="I30" s="49"/>
      <c r="J30" s="185"/>
      <c r="K30" s="99"/>
      <c r="L30" s="101"/>
      <c r="M30" s="101"/>
      <c r="N30" s="3"/>
      <c r="O30" s="3"/>
      <c r="P30" s="3"/>
      <c r="Q30" s="3"/>
      <c r="R30" s="3"/>
      <c r="S30" s="3"/>
      <c r="T30" s="3"/>
      <c r="U30" s="3"/>
      <c r="V30" s="3"/>
      <c r="W30" s="3"/>
      <c r="X30" s="3"/>
      <c r="Y30" s="3"/>
      <c r="Z30" s="3"/>
    </row>
    <row r="31" spans="1:26" ht="15.75" customHeight="1" x14ac:dyDescent="0.25">
      <c r="A31" s="3"/>
      <c r="B31" s="49"/>
      <c r="C31" s="49" t="s">
        <v>168</v>
      </c>
      <c r="D31" s="154" t="s">
        <v>169</v>
      </c>
      <c r="E31" s="49" t="s">
        <v>92</v>
      </c>
      <c r="F31" s="92">
        <v>121000</v>
      </c>
      <c r="G31" s="49" t="s">
        <v>66</v>
      </c>
      <c r="H31" s="68">
        <v>139</v>
      </c>
      <c r="I31" s="49" t="s">
        <v>94</v>
      </c>
      <c r="J31" s="185">
        <f>(F31*H31)/1000</f>
        <v>16819</v>
      </c>
      <c r="K31" s="99">
        <v>1320</v>
      </c>
      <c r="L31" s="202">
        <v>1.2999999999999999E-2</v>
      </c>
      <c r="M31" s="101">
        <v>1.6E-2</v>
      </c>
      <c r="N31" s="3"/>
      <c r="O31" s="3"/>
      <c r="P31" s="3"/>
      <c r="Q31" s="3"/>
      <c r="R31" s="3"/>
      <c r="S31" s="3"/>
      <c r="T31" s="3"/>
      <c r="U31" s="3"/>
      <c r="V31" s="3"/>
      <c r="W31" s="3"/>
      <c r="X31" s="3"/>
      <c r="Y31" s="3"/>
      <c r="Z31" s="3"/>
    </row>
    <row r="32" spans="1:26" ht="15.75" customHeight="1" x14ac:dyDescent="0.25">
      <c r="A32" s="3"/>
      <c r="B32" s="49"/>
      <c r="C32" s="49"/>
      <c r="D32" s="154"/>
      <c r="E32" s="49"/>
      <c r="F32" s="68"/>
      <c r="G32" s="49"/>
      <c r="H32" s="68"/>
      <c r="I32" s="49"/>
      <c r="J32" s="205"/>
      <c r="K32" s="92"/>
      <c r="L32" s="153"/>
      <c r="M32" s="107"/>
      <c r="N32" s="3"/>
      <c r="O32" s="3"/>
      <c r="P32" s="3"/>
      <c r="Q32" s="3"/>
      <c r="R32" s="3"/>
      <c r="S32" s="3"/>
      <c r="T32" s="3"/>
      <c r="U32" s="3"/>
      <c r="V32" s="3"/>
      <c r="W32" s="3"/>
      <c r="X32" s="3"/>
      <c r="Y32" s="3"/>
      <c r="Z32" s="3"/>
    </row>
    <row r="33" spans="1:26" ht="15.75" customHeight="1" x14ac:dyDescent="0.25">
      <c r="A33" s="3"/>
      <c r="B33" s="49"/>
      <c r="C33" s="49" t="s">
        <v>172</v>
      </c>
      <c r="D33" s="154" t="s">
        <v>173</v>
      </c>
      <c r="E33" s="49" t="s">
        <v>92</v>
      </c>
      <c r="F33" s="92">
        <v>15000</v>
      </c>
      <c r="G33" s="49" t="s">
        <v>66</v>
      </c>
      <c r="H33" s="68">
        <v>139</v>
      </c>
      <c r="I33" s="49" t="s">
        <v>94</v>
      </c>
      <c r="J33" s="185">
        <f>(F33*H33)/1000</f>
        <v>2085</v>
      </c>
      <c r="K33" s="99">
        <v>164</v>
      </c>
      <c r="L33" s="202">
        <v>2E-3</v>
      </c>
      <c r="M33" s="101">
        <v>2E-3</v>
      </c>
      <c r="N33" s="3"/>
      <c r="O33" s="3"/>
      <c r="P33" s="3"/>
      <c r="Q33" s="3"/>
      <c r="R33" s="3"/>
      <c r="S33" s="3"/>
      <c r="T33" s="3"/>
      <c r="U33" s="3"/>
      <c r="V33" s="3"/>
      <c r="W33" s="3"/>
      <c r="X33" s="3"/>
      <c r="Y33" s="3"/>
      <c r="Z33" s="3"/>
    </row>
    <row r="34" spans="1:26" ht="15.75" customHeight="1" x14ac:dyDescent="0.25">
      <c r="A34" s="3"/>
      <c r="B34" s="49"/>
      <c r="C34" s="49"/>
      <c r="D34" s="154"/>
      <c r="E34" s="49"/>
      <c r="F34" s="92"/>
      <c r="G34" s="49"/>
      <c r="H34" s="68"/>
      <c r="I34" s="49"/>
      <c r="J34" s="205"/>
      <c r="K34" s="92"/>
      <c r="L34" s="153"/>
      <c r="M34" s="107"/>
      <c r="N34" s="3"/>
      <c r="O34" s="3"/>
      <c r="P34" s="3"/>
      <c r="Q34" s="3"/>
      <c r="R34" s="3"/>
      <c r="S34" s="3"/>
      <c r="T34" s="3"/>
      <c r="U34" s="3"/>
      <c r="V34" s="3"/>
      <c r="W34" s="3"/>
      <c r="X34" s="3"/>
      <c r="Y34" s="3"/>
      <c r="Z34" s="3"/>
    </row>
    <row r="35" spans="1:26" ht="15.75" customHeight="1" x14ac:dyDescent="0.25">
      <c r="A35" s="3"/>
      <c r="B35" s="113"/>
      <c r="C35" s="113" t="s">
        <v>175</v>
      </c>
      <c r="D35" s="171" t="s">
        <v>176</v>
      </c>
      <c r="E35" s="113" t="s">
        <v>92</v>
      </c>
      <c r="F35" s="116">
        <v>89000</v>
      </c>
      <c r="G35" s="113" t="s">
        <v>66</v>
      </c>
      <c r="H35" s="118">
        <v>139</v>
      </c>
      <c r="I35" s="113" t="s">
        <v>94</v>
      </c>
      <c r="J35" s="214">
        <f>(F35*H35)/1000</f>
        <v>12371</v>
      </c>
      <c r="K35" s="217">
        <v>968</v>
      </c>
      <c r="L35" s="219">
        <v>0.01</v>
      </c>
      <c r="M35" s="220">
        <v>1.2E-2</v>
      </c>
      <c r="N35" s="3"/>
      <c r="O35" s="3"/>
      <c r="P35" s="3"/>
      <c r="Q35" s="3"/>
      <c r="R35" s="3"/>
      <c r="S35" s="3"/>
      <c r="T35" s="3"/>
      <c r="U35" s="3"/>
      <c r="V35" s="3"/>
      <c r="W35" s="3"/>
      <c r="X35" s="3"/>
      <c r="Y35" s="3"/>
      <c r="Z35" s="3"/>
    </row>
    <row r="36" spans="1:26" ht="15.75" customHeight="1" x14ac:dyDescent="0.25">
      <c r="A36" s="3"/>
      <c r="B36" s="129"/>
      <c r="C36" s="129"/>
      <c r="D36" s="129"/>
      <c r="E36" s="129"/>
      <c r="F36" s="132"/>
      <c r="G36" s="129"/>
      <c r="H36" s="132"/>
      <c r="I36" s="129"/>
      <c r="J36" s="132"/>
      <c r="K36" s="135"/>
      <c r="L36" s="137"/>
      <c r="M36" s="137"/>
      <c r="N36" s="3"/>
      <c r="O36" s="3"/>
      <c r="P36" s="3"/>
      <c r="Q36" s="3"/>
      <c r="R36" s="3"/>
      <c r="S36" s="3"/>
      <c r="T36" s="3"/>
      <c r="U36" s="3"/>
      <c r="V36" s="3"/>
      <c r="W36" s="3"/>
      <c r="X36" s="3"/>
      <c r="Y36" s="3"/>
      <c r="Z36" s="3"/>
    </row>
    <row r="37" spans="1:26" ht="15.75" customHeight="1" x14ac:dyDescent="0.25">
      <c r="A37" s="3"/>
      <c r="B37" s="24" t="s">
        <v>108</v>
      </c>
      <c r="C37" s="26" t="s">
        <v>110</v>
      </c>
      <c r="D37" s="24"/>
      <c r="E37" s="24"/>
      <c r="F37" s="38"/>
      <c r="G37" s="24"/>
      <c r="H37" s="38"/>
      <c r="I37" s="24"/>
      <c r="J37" s="223"/>
      <c r="K37" s="44"/>
      <c r="L37" s="143"/>
      <c r="M37" s="143"/>
      <c r="N37" s="3"/>
      <c r="O37" s="3"/>
      <c r="P37" s="3"/>
      <c r="Q37" s="3"/>
      <c r="R37" s="3"/>
      <c r="S37" s="3"/>
      <c r="T37" s="3"/>
      <c r="U37" s="3"/>
      <c r="V37" s="3"/>
      <c r="W37" s="3"/>
      <c r="X37" s="3"/>
      <c r="Y37" s="3"/>
      <c r="Z37" s="3"/>
    </row>
    <row r="38" spans="1:26" ht="15.75" customHeight="1" x14ac:dyDescent="0.25">
      <c r="A38" s="3"/>
      <c r="B38" s="49"/>
      <c r="C38" s="49"/>
      <c r="D38" s="49"/>
      <c r="E38" s="49"/>
      <c r="F38" s="68"/>
      <c r="G38" s="49"/>
      <c r="H38" s="68"/>
      <c r="I38" s="49"/>
      <c r="J38" s="205"/>
      <c r="K38" s="92"/>
      <c r="L38" s="107"/>
      <c r="M38" s="107"/>
      <c r="N38" s="3"/>
      <c r="O38" s="3"/>
      <c r="P38" s="3"/>
      <c r="Q38" s="3"/>
      <c r="R38" s="3"/>
      <c r="S38" s="3"/>
      <c r="T38" s="3"/>
      <c r="U38" s="3"/>
      <c r="V38" s="3"/>
      <c r="W38" s="3"/>
      <c r="X38" s="3"/>
      <c r="Y38" s="3"/>
      <c r="Z38" s="3"/>
    </row>
    <row r="39" spans="1:26" ht="15.75" customHeight="1" x14ac:dyDescent="0.25">
      <c r="A39" s="3"/>
      <c r="B39" s="49"/>
      <c r="C39" s="50" t="s">
        <v>111</v>
      </c>
      <c r="D39" s="155" t="s">
        <v>89</v>
      </c>
      <c r="E39" s="50" t="s">
        <v>53</v>
      </c>
      <c r="F39" s="52">
        <v>575093</v>
      </c>
      <c r="G39" s="50" t="s">
        <v>55</v>
      </c>
      <c r="H39" s="55">
        <v>12971</v>
      </c>
      <c r="I39" s="50" t="s">
        <v>112</v>
      </c>
      <c r="J39" s="59">
        <f>(F39*H39*2000)/1000000</f>
        <v>14919062.606000001</v>
      </c>
      <c r="K39" s="168">
        <f t="shared" ref="K39:K41" si="8">(J39/(J$39+J$40+J$41))*K$42</f>
        <v>1609435.734807441</v>
      </c>
      <c r="L39" s="168">
        <f t="shared" ref="L39:L41" si="9">(J39/(J$39+J$40+J$41))*L$42</f>
        <v>11.762627550617388</v>
      </c>
      <c r="M39" s="169">
        <f t="shared" ref="M39:M41" si="10">(J39/(J$39+J$40+J$41))*M$42</f>
        <v>9.4140658576971514</v>
      </c>
      <c r="N39" s="3"/>
      <c r="O39" s="3"/>
      <c r="P39" s="3"/>
      <c r="Q39" s="3"/>
      <c r="R39" s="3"/>
      <c r="S39" s="3"/>
      <c r="T39" s="3"/>
      <c r="U39" s="3"/>
      <c r="V39" s="3"/>
      <c r="W39" s="3"/>
      <c r="X39" s="3"/>
      <c r="Y39" s="3"/>
      <c r="Z39" s="3"/>
    </row>
    <row r="40" spans="1:26" ht="15.75" customHeight="1" x14ac:dyDescent="0.25">
      <c r="A40" s="3"/>
      <c r="B40" s="49"/>
      <c r="C40" s="50"/>
      <c r="D40" s="50"/>
      <c r="E40" s="50" t="s">
        <v>187</v>
      </c>
      <c r="F40" s="52">
        <v>757726</v>
      </c>
      <c r="G40" s="50" t="s">
        <v>66</v>
      </c>
      <c r="H40" s="55">
        <v>137572</v>
      </c>
      <c r="I40" s="50" t="s">
        <v>67</v>
      </c>
      <c r="J40" s="59">
        <f>(F40*H40)/1000000</f>
        <v>104241.881272</v>
      </c>
      <c r="K40" s="168">
        <f t="shared" si="8"/>
        <v>11245.385398090562</v>
      </c>
      <c r="L40" s="168">
        <f t="shared" si="9"/>
        <v>8.2187363707763361E-2</v>
      </c>
      <c r="M40" s="169">
        <f t="shared" si="10"/>
        <v>6.5777586792228476E-2</v>
      </c>
      <c r="N40" s="3"/>
      <c r="O40" s="3"/>
      <c r="P40" s="3"/>
      <c r="Q40" s="3"/>
      <c r="R40" s="3"/>
      <c r="S40" s="3"/>
      <c r="T40" s="3"/>
      <c r="U40" s="3"/>
      <c r="V40" s="3"/>
      <c r="W40" s="3"/>
      <c r="X40" s="3"/>
      <c r="Y40" s="3"/>
      <c r="Z40" s="3"/>
    </row>
    <row r="41" spans="1:26" ht="15.75" customHeight="1" x14ac:dyDescent="0.25">
      <c r="A41" s="3"/>
      <c r="B41" s="49"/>
      <c r="C41" s="50"/>
      <c r="D41" s="50"/>
      <c r="E41" s="50" t="s">
        <v>189</v>
      </c>
      <c r="F41" s="52">
        <v>30893</v>
      </c>
      <c r="G41" s="50" t="s">
        <v>79</v>
      </c>
      <c r="H41" s="55">
        <v>1034</v>
      </c>
      <c r="I41" s="50" t="s">
        <v>145</v>
      </c>
      <c r="J41" s="59">
        <f>(F41*H41)/1000</f>
        <v>31943.362000000001</v>
      </c>
      <c r="K41" s="168">
        <f t="shared" si="8"/>
        <v>3445.9797944687357</v>
      </c>
      <c r="L41" s="168">
        <f t="shared" si="9"/>
        <v>2.5185085674848902E-2</v>
      </c>
      <c r="M41" s="169">
        <f t="shared" si="10"/>
        <v>2.0156555510620434E-2</v>
      </c>
      <c r="N41" s="3"/>
      <c r="O41" s="3"/>
      <c r="P41" s="3"/>
      <c r="Q41" s="3"/>
      <c r="R41" s="3"/>
      <c r="S41" s="3"/>
      <c r="T41" s="3"/>
      <c r="U41" s="3"/>
      <c r="V41" s="3"/>
      <c r="W41" s="3"/>
      <c r="X41" s="3"/>
      <c r="Y41" s="3"/>
      <c r="Z41" s="3"/>
    </row>
    <row r="42" spans="1:26" ht="15.75" customHeight="1" x14ac:dyDescent="0.25">
      <c r="A42" s="3"/>
      <c r="B42" s="49"/>
      <c r="C42" s="49"/>
      <c r="D42" s="49"/>
      <c r="E42" s="49"/>
      <c r="F42" s="68"/>
      <c r="G42" s="49"/>
      <c r="H42" s="68"/>
      <c r="I42" s="49"/>
      <c r="J42" s="185">
        <v>15831379</v>
      </c>
      <c r="K42" s="165">
        <v>1624127.1</v>
      </c>
      <c r="L42" s="187">
        <v>11.87</v>
      </c>
      <c r="M42" s="187">
        <v>9.5</v>
      </c>
      <c r="N42" s="3"/>
      <c r="O42" s="3"/>
      <c r="P42" s="3"/>
      <c r="Q42" s="3"/>
      <c r="R42" s="3"/>
      <c r="S42" s="3"/>
      <c r="T42" s="3"/>
      <c r="U42" s="3"/>
      <c r="V42" s="3"/>
      <c r="W42" s="3"/>
      <c r="X42" s="3"/>
      <c r="Y42" s="3"/>
      <c r="Z42" s="3"/>
    </row>
    <row r="43" spans="1:26" ht="15.75" customHeight="1" x14ac:dyDescent="0.25">
      <c r="A43" s="3"/>
      <c r="B43" s="49"/>
      <c r="C43" s="50" t="s">
        <v>114</v>
      </c>
      <c r="D43" s="155" t="s">
        <v>98</v>
      </c>
      <c r="E43" s="50" t="s">
        <v>53</v>
      </c>
      <c r="F43" s="52">
        <v>781584</v>
      </c>
      <c r="G43" s="50" t="s">
        <v>55</v>
      </c>
      <c r="H43" s="55">
        <v>12976</v>
      </c>
      <c r="I43" s="50" t="s">
        <v>112</v>
      </c>
      <c r="J43" s="59">
        <f>(F43*H43*2000)/1000000</f>
        <v>20283667.967999998</v>
      </c>
      <c r="K43" s="168">
        <f t="shared" ref="K43:K45" si="11">(J43/(J$43+J$44+J$45))*K$46</f>
        <v>2177032.1726198266</v>
      </c>
      <c r="L43" s="169">
        <f t="shared" ref="L43:L45" si="12">(J43/(J$43+J$44+J$45))*L$46</f>
        <v>15.912165354062218</v>
      </c>
      <c r="M43" s="169">
        <f t="shared" ref="M43:M45" si="13">(J43/(J$43+J$44+J$45))*M$46</f>
        <v>12.729732283249774</v>
      </c>
      <c r="N43" s="3"/>
      <c r="O43" s="3"/>
      <c r="P43" s="3"/>
      <c r="Q43" s="3"/>
      <c r="R43" s="3"/>
      <c r="S43" s="3"/>
      <c r="T43" s="3"/>
      <c r="U43" s="3"/>
      <c r="V43" s="3"/>
      <c r="W43" s="3"/>
      <c r="X43" s="3"/>
      <c r="Y43" s="3"/>
      <c r="Z43" s="3"/>
    </row>
    <row r="44" spans="1:26" ht="15.75" customHeight="1" x14ac:dyDescent="0.25">
      <c r="A44" s="3"/>
      <c r="B44" s="49"/>
      <c r="C44" s="50"/>
      <c r="D44" s="155"/>
      <c r="E44" s="50" t="s">
        <v>187</v>
      </c>
      <c r="F44" s="52">
        <v>47448</v>
      </c>
      <c r="G44" s="50" t="s">
        <v>66</v>
      </c>
      <c r="H44" s="55">
        <v>137658</v>
      </c>
      <c r="I44" s="50" t="s">
        <v>67</v>
      </c>
      <c r="J44" s="59">
        <f>(F44*H44)/1000000</f>
        <v>6531.5967840000003</v>
      </c>
      <c r="K44" s="168">
        <f t="shared" si="11"/>
        <v>701.03180350719674</v>
      </c>
      <c r="L44" s="169">
        <f t="shared" si="12"/>
        <v>5.1239178346359441E-3</v>
      </c>
      <c r="M44" s="169">
        <f t="shared" si="13"/>
        <v>4.0991342677087553E-3</v>
      </c>
      <c r="N44" s="3"/>
      <c r="O44" s="3"/>
      <c r="P44" s="3"/>
      <c r="Q44" s="3"/>
      <c r="R44" s="3"/>
      <c r="S44" s="3"/>
      <c r="T44" s="3"/>
      <c r="U44" s="3"/>
      <c r="V44" s="3"/>
      <c r="W44" s="3"/>
      <c r="X44" s="3"/>
      <c r="Y44" s="3"/>
      <c r="Z44" s="3"/>
    </row>
    <row r="45" spans="1:26" ht="15.75" customHeight="1" x14ac:dyDescent="0.25">
      <c r="A45" s="3"/>
      <c r="B45" s="49"/>
      <c r="C45" s="50"/>
      <c r="D45" s="155"/>
      <c r="E45" s="50" t="s">
        <v>189</v>
      </c>
      <c r="F45" s="52">
        <v>163134</v>
      </c>
      <c r="G45" s="50" t="s">
        <v>79</v>
      </c>
      <c r="H45" s="55">
        <v>1037</v>
      </c>
      <c r="I45" s="50" t="s">
        <v>145</v>
      </c>
      <c r="J45" s="59">
        <f>(F45*H45)/1000</f>
        <v>169169.95800000001</v>
      </c>
      <c r="K45" s="168">
        <f t="shared" si="11"/>
        <v>18156.895576666189</v>
      </c>
      <c r="L45" s="169">
        <f t="shared" si="12"/>
        <v>0.13271072810314702</v>
      </c>
      <c r="M45" s="169">
        <f t="shared" si="13"/>
        <v>0.10616858248251762</v>
      </c>
      <c r="N45" s="3"/>
      <c r="O45" s="3"/>
      <c r="P45" s="3"/>
      <c r="Q45" s="3"/>
      <c r="R45" s="3"/>
      <c r="S45" s="3"/>
      <c r="T45" s="3"/>
      <c r="U45" s="3"/>
      <c r="V45" s="3"/>
      <c r="W45" s="3"/>
      <c r="X45" s="3"/>
      <c r="Y45" s="3"/>
      <c r="Z45" s="3"/>
    </row>
    <row r="46" spans="1:26" ht="15.75" customHeight="1" x14ac:dyDescent="0.25">
      <c r="A46" s="3"/>
      <c r="B46" s="49"/>
      <c r="C46" s="49"/>
      <c r="D46" s="154"/>
      <c r="E46" s="49"/>
      <c r="F46" s="68"/>
      <c r="G46" s="49"/>
      <c r="H46" s="68"/>
      <c r="I46" s="49"/>
      <c r="J46" s="185">
        <v>21404540</v>
      </c>
      <c r="K46" s="165">
        <v>2195890.1</v>
      </c>
      <c r="L46" s="187">
        <v>16.05</v>
      </c>
      <c r="M46" s="187">
        <v>12.84</v>
      </c>
      <c r="N46" s="3"/>
      <c r="O46" s="3"/>
      <c r="P46" s="3"/>
      <c r="Q46" s="3"/>
      <c r="R46" s="3"/>
      <c r="S46" s="3"/>
      <c r="T46" s="3"/>
      <c r="U46" s="3"/>
      <c r="V46" s="3"/>
      <c r="W46" s="3"/>
      <c r="X46" s="3"/>
      <c r="Y46" s="3"/>
      <c r="Z46" s="3"/>
    </row>
    <row r="47" spans="1:26" ht="15.75" customHeight="1" x14ac:dyDescent="0.25">
      <c r="A47" s="3"/>
      <c r="B47" s="49"/>
      <c r="C47" s="49"/>
      <c r="D47" s="154"/>
      <c r="E47" s="49"/>
      <c r="F47" s="68"/>
      <c r="G47" s="49"/>
      <c r="H47" s="68"/>
      <c r="I47" s="49"/>
      <c r="J47" s="205"/>
      <c r="K47" s="92"/>
      <c r="L47" s="107"/>
      <c r="M47" s="107"/>
      <c r="N47" s="3"/>
      <c r="O47" s="3"/>
      <c r="P47" s="3"/>
      <c r="Q47" s="3"/>
      <c r="R47" s="3"/>
      <c r="S47" s="3"/>
      <c r="T47" s="3"/>
      <c r="U47" s="3"/>
      <c r="V47" s="3"/>
      <c r="W47" s="3"/>
      <c r="X47" s="3"/>
      <c r="Y47" s="3"/>
      <c r="Z47" s="3"/>
    </row>
    <row r="48" spans="1:26" ht="15.75" customHeight="1" x14ac:dyDescent="0.25">
      <c r="A48" s="3"/>
      <c r="B48" s="49"/>
      <c r="C48" s="50" t="s">
        <v>199</v>
      </c>
      <c r="D48" s="155" t="s">
        <v>122</v>
      </c>
      <c r="E48" s="50" t="s">
        <v>200</v>
      </c>
      <c r="F48" s="52">
        <v>620224</v>
      </c>
      <c r="G48" s="50" t="s">
        <v>66</v>
      </c>
      <c r="H48" s="55">
        <v>151598</v>
      </c>
      <c r="I48" s="50" t="s">
        <v>67</v>
      </c>
      <c r="J48" s="59">
        <f t="shared" ref="J48:J49" si="14">(F48*H48)/1000000</f>
        <v>94024.717952000006</v>
      </c>
      <c r="K48" s="168">
        <f>(J48/(J$48+J$49+J$50))*K$51</f>
        <v>5852.9094182510353</v>
      </c>
      <c r="L48" s="169">
        <f t="shared" ref="L48:L50" si="15">(J48/(J$48+J$49+J$50))*L$51</f>
        <v>0.11209004761242979</v>
      </c>
      <c r="M48" s="169">
        <f t="shared" ref="M48:M50" si="16">(J48/(J$48+J$49+J$50))*M$51</f>
        <v>3.7591174504168524E-2</v>
      </c>
      <c r="N48" s="3"/>
      <c r="O48" s="3"/>
      <c r="P48" s="3"/>
      <c r="Q48" s="3"/>
      <c r="R48" s="3"/>
      <c r="S48" s="3"/>
      <c r="T48" s="3"/>
      <c r="U48" s="3"/>
      <c r="V48" s="3"/>
      <c r="W48" s="3"/>
      <c r="X48" s="3"/>
      <c r="Y48" s="3"/>
      <c r="Z48" s="3"/>
    </row>
    <row r="49" spans="1:26" ht="15.75" customHeight="1" x14ac:dyDescent="0.25">
      <c r="A49" s="3"/>
      <c r="B49" s="49"/>
      <c r="C49" s="50"/>
      <c r="D49" s="155"/>
      <c r="E49" s="50" t="s">
        <v>187</v>
      </c>
      <c r="F49" s="55">
        <v>0</v>
      </c>
      <c r="G49" s="50" t="s">
        <v>66</v>
      </c>
      <c r="H49" s="55">
        <v>132252</v>
      </c>
      <c r="I49" s="50" t="s">
        <v>67</v>
      </c>
      <c r="J49" s="59">
        <f t="shared" si="14"/>
        <v>0</v>
      </c>
      <c r="K49" s="168" t="s">
        <v>204</v>
      </c>
      <c r="L49" s="169">
        <f t="shared" si="15"/>
        <v>0</v>
      </c>
      <c r="M49" s="169">
        <f t="shared" si="16"/>
        <v>0</v>
      </c>
      <c r="N49" s="3"/>
      <c r="O49" s="3"/>
      <c r="P49" s="3"/>
      <c r="Q49" s="3"/>
      <c r="R49" s="3"/>
      <c r="S49" s="3"/>
      <c r="T49" s="3"/>
      <c r="U49" s="3"/>
      <c r="V49" s="3"/>
      <c r="W49" s="3"/>
      <c r="X49" s="3"/>
      <c r="Y49" s="3"/>
      <c r="Z49" s="3"/>
    </row>
    <row r="50" spans="1:26" ht="15.75" customHeight="1" x14ac:dyDescent="0.25">
      <c r="A50" s="3"/>
      <c r="B50" s="49"/>
      <c r="C50" s="50"/>
      <c r="D50" s="155"/>
      <c r="E50" s="50" t="s">
        <v>189</v>
      </c>
      <c r="F50" s="52">
        <v>3911764</v>
      </c>
      <c r="G50" s="50" t="s">
        <v>79</v>
      </c>
      <c r="H50" s="55">
        <v>1031</v>
      </c>
      <c r="I50" s="50" t="s">
        <v>145</v>
      </c>
      <c r="J50" s="59">
        <f>(F50*H50)/1000</f>
        <v>4033028.6839999999</v>
      </c>
      <c r="K50" s="168">
        <f>(J50/(J$48+J$49+J$50))*K$51</f>
        <v>251050.49058174895</v>
      </c>
      <c r="L50" s="169">
        <f t="shared" si="15"/>
        <v>4.8079099523875701</v>
      </c>
      <c r="M50" s="169">
        <f t="shared" si="16"/>
        <v>1.6124088254958313</v>
      </c>
      <c r="N50" s="3"/>
      <c r="O50" s="3"/>
      <c r="P50" s="3"/>
      <c r="Q50" s="3"/>
      <c r="R50" s="3"/>
      <c r="S50" s="3"/>
      <c r="T50" s="3"/>
      <c r="U50" s="3"/>
      <c r="V50" s="3"/>
      <c r="W50" s="3"/>
      <c r="X50" s="3"/>
      <c r="Y50" s="3"/>
      <c r="Z50" s="3"/>
    </row>
    <row r="51" spans="1:26" ht="15.75" customHeight="1" x14ac:dyDescent="0.25">
      <c r="A51" s="3"/>
      <c r="B51" s="49"/>
      <c r="C51" s="49"/>
      <c r="D51" s="154"/>
      <c r="E51" s="49"/>
      <c r="F51" s="68"/>
      <c r="G51" s="49"/>
      <c r="H51" s="68"/>
      <c r="I51" s="49"/>
      <c r="J51" s="185">
        <v>4294455</v>
      </c>
      <c r="K51" s="165">
        <v>256903.4</v>
      </c>
      <c r="L51" s="187">
        <v>4.92</v>
      </c>
      <c r="M51" s="187">
        <v>1.65</v>
      </c>
      <c r="N51" s="3"/>
      <c r="O51" s="3"/>
      <c r="P51" s="3"/>
      <c r="Q51" s="3"/>
      <c r="R51" s="3"/>
      <c r="S51" s="3"/>
      <c r="T51" s="3"/>
      <c r="U51" s="3"/>
      <c r="V51" s="3"/>
      <c r="W51" s="3"/>
      <c r="X51" s="3"/>
      <c r="Y51" s="3"/>
      <c r="Z51" s="3"/>
    </row>
    <row r="52" spans="1:26" ht="15.75" customHeight="1" x14ac:dyDescent="0.25">
      <c r="A52" s="3"/>
      <c r="B52" s="49"/>
      <c r="C52" s="49"/>
      <c r="D52" s="154"/>
      <c r="E52" s="49"/>
      <c r="F52" s="68"/>
      <c r="G52" s="49"/>
      <c r="H52" s="68"/>
      <c r="I52" s="49"/>
      <c r="J52" s="205"/>
      <c r="K52" s="92"/>
      <c r="L52" s="107"/>
      <c r="M52" s="107"/>
      <c r="N52" s="3"/>
      <c r="O52" s="3"/>
      <c r="P52" s="3"/>
      <c r="Q52" s="3"/>
      <c r="R52" s="3"/>
      <c r="S52" s="3"/>
      <c r="T52" s="3"/>
      <c r="U52" s="3"/>
      <c r="V52" s="3"/>
      <c r="W52" s="3"/>
      <c r="X52" s="3"/>
      <c r="Y52" s="3"/>
      <c r="Z52" s="3"/>
    </row>
    <row r="53" spans="1:26" ht="15.75" customHeight="1" x14ac:dyDescent="0.25">
      <c r="A53" s="3"/>
      <c r="B53" s="49"/>
      <c r="C53" s="49" t="s">
        <v>208</v>
      </c>
      <c r="D53" s="274" t="s">
        <v>209</v>
      </c>
      <c r="E53" s="49" t="s">
        <v>200</v>
      </c>
      <c r="F53" s="92">
        <v>563476</v>
      </c>
      <c r="G53" s="49" t="s">
        <v>66</v>
      </c>
      <c r="H53" s="68">
        <v>151673</v>
      </c>
      <c r="I53" s="49" t="s">
        <v>67</v>
      </c>
      <c r="J53" s="276">
        <f t="shared" ref="J53:J54" si="17">(F53*H53)/1000000</f>
        <v>85464.095348000003</v>
      </c>
      <c r="K53" s="168">
        <f t="shared" ref="K53:K55" si="18">(J53/(J$53+J$54+J$55))*K$56</f>
        <v>6041.7196432692781</v>
      </c>
      <c r="L53" s="169">
        <f t="shared" ref="L53:L55" si="19">(J53/(J$53+J$54+J$55))*L$56</f>
        <v>0.11592271821026373</v>
      </c>
      <c r="M53" s="169">
        <f t="shared" ref="M53:M55" si="20">(J53/(J$53+J$54+J$55))*M$56</f>
        <v>3.8017665649602621E-2</v>
      </c>
      <c r="N53" s="3"/>
      <c r="O53" s="3"/>
      <c r="P53" s="3"/>
      <c r="Q53" s="3"/>
      <c r="R53" s="3"/>
      <c r="S53" s="3"/>
      <c r="T53" s="3"/>
      <c r="U53" s="3"/>
      <c r="V53" s="3"/>
      <c r="W53" s="3"/>
      <c r="X53" s="3"/>
      <c r="Y53" s="3"/>
      <c r="Z53" s="3"/>
    </row>
    <row r="54" spans="1:26" ht="15.75" customHeight="1" x14ac:dyDescent="0.25">
      <c r="A54" s="3"/>
      <c r="B54" s="49"/>
      <c r="C54" s="49"/>
      <c r="D54" s="154"/>
      <c r="E54" s="49" t="s">
        <v>187</v>
      </c>
      <c r="F54" s="68">
        <v>0</v>
      </c>
      <c r="G54" s="49" t="s">
        <v>66</v>
      </c>
      <c r="H54" s="68">
        <v>132424</v>
      </c>
      <c r="I54" s="49" t="s">
        <v>67</v>
      </c>
      <c r="J54" s="276">
        <f t="shared" si="17"/>
        <v>0</v>
      </c>
      <c r="K54" s="168">
        <f t="shared" si="18"/>
        <v>0</v>
      </c>
      <c r="L54" s="169">
        <f t="shared" si="19"/>
        <v>0</v>
      </c>
      <c r="M54" s="169">
        <f t="shared" si="20"/>
        <v>0</v>
      </c>
      <c r="N54" s="3"/>
      <c r="O54" s="3"/>
      <c r="P54" s="3"/>
      <c r="Q54" s="3"/>
      <c r="R54" s="3"/>
      <c r="S54" s="3"/>
      <c r="T54" s="3"/>
      <c r="U54" s="3"/>
      <c r="V54" s="3"/>
      <c r="W54" s="3"/>
      <c r="X54" s="3"/>
      <c r="Y54" s="3"/>
      <c r="Z54" s="3"/>
    </row>
    <row r="55" spans="1:26" ht="15.75" customHeight="1" x14ac:dyDescent="0.25">
      <c r="A55" s="3"/>
      <c r="B55" s="49"/>
      <c r="C55" s="49"/>
      <c r="D55" s="154"/>
      <c r="E55" s="49" t="s">
        <v>189</v>
      </c>
      <c r="F55" s="92">
        <v>3907269</v>
      </c>
      <c r="G55" s="49" t="s">
        <v>79</v>
      </c>
      <c r="H55" s="68">
        <v>1031</v>
      </c>
      <c r="I55" s="49" t="s">
        <v>145</v>
      </c>
      <c r="J55" s="276">
        <f>(F55*H55)/1000</f>
        <v>4028394.3390000002</v>
      </c>
      <c r="K55" s="168">
        <f t="shared" si="18"/>
        <v>284779.58035673073</v>
      </c>
      <c r="L55" s="169">
        <f t="shared" si="19"/>
        <v>5.4640772817897361</v>
      </c>
      <c r="M55" s="169">
        <f t="shared" si="20"/>
        <v>1.7919823343503976</v>
      </c>
      <c r="N55" s="3"/>
      <c r="O55" s="3"/>
      <c r="P55" s="3"/>
      <c r="Q55" s="3"/>
      <c r="R55" s="3"/>
      <c r="S55" s="3"/>
      <c r="T55" s="3"/>
      <c r="U55" s="3"/>
      <c r="V55" s="3"/>
      <c r="W55" s="3"/>
      <c r="X55" s="3"/>
      <c r="Y55" s="3"/>
      <c r="Z55" s="3"/>
    </row>
    <row r="56" spans="1:26" ht="15.75" customHeight="1" x14ac:dyDescent="0.25">
      <c r="A56" s="3"/>
      <c r="B56" s="49"/>
      <c r="C56" s="49"/>
      <c r="D56" s="154"/>
      <c r="E56" s="49"/>
      <c r="F56" s="68"/>
      <c r="G56" s="49"/>
      <c r="H56" s="68"/>
      <c r="I56" s="49"/>
      <c r="J56" s="185">
        <v>4867186</v>
      </c>
      <c r="K56" s="165">
        <v>290821.3</v>
      </c>
      <c r="L56" s="187">
        <v>5.58</v>
      </c>
      <c r="M56" s="187">
        <v>1.83</v>
      </c>
      <c r="N56" s="3"/>
      <c r="O56" s="3"/>
      <c r="P56" s="3"/>
      <c r="Q56" s="3"/>
      <c r="R56" s="3"/>
      <c r="S56" s="3"/>
      <c r="T56" s="3"/>
      <c r="U56" s="3"/>
      <c r="V56" s="3"/>
      <c r="W56" s="3"/>
      <c r="X56" s="3"/>
      <c r="Y56" s="3"/>
      <c r="Z56" s="3"/>
    </row>
    <row r="57" spans="1:26" ht="15.75" customHeight="1" x14ac:dyDescent="0.25">
      <c r="A57" s="3"/>
      <c r="B57" s="49"/>
      <c r="C57" s="49"/>
      <c r="D57" s="154"/>
      <c r="E57" s="49"/>
      <c r="F57" s="68"/>
      <c r="G57" s="49"/>
      <c r="H57" s="68"/>
      <c r="I57" s="49"/>
      <c r="J57" s="185"/>
      <c r="K57" s="92"/>
      <c r="L57" s="107"/>
      <c r="M57" s="107"/>
      <c r="N57" s="3"/>
      <c r="O57" s="3"/>
      <c r="P57" s="3"/>
      <c r="Q57" s="3"/>
      <c r="R57" s="3"/>
      <c r="S57" s="3"/>
      <c r="T57" s="3"/>
      <c r="U57" s="3"/>
      <c r="V57" s="3"/>
      <c r="W57" s="3"/>
      <c r="X57" s="3"/>
      <c r="Y57" s="3"/>
      <c r="Z57" s="3"/>
    </row>
    <row r="58" spans="1:26" ht="15.75" customHeight="1" x14ac:dyDescent="0.25">
      <c r="A58" s="3"/>
      <c r="B58" s="49"/>
      <c r="C58" s="49" t="s">
        <v>222</v>
      </c>
      <c r="D58" s="154" t="s">
        <v>223</v>
      </c>
      <c r="E58" s="49" t="s">
        <v>187</v>
      </c>
      <c r="F58" s="92">
        <v>63080</v>
      </c>
      <c r="G58" s="49" t="s">
        <v>66</v>
      </c>
      <c r="H58" s="68">
        <v>137630</v>
      </c>
      <c r="I58" s="49" t="s">
        <v>67</v>
      </c>
      <c r="J58" s="185">
        <f>(F58*H58)/1000000</f>
        <v>8681.7003999999997</v>
      </c>
      <c r="K58" s="99">
        <v>1550</v>
      </c>
      <c r="L58" s="296">
        <v>2.0000000000000001E-4</v>
      </c>
      <c r="M58" s="101">
        <v>3.5000000000000003E-2</v>
      </c>
      <c r="N58" s="3"/>
      <c r="O58" s="3"/>
      <c r="P58" s="3"/>
      <c r="Q58" s="3"/>
      <c r="R58" s="3"/>
      <c r="S58" s="3"/>
      <c r="T58" s="3"/>
      <c r="U58" s="3"/>
      <c r="V58" s="3"/>
      <c r="W58" s="3"/>
      <c r="X58" s="3"/>
      <c r="Y58" s="3"/>
      <c r="Z58" s="3"/>
    </row>
    <row r="59" spans="1:26" ht="15.75" customHeight="1" x14ac:dyDescent="0.25">
      <c r="A59" s="3"/>
      <c r="B59" s="49"/>
      <c r="C59" s="49"/>
      <c r="D59" s="154"/>
      <c r="E59" s="49"/>
      <c r="F59" s="68"/>
      <c r="G59" s="49"/>
      <c r="H59" s="68"/>
      <c r="I59" s="49"/>
      <c r="J59" s="205"/>
      <c r="K59" s="92"/>
      <c r="L59" s="107"/>
      <c r="M59" s="107"/>
      <c r="N59" s="3"/>
      <c r="O59" s="3"/>
      <c r="P59" s="3"/>
      <c r="Q59" s="3"/>
      <c r="R59" s="3"/>
      <c r="S59" s="3"/>
      <c r="T59" s="3"/>
      <c r="U59" s="3"/>
      <c r="V59" s="3"/>
      <c r="W59" s="3"/>
      <c r="X59" s="3"/>
      <c r="Y59" s="3"/>
      <c r="Z59" s="3"/>
    </row>
    <row r="60" spans="1:26" ht="15.75" customHeight="1" x14ac:dyDescent="0.25">
      <c r="A60" s="3"/>
      <c r="B60" s="49"/>
      <c r="C60" s="49" t="s">
        <v>225</v>
      </c>
      <c r="D60" s="274" t="s">
        <v>226</v>
      </c>
      <c r="E60" s="49" t="s">
        <v>187</v>
      </c>
      <c r="F60" s="92">
        <v>111736</v>
      </c>
      <c r="G60" s="49" t="s">
        <v>66</v>
      </c>
      <c r="H60" s="68">
        <v>137630</v>
      </c>
      <c r="I60" s="49" t="s">
        <v>67</v>
      </c>
      <c r="J60" s="185">
        <v>10527</v>
      </c>
      <c r="K60" s="92">
        <v>854</v>
      </c>
      <c r="L60" s="299">
        <v>2.9999999999999997E-4</v>
      </c>
      <c r="M60" s="107">
        <v>6.2E-2</v>
      </c>
      <c r="N60" s="3"/>
      <c r="O60" s="3"/>
      <c r="P60" s="3"/>
      <c r="Q60" s="3"/>
      <c r="R60" s="3"/>
      <c r="S60" s="3"/>
      <c r="T60" s="3"/>
      <c r="U60" s="3"/>
      <c r="V60" s="3"/>
      <c r="W60" s="3"/>
      <c r="X60" s="3"/>
      <c r="Y60" s="3"/>
      <c r="Z60" s="3"/>
    </row>
    <row r="61" spans="1:26" ht="15.75" customHeight="1" x14ac:dyDescent="0.25">
      <c r="A61" s="3"/>
      <c r="B61" s="49"/>
      <c r="C61" s="49"/>
      <c r="D61" s="154"/>
      <c r="E61" s="49"/>
      <c r="F61" s="68"/>
      <c r="G61" s="49"/>
      <c r="H61" s="68"/>
      <c r="I61" s="49"/>
      <c r="J61" s="205"/>
      <c r="K61" s="92"/>
      <c r="L61" s="107"/>
      <c r="M61" s="107"/>
      <c r="N61" s="3"/>
      <c r="O61" s="3"/>
      <c r="P61" s="3"/>
      <c r="Q61" s="3"/>
      <c r="R61" s="3"/>
      <c r="S61" s="3"/>
      <c r="T61" s="3"/>
      <c r="U61" s="3"/>
      <c r="V61" s="3"/>
      <c r="W61" s="3"/>
      <c r="X61" s="3"/>
      <c r="Y61" s="3"/>
      <c r="Z61" s="3"/>
    </row>
    <row r="62" spans="1:26" ht="15.75" customHeight="1" x14ac:dyDescent="0.25">
      <c r="A62" s="3"/>
      <c r="B62" s="49"/>
      <c r="C62" s="50" t="s">
        <v>228</v>
      </c>
      <c r="D62" s="155" t="s">
        <v>229</v>
      </c>
      <c r="E62" s="50" t="s">
        <v>187</v>
      </c>
      <c r="F62" s="52">
        <v>269708</v>
      </c>
      <c r="G62" s="50" t="s">
        <v>66</v>
      </c>
      <c r="H62" s="55">
        <v>139001</v>
      </c>
      <c r="I62" s="50" t="s">
        <v>67</v>
      </c>
      <c r="J62" s="59">
        <f>(F62*H62)/1000000</f>
        <v>37489.681707999996</v>
      </c>
      <c r="K62" s="168">
        <f t="shared" ref="K62:K63" si="21">(J62/(J$62+J$63))*K$64</f>
        <v>2444.017633327051</v>
      </c>
      <c r="L62" s="169">
        <f t="shared" ref="L62:L63" si="22">(J62/(J$62+J$63))*L$64</f>
        <v>1.4580915764344652E-2</v>
      </c>
      <c r="M62" s="169">
        <f t="shared" ref="M62:M63" si="23">(J62/(J$62+J$63))*M$64</f>
        <v>5.9111820666262103E-2</v>
      </c>
      <c r="N62" s="3"/>
      <c r="O62" s="3"/>
      <c r="P62" s="3"/>
      <c r="Q62" s="3"/>
      <c r="R62" s="3"/>
      <c r="S62" s="3"/>
      <c r="T62" s="3"/>
      <c r="U62" s="3"/>
      <c r="V62" s="3"/>
      <c r="W62" s="3"/>
      <c r="X62" s="3"/>
      <c r="Y62" s="3"/>
      <c r="Z62" s="3"/>
    </row>
    <row r="63" spans="1:26" ht="15.75" customHeight="1" x14ac:dyDescent="0.25">
      <c r="A63" s="3"/>
      <c r="B63" s="49"/>
      <c r="C63" s="50"/>
      <c r="D63" s="155"/>
      <c r="E63" s="50" t="s">
        <v>189</v>
      </c>
      <c r="F63" s="52">
        <v>148038</v>
      </c>
      <c r="G63" s="50" t="s">
        <v>79</v>
      </c>
      <c r="H63" s="55">
        <v>1032</v>
      </c>
      <c r="I63" s="50" t="s">
        <v>145</v>
      </c>
      <c r="J63" s="59">
        <f>(F63*H63)/1000</f>
        <v>152775.21599999999</v>
      </c>
      <c r="K63" s="168">
        <f t="shared" si="21"/>
        <v>9959.6823666729506</v>
      </c>
      <c r="L63" s="169">
        <f t="shared" si="22"/>
        <v>5.9419084235655346E-2</v>
      </c>
      <c r="M63" s="169">
        <f t="shared" si="23"/>
        <v>0.24088817933373788</v>
      </c>
      <c r="N63" s="3"/>
      <c r="O63" s="3"/>
      <c r="P63" s="3"/>
      <c r="Q63" s="3"/>
      <c r="R63" s="3"/>
      <c r="S63" s="3"/>
      <c r="T63" s="3"/>
      <c r="U63" s="3"/>
      <c r="V63" s="3"/>
      <c r="W63" s="3"/>
      <c r="X63" s="3"/>
      <c r="Y63" s="3"/>
      <c r="Z63" s="3"/>
    </row>
    <row r="64" spans="1:26" ht="15.75" customHeight="1" x14ac:dyDescent="0.25">
      <c r="A64" s="3"/>
      <c r="B64" s="49"/>
      <c r="C64" s="49"/>
      <c r="D64" s="154"/>
      <c r="E64" s="49"/>
      <c r="F64" s="68"/>
      <c r="G64" s="49"/>
      <c r="H64" s="68"/>
      <c r="I64" s="49"/>
      <c r="J64" s="185">
        <v>193369</v>
      </c>
      <c r="K64" s="165">
        <v>12403.7</v>
      </c>
      <c r="L64" s="187">
        <v>7.3999999999999996E-2</v>
      </c>
      <c r="M64" s="187">
        <v>0.3</v>
      </c>
      <c r="N64" s="3"/>
      <c r="O64" s="3"/>
      <c r="P64" s="3"/>
      <c r="Q64" s="3"/>
      <c r="R64" s="3"/>
      <c r="S64" s="3"/>
      <c r="T64" s="3"/>
      <c r="U64" s="3"/>
      <c r="V64" s="3"/>
      <c r="W64" s="3"/>
      <c r="X64" s="3"/>
      <c r="Y64" s="3"/>
      <c r="Z64" s="3"/>
    </row>
    <row r="65" spans="1:26" ht="15.75" customHeight="1" x14ac:dyDescent="0.25">
      <c r="A65" s="3"/>
      <c r="B65" s="49"/>
      <c r="C65" s="50" t="s">
        <v>233</v>
      </c>
      <c r="D65" s="155" t="s">
        <v>234</v>
      </c>
      <c r="E65" s="50" t="s">
        <v>187</v>
      </c>
      <c r="F65" s="52">
        <v>66485</v>
      </c>
      <c r="G65" s="50" t="s">
        <v>66</v>
      </c>
      <c r="H65" s="55">
        <v>139001</v>
      </c>
      <c r="I65" s="50" t="s">
        <v>67</v>
      </c>
      <c r="J65" s="59">
        <f>(F65*H65)/1000000</f>
        <v>9241.4814850000002</v>
      </c>
      <c r="K65" s="168">
        <f t="shared" ref="K65:K66" si="24">(J65/(J$65+J$66))*K$67</f>
        <v>565.3152868808354</v>
      </c>
      <c r="L65" s="169">
        <f t="shared" ref="L65:L66" si="25">(J65/(J$65+J$66))*L$67</f>
        <v>3.7826957772946995E-3</v>
      </c>
      <c r="M65" s="169">
        <f t="shared" ref="M65:M66" si="26">(J65/(J$65+J$66))*M$67</f>
        <v>1.0316443028985545E-2</v>
      </c>
      <c r="N65" s="3"/>
      <c r="O65" s="3"/>
      <c r="P65" s="3"/>
      <c r="Q65" s="3"/>
      <c r="R65" s="3"/>
      <c r="S65" s="3"/>
      <c r="T65" s="3"/>
      <c r="U65" s="3"/>
      <c r="V65" s="3"/>
      <c r="W65" s="3"/>
      <c r="X65" s="3"/>
      <c r="Y65" s="3"/>
      <c r="Z65" s="3"/>
    </row>
    <row r="66" spans="1:26" ht="15.75" customHeight="1" x14ac:dyDescent="0.25">
      <c r="A66" s="3"/>
      <c r="B66" s="49"/>
      <c r="C66" s="50"/>
      <c r="D66" s="155"/>
      <c r="E66" s="50" t="s">
        <v>189</v>
      </c>
      <c r="F66" s="52">
        <v>95208</v>
      </c>
      <c r="G66" s="50" t="s">
        <v>79</v>
      </c>
      <c r="H66" s="55">
        <v>1032</v>
      </c>
      <c r="I66" s="50" t="s">
        <v>145</v>
      </c>
      <c r="J66" s="59">
        <f>(F66*H66)/1000</f>
        <v>98254.656000000003</v>
      </c>
      <c r="K66" s="168">
        <f t="shared" si="24"/>
        <v>6010.3847131191642</v>
      </c>
      <c r="L66" s="169">
        <f t="shared" si="25"/>
        <v>4.0217304222705294E-2</v>
      </c>
      <c r="M66" s="169">
        <f t="shared" si="26"/>
        <v>0.10968355697101445</v>
      </c>
      <c r="N66" s="3"/>
      <c r="O66" s="3"/>
      <c r="P66" s="3"/>
      <c r="Q66" s="3"/>
      <c r="R66" s="3"/>
      <c r="S66" s="3"/>
      <c r="T66" s="3"/>
      <c r="U66" s="3"/>
      <c r="V66" s="3"/>
      <c r="W66" s="3"/>
      <c r="X66" s="3"/>
      <c r="Y66" s="3"/>
      <c r="Z66" s="3"/>
    </row>
    <row r="67" spans="1:26" ht="15.75" customHeight="1" x14ac:dyDescent="0.25">
      <c r="A67" s="3"/>
      <c r="B67" s="49"/>
      <c r="C67" s="49"/>
      <c r="D67" s="154"/>
      <c r="E67" s="49"/>
      <c r="F67" s="68"/>
      <c r="G67" s="49"/>
      <c r="H67" s="68"/>
      <c r="I67" s="49"/>
      <c r="J67" s="185">
        <v>108353</v>
      </c>
      <c r="K67" s="165">
        <v>6575.7</v>
      </c>
      <c r="L67" s="187">
        <v>4.3999999999999997E-2</v>
      </c>
      <c r="M67" s="187">
        <v>0.12</v>
      </c>
      <c r="N67" s="3"/>
      <c r="O67" s="3"/>
      <c r="P67" s="3"/>
      <c r="Q67" s="3"/>
      <c r="R67" s="3"/>
      <c r="S67" s="3"/>
      <c r="T67" s="3"/>
      <c r="U67" s="3"/>
      <c r="V67" s="3"/>
      <c r="W67" s="3"/>
      <c r="X67" s="3"/>
      <c r="Y67" s="3"/>
      <c r="Z67" s="3"/>
    </row>
    <row r="68" spans="1:26" ht="15.75" customHeight="1" x14ac:dyDescent="0.25">
      <c r="A68" s="3"/>
      <c r="B68" s="49"/>
      <c r="C68" s="50" t="s">
        <v>237</v>
      </c>
      <c r="D68" s="155" t="s">
        <v>238</v>
      </c>
      <c r="E68" s="50" t="s">
        <v>187</v>
      </c>
      <c r="F68" s="52">
        <v>145075</v>
      </c>
      <c r="G68" s="50" t="s">
        <v>66</v>
      </c>
      <c r="H68" s="55">
        <v>139001</v>
      </c>
      <c r="I68" s="50" t="s">
        <v>67</v>
      </c>
      <c r="J68" s="59">
        <f>(F68*H68)/1000000</f>
        <v>20165.570075</v>
      </c>
      <c r="K68" s="168">
        <f t="shared" ref="K68:K69" si="27">(J68/(J$68+J$69))*K$70</f>
        <v>1167.5515959444067</v>
      </c>
      <c r="L68" s="169">
        <f t="shared" ref="L68:L69" si="28">(J68/(J$68+J$69))*L$70</f>
        <v>7.3810337159427907E-3</v>
      </c>
      <c r="M68" s="169">
        <f t="shared" ref="M68:M69" si="29">(J68/(J$68+J$69))*M$70</f>
        <v>2.0666894404639813E-2</v>
      </c>
      <c r="N68" s="3"/>
      <c r="O68" s="3"/>
      <c r="P68" s="3"/>
      <c r="Q68" s="3"/>
      <c r="R68" s="3"/>
      <c r="S68" s="3"/>
      <c r="T68" s="3"/>
      <c r="U68" s="3"/>
      <c r="V68" s="3"/>
      <c r="W68" s="3"/>
      <c r="X68" s="3"/>
      <c r="Y68" s="3"/>
      <c r="Z68" s="3"/>
    </row>
    <row r="69" spans="1:26" ht="15.75" customHeight="1" x14ac:dyDescent="0.25">
      <c r="A69" s="3"/>
      <c r="B69" s="49"/>
      <c r="C69" s="50"/>
      <c r="D69" s="155"/>
      <c r="E69" s="50" t="s">
        <v>189</v>
      </c>
      <c r="F69" s="52">
        <v>179012</v>
      </c>
      <c r="G69" s="50" t="s">
        <v>79</v>
      </c>
      <c r="H69" s="55">
        <v>1032</v>
      </c>
      <c r="I69" s="50" t="s">
        <v>145</v>
      </c>
      <c r="J69" s="59">
        <f>(F69*H69)/1000</f>
        <v>184740.38399999999</v>
      </c>
      <c r="K69" s="168">
        <f t="shared" si="27"/>
        <v>10696.148404055595</v>
      </c>
      <c r="L69" s="169">
        <f t="shared" si="28"/>
        <v>6.7618966284057211E-2</v>
      </c>
      <c r="M69" s="169">
        <f t="shared" si="29"/>
        <v>0.18933310559536018</v>
      </c>
      <c r="N69" s="3"/>
      <c r="O69" s="3"/>
      <c r="P69" s="3"/>
      <c r="Q69" s="3"/>
      <c r="R69" s="3"/>
      <c r="S69" s="3"/>
      <c r="T69" s="3"/>
      <c r="U69" s="3"/>
      <c r="V69" s="3"/>
      <c r="W69" s="3"/>
      <c r="X69" s="3"/>
      <c r="Y69" s="3"/>
      <c r="Z69" s="3"/>
    </row>
    <row r="70" spans="1:26" ht="15.75" customHeight="1" x14ac:dyDescent="0.25">
      <c r="A70" s="3"/>
      <c r="B70" s="49"/>
      <c r="C70" s="49"/>
      <c r="D70" s="154"/>
      <c r="E70" s="49"/>
      <c r="F70" s="68"/>
      <c r="G70" s="49"/>
      <c r="H70" s="68"/>
      <c r="I70" s="49"/>
      <c r="J70" s="185">
        <v>183850</v>
      </c>
      <c r="K70" s="165">
        <v>11863.7</v>
      </c>
      <c r="L70" s="187">
        <v>7.4999999999999997E-2</v>
      </c>
      <c r="M70" s="187">
        <v>0.21</v>
      </c>
      <c r="N70" s="3"/>
      <c r="O70" s="3"/>
      <c r="P70" s="3"/>
      <c r="Q70" s="3"/>
      <c r="R70" s="3"/>
      <c r="S70" s="3"/>
      <c r="T70" s="3"/>
      <c r="U70" s="3"/>
      <c r="V70" s="3"/>
      <c r="W70" s="3"/>
      <c r="X70" s="3"/>
      <c r="Y70" s="3"/>
      <c r="Z70" s="3"/>
    </row>
    <row r="71" spans="1:26" ht="15.75" customHeight="1" x14ac:dyDescent="0.25">
      <c r="A71" s="3"/>
      <c r="B71" s="49"/>
      <c r="C71" s="50" t="s">
        <v>246</v>
      </c>
      <c r="D71" s="155" t="s">
        <v>247</v>
      </c>
      <c r="E71" s="50" t="s">
        <v>187</v>
      </c>
      <c r="F71" s="52">
        <v>209727</v>
      </c>
      <c r="G71" s="50" t="s">
        <v>66</v>
      </c>
      <c r="H71" s="55">
        <v>139001</v>
      </c>
      <c r="I71" s="50" t="s">
        <v>67</v>
      </c>
      <c r="J71" s="59">
        <f>(F71*H71)/1000000</f>
        <v>29152.262727000001</v>
      </c>
      <c r="K71" s="168">
        <f t="shared" ref="K71:K72" si="30">(J71/(J$71+J$72))*K$73</f>
        <v>1960.3415059859005</v>
      </c>
      <c r="L71" s="169">
        <f t="shared" ref="L71:L72" si="31">(J71/(J$71+J$72))*L$73</f>
        <v>1.2381211735791457E-2</v>
      </c>
      <c r="M71" s="169">
        <f t="shared" ref="M71:M72" si="32">(J71/(J$71+J$72))*M$73</f>
        <v>3.9568821011292284E-2</v>
      </c>
      <c r="N71" s="3"/>
      <c r="O71" s="3"/>
      <c r="P71" s="3"/>
      <c r="Q71" s="3"/>
      <c r="R71" s="3"/>
      <c r="S71" s="3"/>
      <c r="T71" s="3"/>
      <c r="U71" s="3"/>
      <c r="V71" s="3"/>
      <c r="W71" s="3"/>
      <c r="X71" s="3"/>
      <c r="Y71" s="3"/>
      <c r="Z71" s="3"/>
    </row>
    <row r="72" spans="1:26" ht="15.75" customHeight="1" x14ac:dyDescent="0.25">
      <c r="A72" s="3"/>
      <c r="B72" s="49"/>
      <c r="C72" s="50"/>
      <c r="D72" s="50"/>
      <c r="E72" s="50" t="s">
        <v>189</v>
      </c>
      <c r="F72" s="52">
        <v>193249</v>
      </c>
      <c r="G72" s="50" t="s">
        <v>79</v>
      </c>
      <c r="H72" s="55">
        <v>1031</v>
      </c>
      <c r="I72" s="50" t="s">
        <v>145</v>
      </c>
      <c r="J72" s="59">
        <f>(F72*H72)/1000</f>
        <v>199239.71900000001</v>
      </c>
      <c r="K72" s="168">
        <f t="shared" si="30"/>
        <v>13397.858494014101</v>
      </c>
      <c r="L72" s="169">
        <f t="shared" si="31"/>
        <v>8.4618788264208558E-2</v>
      </c>
      <c r="M72" s="169">
        <f t="shared" si="32"/>
        <v>0.27043117898870772</v>
      </c>
      <c r="N72" s="3"/>
      <c r="O72" s="3"/>
      <c r="P72" s="3"/>
      <c r="Q72" s="3"/>
      <c r="R72" s="3"/>
      <c r="S72" s="3"/>
      <c r="T72" s="3"/>
      <c r="U72" s="3"/>
      <c r="V72" s="3"/>
      <c r="W72" s="3"/>
      <c r="X72" s="3"/>
      <c r="Y72" s="3"/>
      <c r="Z72" s="3"/>
    </row>
    <row r="73" spans="1:26" ht="15.75" customHeight="1" x14ac:dyDescent="0.25">
      <c r="A73" s="3"/>
      <c r="B73" s="49"/>
      <c r="C73" s="49"/>
      <c r="D73" s="154"/>
      <c r="E73" s="49"/>
      <c r="F73" s="68"/>
      <c r="G73" s="49"/>
      <c r="H73" s="68"/>
      <c r="I73" s="49"/>
      <c r="J73" s="185">
        <v>242149</v>
      </c>
      <c r="K73" s="165">
        <v>15358.2</v>
      </c>
      <c r="L73" s="187">
        <v>9.7000000000000003E-2</v>
      </c>
      <c r="M73" s="187">
        <v>0.31</v>
      </c>
      <c r="N73" s="3"/>
      <c r="O73" s="3"/>
      <c r="P73" s="3"/>
      <c r="Q73" s="3"/>
      <c r="R73" s="3"/>
      <c r="S73" s="3"/>
      <c r="T73" s="3"/>
      <c r="U73" s="3"/>
      <c r="V73" s="3"/>
      <c r="W73" s="3"/>
      <c r="X73" s="3"/>
      <c r="Y73" s="3"/>
      <c r="Z73" s="3"/>
    </row>
    <row r="74" spans="1:26" ht="15.75" customHeight="1" x14ac:dyDescent="0.25">
      <c r="A74" s="3"/>
      <c r="B74" s="49"/>
      <c r="C74" s="49"/>
      <c r="D74" s="154"/>
      <c r="E74" s="49"/>
      <c r="F74" s="68"/>
      <c r="G74" s="49"/>
      <c r="H74" s="68"/>
      <c r="I74" s="49"/>
      <c r="J74" s="185"/>
      <c r="K74" s="92"/>
      <c r="L74" s="107"/>
      <c r="M74" s="107"/>
      <c r="N74" s="3"/>
      <c r="O74" s="3"/>
      <c r="P74" s="3"/>
      <c r="Q74" s="3"/>
      <c r="R74" s="3"/>
      <c r="S74" s="3"/>
      <c r="T74" s="3"/>
      <c r="U74" s="3"/>
      <c r="V74" s="3"/>
      <c r="W74" s="3"/>
      <c r="X74" s="3"/>
      <c r="Y74" s="3"/>
      <c r="Z74" s="3"/>
    </row>
    <row r="75" spans="1:26" ht="15.75" customHeight="1" x14ac:dyDescent="0.25">
      <c r="A75" s="3"/>
      <c r="B75" s="49"/>
      <c r="C75" s="49" t="s">
        <v>251</v>
      </c>
      <c r="D75" s="154" t="s">
        <v>252</v>
      </c>
      <c r="E75" s="49" t="s">
        <v>187</v>
      </c>
      <c r="F75" s="92">
        <v>661277</v>
      </c>
      <c r="G75" s="49" t="s">
        <v>66</v>
      </c>
      <c r="H75" s="68">
        <v>139001</v>
      </c>
      <c r="I75" s="49" t="s">
        <v>67</v>
      </c>
      <c r="J75" s="164">
        <f t="shared" ref="J75:J77" si="33">(F75*H75)/1000000</f>
        <v>91918.164277000003</v>
      </c>
      <c r="K75" s="92">
        <v>7510</v>
      </c>
      <c r="L75" s="107">
        <v>0.24</v>
      </c>
      <c r="M75" s="107">
        <v>0.37</v>
      </c>
      <c r="N75" s="3"/>
      <c r="O75" s="3"/>
      <c r="P75" s="3"/>
      <c r="Q75" s="3"/>
      <c r="R75" s="3"/>
      <c r="S75" s="3"/>
      <c r="T75" s="3"/>
      <c r="U75" s="3"/>
      <c r="V75" s="3"/>
      <c r="W75" s="3"/>
      <c r="X75" s="3"/>
      <c r="Y75" s="3"/>
      <c r="Z75" s="3"/>
    </row>
    <row r="76" spans="1:26" ht="15.75" customHeight="1" x14ac:dyDescent="0.25">
      <c r="A76" s="3"/>
      <c r="B76" s="49"/>
      <c r="C76" s="49" t="s">
        <v>256</v>
      </c>
      <c r="D76" s="154" t="s">
        <v>257</v>
      </c>
      <c r="E76" s="49" t="s">
        <v>187</v>
      </c>
      <c r="F76" s="92">
        <v>761546</v>
      </c>
      <c r="G76" s="49" t="s">
        <v>66</v>
      </c>
      <c r="H76" s="68">
        <v>139001</v>
      </c>
      <c r="I76" s="49" t="s">
        <v>67</v>
      </c>
      <c r="J76" s="164">
        <f t="shared" si="33"/>
        <v>105855.65554599999</v>
      </c>
      <c r="K76" s="92">
        <v>8648</v>
      </c>
      <c r="L76" s="107">
        <v>0.28000000000000003</v>
      </c>
      <c r="M76" s="107">
        <v>0.42</v>
      </c>
      <c r="N76" s="3"/>
      <c r="O76" s="3"/>
      <c r="P76" s="3"/>
      <c r="Q76" s="3"/>
      <c r="R76" s="3"/>
      <c r="S76" s="3"/>
      <c r="T76" s="3"/>
      <c r="U76" s="3"/>
      <c r="V76" s="3"/>
      <c r="W76" s="3"/>
      <c r="X76" s="3"/>
      <c r="Y76" s="3"/>
      <c r="Z76" s="3"/>
    </row>
    <row r="77" spans="1:26" ht="15.75" customHeight="1" x14ac:dyDescent="0.25">
      <c r="A77" s="3"/>
      <c r="B77" s="49"/>
      <c r="C77" s="49" t="s">
        <v>259</v>
      </c>
      <c r="D77" s="154" t="s">
        <v>260</v>
      </c>
      <c r="E77" s="49" t="s">
        <v>187</v>
      </c>
      <c r="F77" s="92">
        <v>390</v>
      </c>
      <c r="G77" s="49" t="s">
        <v>66</v>
      </c>
      <c r="H77" s="68">
        <v>139001</v>
      </c>
      <c r="I77" s="49" t="s">
        <v>67</v>
      </c>
      <c r="J77" s="164">
        <f t="shared" si="33"/>
        <v>54.210389999999997</v>
      </c>
      <c r="K77" s="92">
        <v>4</v>
      </c>
      <c r="L77" s="341">
        <v>1.3999999999999999E-4</v>
      </c>
      <c r="M77" s="341">
        <v>2.2000000000000001E-4</v>
      </c>
      <c r="N77" s="3"/>
      <c r="O77" s="3"/>
      <c r="P77" s="3"/>
      <c r="Q77" s="3"/>
      <c r="R77" s="3"/>
      <c r="S77" s="3"/>
      <c r="T77" s="3"/>
      <c r="U77" s="3"/>
      <c r="V77" s="3"/>
      <c r="W77" s="3"/>
      <c r="X77" s="3"/>
      <c r="Y77" s="3"/>
      <c r="Z77" s="3"/>
    </row>
    <row r="78" spans="1:26" ht="15.75" customHeight="1" x14ac:dyDescent="0.25">
      <c r="A78" s="3"/>
      <c r="B78" s="113"/>
      <c r="C78" s="113"/>
      <c r="D78" s="113"/>
      <c r="E78" s="113"/>
      <c r="F78" s="118"/>
      <c r="G78" s="113"/>
      <c r="H78" s="118"/>
      <c r="I78" s="113"/>
      <c r="J78" s="342"/>
      <c r="K78" s="116"/>
      <c r="L78" s="122"/>
      <c r="M78" s="122"/>
      <c r="N78" s="3"/>
      <c r="O78" s="3"/>
      <c r="P78" s="3"/>
      <c r="Q78" s="3"/>
      <c r="R78" s="3"/>
      <c r="S78" s="3"/>
      <c r="T78" s="3"/>
      <c r="U78" s="3"/>
      <c r="V78" s="3"/>
      <c r="W78" s="3"/>
      <c r="X78" s="3"/>
      <c r="Y78" s="3"/>
      <c r="Z78" s="3"/>
    </row>
    <row r="79" spans="1:26" ht="15.75" customHeight="1" x14ac:dyDescent="0.25">
      <c r="A79" s="3"/>
      <c r="B79" s="129"/>
      <c r="C79" s="129"/>
      <c r="D79" s="129"/>
      <c r="E79" s="129"/>
      <c r="F79" s="132"/>
      <c r="G79" s="129"/>
      <c r="H79" s="132"/>
      <c r="I79" s="129"/>
      <c r="J79" s="132"/>
      <c r="K79" s="135"/>
      <c r="L79" s="137"/>
      <c r="M79" s="137"/>
      <c r="N79" s="3"/>
      <c r="O79" s="3"/>
      <c r="P79" s="3"/>
      <c r="Q79" s="3"/>
      <c r="R79" s="3"/>
      <c r="S79" s="3"/>
      <c r="T79" s="3"/>
      <c r="U79" s="3"/>
      <c r="V79" s="3"/>
      <c r="W79" s="3"/>
      <c r="X79" s="3"/>
      <c r="Y79" s="3"/>
      <c r="Z79" s="3"/>
    </row>
    <row r="80" spans="1:26" ht="15.75" customHeight="1" x14ac:dyDescent="0.25">
      <c r="A80" s="3"/>
      <c r="B80" s="24" t="s">
        <v>262</v>
      </c>
      <c r="C80" s="26" t="s">
        <v>263</v>
      </c>
      <c r="D80" s="24"/>
      <c r="E80" s="24"/>
      <c r="F80" s="38"/>
      <c r="G80" s="24"/>
      <c r="H80" s="38"/>
      <c r="I80" s="24"/>
      <c r="J80" s="223"/>
      <c r="K80" s="44"/>
      <c r="L80" s="143"/>
      <c r="M80" s="143"/>
      <c r="N80" s="3"/>
      <c r="O80" s="3"/>
      <c r="P80" s="3"/>
      <c r="Q80" s="3"/>
      <c r="R80" s="3"/>
      <c r="S80" s="3"/>
      <c r="T80" s="3"/>
      <c r="U80" s="3"/>
      <c r="V80" s="3"/>
      <c r="W80" s="3"/>
      <c r="X80" s="3"/>
      <c r="Y80" s="3"/>
      <c r="Z80" s="3"/>
    </row>
    <row r="81" spans="1:26" ht="15.75" customHeight="1" x14ac:dyDescent="0.25">
      <c r="A81" s="3"/>
      <c r="B81" s="49"/>
      <c r="C81" s="50" t="s">
        <v>264</v>
      </c>
      <c r="D81" s="50" t="s">
        <v>265</v>
      </c>
      <c r="E81" s="50" t="s">
        <v>189</v>
      </c>
      <c r="F81" s="52">
        <v>90508</v>
      </c>
      <c r="G81" s="50" t="s">
        <v>79</v>
      </c>
      <c r="H81" s="55">
        <v>1032</v>
      </c>
      <c r="I81" s="50" t="s">
        <v>80</v>
      </c>
      <c r="J81" s="59">
        <f>(F81*H81)/1000</f>
        <v>93404.255999999994</v>
      </c>
      <c r="K81" s="59">
        <f t="shared" ref="K81:K82" si="34">+J81/(J$81+J$82)*K$83</f>
        <v>5476.2034079014793</v>
      </c>
      <c r="L81" s="71">
        <f t="shared" ref="L81:L82" si="35">+J81/(J$81+J$82)*L$83</f>
        <v>9.0109554954250229E-2</v>
      </c>
      <c r="M81" s="71">
        <f t="shared" ref="M81:M82" si="36">+J81/(J$81+J$82)*M$83</f>
        <v>0.18021910990850046</v>
      </c>
      <c r="N81" s="3"/>
      <c r="O81" s="3"/>
      <c r="P81" s="3"/>
      <c r="Q81" s="3"/>
      <c r="R81" s="3"/>
      <c r="S81" s="3"/>
      <c r="T81" s="3"/>
      <c r="U81" s="3"/>
      <c r="V81" s="3"/>
      <c r="W81" s="3"/>
      <c r="X81" s="3"/>
      <c r="Y81" s="3"/>
      <c r="Z81" s="3"/>
    </row>
    <row r="82" spans="1:26" ht="15.75" customHeight="1" x14ac:dyDescent="0.25">
      <c r="A82" s="3"/>
      <c r="B82" s="49"/>
      <c r="C82" s="50"/>
      <c r="D82" s="50"/>
      <c r="E82" s="50" t="s">
        <v>187</v>
      </c>
      <c r="F82" s="52">
        <v>148903</v>
      </c>
      <c r="G82" s="50" t="s">
        <v>66</v>
      </c>
      <c r="H82" s="55">
        <v>138464</v>
      </c>
      <c r="I82" s="50" t="s">
        <v>67</v>
      </c>
      <c r="J82" s="59">
        <f>(F82*H82)/1000000</f>
        <v>20617.704991999999</v>
      </c>
      <c r="K82" s="59">
        <f t="shared" si="34"/>
        <v>1208.7965920985203</v>
      </c>
      <c r="L82" s="71">
        <f t="shared" si="35"/>
        <v>1.9890445045749772E-2</v>
      </c>
      <c r="M82" s="71">
        <f t="shared" si="36"/>
        <v>3.9780890091499543E-2</v>
      </c>
      <c r="N82" s="3"/>
      <c r="O82" s="3"/>
      <c r="P82" s="3"/>
      <c r="Q82" s="3"/>
      <c r="R82" s="3"/>
      <c r="S82" s="3"/>
      <c r="T82" s="3"/>
      <c r="U82" s="3"/>
      <c r="V82" s="3"/>
      <c r="W82" s="3"/>
      <c r="X82" s="3"/>
      <c r="Y82" s="3"/>
      <c r="Z82" s="3"/>
    </row>
    <row r="83" spans="1:26" ht="15.75" customHeight="1" x14ac:dyDescent="0.25">
      <c r="A83" s="3"/>
      <c r="B83" s="343"/>
      <c r="C83" s="344"/>
      <c r="D83" s="344"/>
      <c r="E83" s="344"/>
      <c r="F83" s="345"/>
      <c r="G83" s="344"/>
      <c r="H83" s="346"/>
      <c r="I83" s="344"/>
      <c r="J83" s="214">
        <f>J81+J82</f>
        <v>114021.96099199999</v>
      </c>
      <c r="K83" s="173">
        <v>6685</v>
      </c>
      <c r="L83" s="174">
        <v>0.11</v>
      </c>
      <c r="M83" s="174">
        <v>0.22</v>
      </c>
      <c r="N83" s="3"/>
      <c r="O83" s="3"/>
      <c r="P83" s="3"/>
      <c r="Q83" s="3"/>
      <c r="R83" s="3"/>
      <c r="S83" s="3"/>
      <c r="T83" s="3"/>
      <c r="U83" s="3"/>
      <c r="V83" s="3"/>
      <c r="W83" s="3"/>
      <c r="X83" s="3"/>
      <c r="Y83" s="3"/>
      <c r="Z83" s="3"/>
    </row>
    <row r="84" spans="1:26" ht="15.75" customHeight="1" x14ac:dyDescent="0.25">
      <c r="A84" s="3"/>
      <c r="B84" s="193"/>
      <c r="C84" s="193"/>
      <c r="D84" s="193"/>
      <c r="E84" s="193"/>
      <c r="F84" s="192"/>
      <c r="G84" s="193"/>
      <c r="H84" s="192"/>
      <c r="I84" s="193"/>
      <c r="J84" s="349"/>
      <c r="K84" s="349"/>
      <c r="L84" s="349"/>
      <c r="M84" s="351"/>
      <c r="N84" s="3"/>
      <c r="O84" s="3"/>
      <c r="P84" s="3"/>
      <c r="Q84" s="3"/>
      <c r="R84" s="3"/>
      <c r="S84" s="3"/>
      <c r="T84" s="3"/>
      <c r="U84" s="3"/>
      <c r="V84" s="3"/>
      <c r="W84" s="3"/>
      <c r="X84" s="3"/>
      <c r="Y84" s="3"/>
      <c r="Z84" s="3"/>
    </row>
    <row r="85" spans="1:26" ht="15.75" customHeight="1" x14ac:dyDescent="0.25">
      <c r="A85" s="3"/>
      <c r="B85" s="24" t="s">
        <v>116</v>
      </c>
      <c r="C85" s="26" t="s">
        <v>117</v>
      </c>
      <c r="D85" s="24"/>
      <c r="E85" s="24"/>
      <c r="F85" s="38"/>
      <c r="G85" s="24"/>
      <c r="H85" s="38"/>
      <c r="I85" s="24"/>
      <c r="J85" s="223"/>
      <c r="K85" s="44"/>
      <c r="L85" s="143"/>
      <c r="M85" s="143"/>
      <c r="N85" s="3"/>
      <c r="O85" s="3"/>
      <c r="P85" s="3"/>
      <c r="Q85" s="3"/>
      <c r="R85" s="3"/>
      <c r="S85" s="3"/>
      <c r="T85" s="3"/>
      <c r="U85" s="3"/>
      <c r="V85" s="3"/>
      <c r="W85" s="3"/>
      <c r="X85" s="3"/>
      <c r="Y85" s="3"/>
      <c r="Z85" s="3"/>
    </row>
    <row r="86" spans="1:26" ht="15.75" customHeight="1" x14ac:dyDescent="0.25">
      <c r="A86" s="3"/>
      <c r="B86" s="49"/>
      <c r="C86" s="49" t="s">
        <v>273</v>
      </c>
      <c r="D86" s="49" t="s">
        <v>89</v>
      </c>
      <c r="E86" s="49" t="s">
        <v>189</v>
      </c>
      <c r="F86" s="92">
        <v>443</v>
      </c>
      <c r="G86" s="49" t="s">
        <v>274</v>
      </c>
      <c r="H86" s="68">
        <v>1027</v>
      </c>
      <c r="I86" s="49" t="s">
        <v>275</v>
      </c>
      <c r="J86" s="352">
        <f>(F86*H86)/1000</f>
        <v>454.96100000000001</v>
      </c>
      <c r="K86" s="92"/>
      <c r="L86" s="107"/>
      <c r="M86" s="107"/>
      <c r="N86" s="3"/>
      <c r="O86" s="3"/>
      <c r="P86" s="3"/>
      <c r="Q86" s="3"/>
      <c r="R86" s="3"/>
      <c r="S86" s="3"/>
      <c r="T86" s="3"/>
      <c r="U86" s="3"/>
      <c r="V86" s="3"/>
      <c r="W86" s="3"/>
      <c r="X86" s="3"/>
      <c r="Y86" s="3"/>
      <c r="Z86" s="3"/>
    </row>
    <row r="87" spans="1:26" ht="15.75" customHeight="1" x14ac:dyDescent="0.25">
      <c r="A87" s="3"/>
      <c r="B87" s="49"/>
      <c r="C87" s="49"/>
      <c r="D87" s="49"/>
      <c r="E87" s="49"/>
      <c r="F87" s="68"/>
      <c r="G87" s="49"/>
      <c r="H87" s="68"/>
      <c r="I87" s="49"/>
      <c r="J87" s="276">
        <v>503736</v>
      </c>
      <c r="K87" s="99">
        <v>29944</v>
      </c>
      <c r="L87" s="101">
        <v>0.5</v>
      </c>
      <c r="M87" s="101">
        <v>0.49</v>
      </c>
      <c r="N87" s="3"/>
      <c r="O87" s="3"/>
      <c r="P87" s="3"/>
      <c r="Q87" s="3"/>
      <c r="R87" s="3"/>
      <c r="S87" s="3"/>
      <c r="T87" s="3"/>
      <c r="U87" s="3"/>
      <c r="V87" s="3"/>
      <c r="W87" s="3"/>
      <c r="X87" s="3"/>
      <c r="Y87" s="3"/>
      <c r="Z87" s="3"/>
    </row>
    <row r="88" spans="1:26" ht="15.75" customHeight="1" x14ac:dyDescent="0.25">
      <c r="A88" s="3"/>
      <c r="B88" s="49"/>
      <c r="C88" s="50" t="s">
        <v>118</v>
      </c>
      <c r="D88" s="50" t="s">
        <v>98</v>
      </c>
      <c r="E88" s="50" t="s">
        <v>144</v>
      </c>
      <c r="F88" s="52">
        <v>43</v>
      </c>
      <c r="G88" s="50" t="s">
        <v>280</v>
      </c>
      <c r="H88" s="55">
        <v>1027</v>
      </c>
      <c r="I88" s="50" t="s">
        <v>275</v>
      </c>
      <c r="J88" s="59">
        <f t="shared" ref="J88:J89" si="37">(F88*H88)</f>
        <v>44161</v>
      </c>
      <c r="K88" s="168">
        <f t="shared" ref="K88:K89" si="38">(J88/(J$88+J$89))*K$90</f>
        <v>4841.7340263570513</v>
      </c>
      <c r="L88" s="357">
        <f t="shared" ref="L88:L89" si="39">(J88/(J$88+J$89))*L$90</f>
        <v>3.6544284840361319E-2</v>
      </c>
      <c r="M88" s="358">
        <f t="shared" ref="M88:M89" si="40">(J88/(J$88+J$89))*M$90</f>
        <v>2.7773656478674601E-2</v>
      </c>
      <c r="N88" s="3"/>
      <c r="O88" s="3"/>
      <c r="P88" s="3"/>
      <c r="Q88" s="3"/>
      <c r="R88" s="3"/>
      <c r="S88" s="3"/>
      <c r="T88" s="3"/>
      <c r="U88" s="3"/>
      <c r="V88" s="3"/>
      <c r="W88" s="3"/>
      <c r="X88" s="3"/>
      <c r="Y88" s="3"/>
      <c r="Z88" s="3"/>
    </row>
    <row r="89" spans="1:26" ht="15.75" customHeight="1" x14ac:dyDescent="0.25">
      <c r="A89" s="3"/>
      <c r="B89" s="49"/>
      <c r="C89" s="50"/>
      <c r="D89" s="50" t="s">
        <v>98</v>
      </c>
      <c r="E89" s="50" t="s">
        <v>90</v>
      </c>
      <c r="F89" s="52">
        <v>199564</v>
      </c>
      <c r="G89" s="50" t="s">
        <v>55</v>
      </c>
      <c r="H89" s="55">
        <v>24</v>
      </c>
      <c r="I89" s="50" t="s">
        <v>119</v>
      </c>
      <c r="J89" s="59">
        <f t="shared" si="37"/>
        <v>4789536</v>
      </c>
      <c r="K89" s="168">
        <f t="shared" si="38"/>
        <v>525116.26597364293</v>
      </c>
      <c r="L89" s="357">
        <f t="shared" si="39"/>
        <v>3.9634557151596388</v>
      </c>
      <c r="M89" s="358">
        <f t="shared" si="40"/>
        <v>3.0122263435213257</v>
      </c>
      <c r="N89" s="3"/>
      <c r="O89" s="3"/>
      <c r="P89" s="3"/>
      <c r="Q89" s="3"/>
      <c r="R89" s="3"/>
      <c r="S89" s="3"/>
      <c r="T89" s="3"/>
      <c r="U89" s="3"/>
      <c r="V89" s="3"/>
      <c r="W89" s="3"/>
      <c r="X89" s="3"/>
      <c r="Y89" s="3"/>
      <c r="Z89" s="3"/>
    </row>
    <row r="90" spans="1:26" ht="15.75" customHeight="1" x14ac:dyDescent="0.25">
      <c r="A90" s="3"/>
      <c r="B90" s="49"/>
      <c r="C90" s="49"/>
      <c r="D90" s="49"/>
      <c r="E90" s="49"/>
      <c r="F90" s="68"/>
      <c r="G90" s="49"/>
      <c r="H90" s="68"/>
      <c r="I90" s="49"/>
      <c r="J90" s="164">
        <v>5165299</v>
      </c>
      <c r="K90" s="165">
        <v>529958</v>
      </c>
      <c r="L90" s="187">
        <v>4</v>
      </c>
      <c r="M90" s="187">
        <v>3.04</v>
      </c>
      <c r="N90" s="3"/>
      <c r="O90" s="3"/>
      <c r="P90" s="3"/>
      <c r="Q90" s="3"/>
      <c r="R90" s="3"/>
      <c r="S90" s="3"/>
      <c r="T90" s="3"/>
      <c r="U90" s="3"/>
      <c r="V90" s="3"/>
      <c r="W90" s="3"/>
      <c r="X90" s="3"/>
      <c r="Y90" s="3"/>
      <c r="Z90" s="3"/>
    </row>
    <row r="91" spans="1:26" ht="15.75" customHeight="1" x14ac:dyDescent="0.25">
      <c r="A91" s="3"/>
      <c r="B91" s="49"/>
      <c r="C91" s="50" t="s">
        <v>121</v>
      </c>
      <c r="D91" s="50" t="s">
        <v>122</v>
      </c>
      <c r="E91" s="50" t="s">
        <v>144</v>
      </c>
      <c r="F91" s="52">
        <v>72</v>
      </c>
      <c r="G91" s="50" t="s">
        <v>280</v>
      </c>
      <c r="H91" s="55">
        <v>1027</v>
      </c>
      <c r="I91" s="50" t="s">
        <v>275</v>
      </c>
      <c r="J91" s="59">
        <f t="shared" ref="J91:J92" si="41">(F91*H91)</f>
        <v>73944</v>
      </c>
      <c r="K91" s="168">
        <f t="shared" ref="K91:K92" si="42">J91/(J$91+J$92)*K$93</f>
        <v>7697.276586086301</v>
      </c>
      <c r="L91" s="359">
        <f t="shared" ref="L91:L92" si="43">J91/(J$91+J$92)*L$93</f>
        <v>6.172230143152161E-2</v>
      </c>
      <c r="M91" s="359">
        <f t="shared" ref="M91:M92" si="44">J91/(J$91+J$92)*M$93</f>
        <v>4.6423050119240195E-2</v>
      </c>
      <c r="N91" s="3"/>
      <c r="O91" s="3"/>
      <c r="P91" s="3"/>
      <c r="Q91" s="3"/>
      <c r="R91" s="3"/>
      <c r="S91" s="3"/>
      <c r="T91" s="3"/>
      <c r="U91" s="3"/>
      <c r="V91" s="3"/>
      <c r="W91" s="3"/>
      <c r="X91" s="3"/>
      <c r="Y91" s="3"/>
      <c r="Z91" s="3"/>
    </row>
    <row r="92" spans="1:26" ht="15.75" customHeight="1" x14ac:dyDescent="0.25">
      <c r="A92" s="3"/>
      <c r="B92" s="49"/>
      <c r="C92" s="50"/>
      <c r="D92" s="50" t="s">
        <v>122</v>
      </c>
      <c r="E92" s="50" t="s">
        <v>90</v>
      </c>
      <c r="F92" s="52">
        <v>466140</v>
      </c>
      <c r="G92" s="50" t="s">
        <v>55</v>
      </c>
      <c r="H92" s="55">
        <v>24</v>
      </c>
      <c r="I92" s="50" t="s">
        <v>119</v>
      </c>
      <c r="J92" s="59">
        <f t="shared" si="41"/>
        <v>11187360</v>
      </c>
      <c r="K92" s="168">
        <f t="shared" si="42"/>
        <v>1164559.7234139137</v>
      </c>
      <c r="L92" s="359">
        <f t="shared" si="43"/>
        <v>9.3382776985684792</v>
      </c>
      <c r="M92" s="359">
        <f t="shared" si="44"/>
        <v>7.0235769498807601</v>
      </c>
      <c r="N92" s="3"/>
      <c r="O92" s="3"/>
      <c r="P92" s="3"/>
      <c r="Q92" s="3"/>
      <c r="R92" s="3"/>
      <c r="S92" s="3"/>
      <c r="T92" s="3"/>
      <c r="U92" s="3"/>
      <c r="V92" s="3"/>
      <c r="W92" s="3"/>
      <c r="X92" s="3"/>
      <c r="Y92" s="3"/>
      <c r="Z92" s="3"/>
    </row>
    <row r="93" spans="1:26" ht="15.75" customHeight="1" x14ac:dyDescent="0.25">
      <c r="A93" s="3"/>
      <c r="B93" s="49"/>
      <c r="C93" s="49"/>
      <c r="D93" s="49"/>
      <c r="E93" s="49"/>
      <c r="F93" s="68"/>
      <c r="G93" s="49"/>
      <c r="H93" s="68"/>
      <c r="I93" s="49"/>
      <c r="J93" s="164">
        <v>11425504</v>
      </c>
      <c r="K93" s="165">
        <v>1172257</v>
      </c>
      <c r="L93" s="187">
        <v>9.4</v>
      </c>
      <c r="M93" s="187">
        <v>7.07</v>
      </c>
      <c r="N93" s="3"/>
      <c r="O93" s="3"/>
      <c r="P93" s="3"/>
      <c r="Q93" s="3"/>
      <c r="R93" s="3"/>
      <c r="S93" s="3"/>
      <c r="T93" s="3"/>
      <c r="U93" s="3"/>
      <c r="V93" s="3"/>
      <c r="W93" s="3"/>
      <c r="X93" s="3"/>
      <c r="Y93" s="3"/>
      <c r="Z93" s="3"/>
    </row>
    <row r="94" spans="1:26" ht="15.75" customHeight="1" x14ac:dyDescent="0.25">
      <c r="A94" s="3"/>
      <c r="B94" s="49"/>
      <c r="C94" s="50" t="s">
        <v>302</v>
      </c>
      <c r="D94" s="50" t="s">
        <v>303</v>
      </c>
      <c r="E94" s="50" t="s">
        <v>144</v>
      </c>
      <c r="F94" s="52">
        <v>9</v>
      </c>
      <c r="G94" s="50" t="s">
        <v>280</v>
      </c>
      <c r="H94" s="55">
        <v>1027</v>
      </c>
      <c r="I94" s="50" t="s">
        <v>275</v>
      </c>
      <c r="J94" s="59">
        <f t="shared" ref="J94:J95" si="45">(F94*H94)</f>
        <v>9243</v>
      </c>
      <c r="K94" s="365">
        <f>(J94/(J94+J95))*K96</f>
        <v>737.03880652743953</v>
      </c>
      <c r="L94" s="365">
        <f>(J94/(J94+J95))*L96</f>
        <v>7.8436197927716153E-3</v>
      </c>
      <c r="M94" s="365">
        <f>(J94/(J94+J95))*M96</f>
        <v>1.5948693578635618E-2</v>
      </c>
      <c r="N94" s="3"/>
      <c r="O94" s="3"/>
      <c r="P94" s="3"/>
      <c r="Q94" s="3"/>
      <c r="R94" s="3"/>
      <c r="S94" s="3"/>
      <c r="T94" s="3"/>
      <c r="U94" s="3"/>
      <c r="V94" s="3"/>
      <c r="W94" s="3"/>
      <c r="X94" s="3"/>
      <c r="Y94" s="3"/>
      <c r="Z94" s="3"/>
    </row>
    <row r="95" spans="1:26" ht="15.75" customHeight="1" x14ac:dyDescent="0.25">
      <c r="A95" s="3"/>
      <c r="B95" s="49"/>
      <c r="C95" s="50"/>
      <c r="D95" s="50" t="s">
        <v>303</v>
      </c>
      <c r="E95" s="50" t="s">
        <v>313</v>
      </c>
      <c r="F95" s="52">
        <v>2280</v>
      </c>
      <c r="G95" s="50" t="s">
        <v>314</v>
      </c>
      <c r="H95" s="55">
        <v>151</v>
      </c>
      <c r="I95" s="50" t="s">
        <v>281</v>
      </c>
      <c r="J95" s="59">
        <f t="shared" si="45"/>
        <v>344280</v>
      </c>
      <c r="K95" s="52">
        <f>(J95/(J94+J95))*K96</f>
        <v>27452.961193472558</v>
      </c>
      <c r="L95" s="310">
        <f>(J95/(J94+J95))*L96</f>
        <v>0.29215638020722834</v>
      </c>
      <c r="M95" s="310">
        <f>(J95/(J95+J94))*M96</f>
        <v>0.59405130642136439</v>
      </c>
      <c r="N95" s="3"/>
      <c r="O95" s="3"/>
      <c r="P95" s="3"/>
      <c r="Q95" s="3"/>
      <c r="R95" s="3"/>
      <c r="S95" s="3"/>
      <c r="T95" s="3"/>
      <c r="U95" s="3"/>
      <c r="V95" s="3"/>
      <c r="W95" s="3"/>
      <c r="X95" s="3"/>
      <c r="Y95" s="3"/>
      <c r="Z95" s="3"/>
    </row>
    <row r="96" spans="1:26" ht="15.75" customHeight="1" x14ac:dyDescent="0.25">
      <c r="A96" s="3"/>
      <c r="B96" s="49"/>
      <c r="C96" s="49"/>
      <c r="D96" s="49"/>
      <c r="E96" s="49"/>
      <c r="F96" s="68"/>
      <c r="G96" s="49"/>
      <c r="H96" s="68"/>
      <c r="I96" s="49"/>
      <c r="J96" s="164">
        <v>348684</v>
      </c>
      <c r="K96" s="165">
        <v>28190</v>
      </c>
      <c r="L96" s="187">
        <v>0.3</v>
      </c>
      <c r="M96" s="187">
        <v>0.61</v>
      </c>
      <c r="N96" s="3"/>
      <c r="O96" s="3"/>
      <c r="P96" s="3"/>
      <c r="Q96" s="3"/>
      <c r="R96" s="3"/>
      <c r="S96" s="3"/>
      <c r="T96" s="3"/>
      <c r="U96" s="3"/>
      <c r="V96" s="3"/>
      <c r="W96" s="3"/>
      <c r="X96" s="3"/>
      <c r="Y96" s="3"/>
      <c r="Z96" s="3"/>
    </row>
    <row r="97" spans="1:26" ht="15.75" customHeight="1" x14ac:dyDescent="0.25">
      <c r="A97" s="3"/>
      <c r="B97" s="49"/>
      <c r="C97" s="49"/>
      <c r="D97" s="49"/>
      <c r="E97" s="49"/>
      <c r="F97" s="68"/>
      <c r="G97" s="49"/>
      <c r="H97" s="68"/>
      <c r="I97" s="49"/>
      <c r="J97" s="205"/>
      <c r="K97" s="92"/>
      <c r="L97" s="107"/>
      <c r="M97" s="107"/>
      <c r="N97" s="3"/>
      <c r="O97" s="3"/>
      <c r="P97" s="3"/>
      <c r="Q97" s="3"/>
      <c r="R97" s="3"/>
      <c r="S97" s="3"/>
      <c r="T97" s="3"/>
      <c r="U97" s="3"/>
      <c r="V97" s="3"/>
      <c r="W97" s="3"/>
      <c r="X97" s="3"/>
      <c r="Y97" s="3"/>
      <c r="Z97" s="3"/>
    </row>
    <row r="98" spans="1:26" ht="15.75" customHeight="1" x14ac:dyDescent="0.25">
      <c r="A98" s="3"/>
      <c r="B98" s="113"/>
      <c r="C98" s="113" t="s">
        <v>277</v>
      </c>
      <c r="D98" s="113" t="s">
        <v>278</v>
      </c>
      <c r="E98" s="113" t="s">
        <v>279</v>
      </c>
      <c r="F98" s="116">
        <v>44</v>
      </c>
      <c r="G98" s="113" t="s">
        <v>327</v>
      </c>
      <c r="H98" s="118">
        <v>139</v>
      </c>
      <c r="I98" s="113" t="s">
        <v>281</v>
      </c>
      <c r="J98" s="373">
        <f>(F98*H98)</f>
        <v>6116</v>
      </c>
      <c r="K98" s="217">
        <v>478.5</v>
      </c>
      <c r="L98" s="355">
        <v>0</v>
      </c>
      <c r="M98" s="220">
        <v>0.01</v>
      </c>
      <c r="N98" s="3"/>
      <c r="O98" s="3"/>
      <c r="P98" s="3"/>
      <c r="Q98" s="3"/>
      <c r="R98" s="3"/>
      <c r="S98" s="3"/>
      <c r="T98" s="3"/>
      <c r="U98" s="3"/>
      <c r="V98" s="3"/>
      <c r="W98" s="3"/>
      <c r="X98" s="3"/>
      <c r="Y98" s="3"/>
      <c r="Z98" s="3"/>
    </row>
    <row r="99" spans="1:26" ht="15.75" customHeight="1" x14ac:dyDescent="0.25">
      <c r="A99" s="3"/>
      <c r="B99" s="129"/>
      <c r="C99" s="129"/>
      <c r="D99" s="129"/>
      <c r="E99" s="129"/>
      <c r="F99" s="132"/>
      <c r="G99" s="129"/>
      <c r="H99" s="132"/>
      <c r="I99" s="129"/>
      <c r="J99" s="129"/>
      <c r="K99" s="135"/>
      <c r="L99" s="137"/>
      <c r="M99" s="137"/>
      <c r="N99" s="3"/>
      <c r="O99" s="3"/>
      <c r="P99" s="3"/>
      <c r="Q99" s="3"/>
      <c r="R99" s="3"/>
      <c r="S99" s="3"/>
      <c r="T99" s="3"/>
      <c r="U99" s="3"/>
      <c r="V99" s="3"/>
      <c r="W99" s="3"/>
      <c r="X99" s="3"/>
      <c r="Y99" s="3"/>
      <c r="Z99" s="3"/>
    </row>
    <row r="100" spans="1:26" ht="15.75" customHeight="1" x14ac:dyDescent="0.25">
      <c r="A100" s="3"/>
      <c r="B100" s="24" t="s">
        <v>282</v>
      </c>
      <c r="C100" s="26" t="s">
        <v>283</v>
      </c>
      <c r="D100" s="24"/>
      <c r="E100" s="24"/>
      <c r="F100" s="38"/>
      <c r="G100" s="24"/>
      <c r="H100" s="38"/>
      <c r="I100" s="24"/>
      <c r="J100" s="223"/>
      <c r="K100" s="44"/>
      <c r="L100" s="143"/>
      <c r="M100" s="143"/>
      <c r="N100" s="3"/>
      <c r="O100" s="3"/>
      <c r="P100" s="3"/>
      <c r="Q100" s="3"/>
      <c r="R100" s="3"/>
      <c r="S100" s="3"/>
      <c r="T100" s="3"/>
      <c r="U100" s="3"/>
      <c r="V100" s="3"/>
      <c r="W100" s="3"/>
      <c r="X100" s="3"/>
      <c r="Y100" s="3"/>
      <c r="Z100" s="3"/>
    </row>
    <row r="101" spans="1:26" ht="15.75" customHeight="1" x14ac:dyDescent="0.25">
      <c r="A101" s="3"/>
      <c r="B101" s="49"/>
      <c r="C101" s="50" t="s">
        <v>284</v>
      </c>
      <c r="D101" s="50" t="s">
        <v>285</v>
      </c>
      <c r="E101" s="50" t="s">
        <v>189</v>
      </c>
      <c r="F101" s="52">
        <v>393000000</v>
      </c>
      <c r="G101" s="50" t="s">
        <v>79</v>
      </c>
      <c r="H101" s="55">
        <v>1027</v>
      </c>
      <c r="I101" s="50" t="s">
        <v>275</v>
      </c>
      <c r="J101" s="168">
        <f>(F101*H101)/1000000</f>
        <v>403611</v>
      </c>
      <c r="K101" s="168">
        <f t="shared" ref="K101:K102" si="46">(+J101/(J$101+J$102))*K$103</f>
        <v>26536.398017531566</v>
      </c>
      <c r="L101" s="169">
        <f t="shared" ref="L101:L102" si="47">(+J101/(J$101+J$102))*L$103</f>
        <v>1.2524942549573961</v>
      </c>
      <c r="M101" s="169">
        <f t="shared" ref="M101:M102" si="48">(+J101/(J$101+J$102))*M$103</f>
        <v>0.52736600208732465</v>
      </c>
      <c r="N101" s="3"/>
      <c r="O101" s="3"/>
      <c r="P101" s="3"/>
      <c r="Q101" s="3"/>
      <c r="R101" s="3"/>
      <c r="S101" s="3"/>
      <c r="T101" s="3"/>
      <c r="U101" s="3"/>
      <c r="V101" s="3"/>
      <c r="W101" s="3"/>
      <c r="X101" s="3"/>
      <c r="Y101" s="3"/>
      <c r="Z101" s="3"/>
    </row>
    <row r="102" spans="1:26" ht="15.75" customHeight="1" x14ac:dyDescent="0.25">
      <c r="A102" s="3"/>
      <c r="B102" s="49"/>
      <c r="C102" s="50"/>
      <c r="D102" s="50" t="s">
        <v>285</v>
      </c>
      <c r="E102" s="50" t="s">
        <v>279</v>
      </c>
      <c r="F102" s="52">
        <v>1512000</v>
      </c>
      <c r="G102" s="50" t="s">
        <v>66</v>
      </c>
      <c r="H102" s="55">
        <v>138</v>
      </c>
      <c r="I102" s="50" t="s">
        <v>281</v>
      </c>
      <c r="J102" s="168">
        <f>(F102*H102)/1000</f>
        <v>208656</v>
      </c>
      <c r="K102" s="168">
        <f t="shared" si="46"/>
        <v>13718.601982468434</v>
      </c>
      <c r="L102" s="169">
        <f t="shared" si="47"/>
        <v>0.64750574504260394</v>
      </c>
      <c r="M102" s="169">
        <f t="shared" si="48"/>
        <v>0.2726339979126754</v>
      </c>
      <c r="N102" s="3"/>
      <c r="O102" s="3"/>
      <c r="P102" s="3"/>
      <c r="Q102" s="3"/>
      <c r="R102" s="3"/>
      <c r="S102" s="3"/>
      <c r="T102" s="3"/>
      <c r="U102" s="3"/>
      <c r="V102" s="3"/>
      <c r="W102" s="3"/>
      <c r="X102" s="3"/>
      <c r="Y102" s="3"/>
      <c r="Z102" s="3"/>
    </row>
    <row r="103" spans="1:26" ht="15.75" customHeight="1" x14ac:dyDescent="0.25">
      <c r="A103" s="3"/>
      <c r="B103" s="49"/>
      <c r="C103" s="49"/>
      <c r="D103" s="49"/>
      <c r="E103" s="49"/>
      <c r="F103" s="92"/>
      <c r="G103" s="49"/>
      <c r="H103" s="68"/>
      <c r="I103" s="49"/>
      <c r="J103" s="164">
        <f>J101+J102</f>
        <v>612267</v>
      </c>
      <c r="K103" s="165">
        <v>40255</v>
      </c>
      <c r="L103" s="187">
        <v>1.9</v>
      </c>
      <c r="M103" s="187">
        <v>0.8</v>
      </c>
      <c r="N103" s="3"/>
      <c r="O103" s="3"/>
      <c r="P103" s="3"/>
      <c r="Q103" s="3"/>
      <c r="R103" s="3"/>
      <c r="S103" s="3"/>
      <c r="T103" s="3"/>
      <c r="U103" s="3"/>
      <c r="V103" s="3"/>
      <c r="W103" s="3"/>
      <c r="X103" s="3"/>
      <c r="Y103" s="3"/>
      <c r="Z103" s="3"/>
    </row>
    <row r="104" spans="1:26" ht="15.75" customHeight="1" x14ac:dyDescent="0.25">
      <c r="A104" s="3"/>
      <c r="B104" s="49"/>
      <c r="C104" s="49"/>
      <c r="D104" s="49"/>
      <c r="E104" s="49"/>
      <c r="F104" s="92"/>
      <c r="G104" s="49"/>
      <c r="H104" s="68"/>
      <c r="I104" s="49"/>
      <c r="J104" s="205"/>
      <c r="K104" s="92"/>
      <c r="L104" s="107"/>
      <c r="M104" s="107"/>
      <c r="N104" s="3"/>
      <c r="O104" s="3"/>
      <c r="P104" s="3"/>
      <c r="Q104" s="3"/>
      <c r="R104" s="3"/>
      <c r="S104" s="3"/>
      <c r="T104" s="3"/>
      <c r="U104" s="3"/>
      <c r="V104" s="3"/>
      <c r="W104" s="3"/>
      <c r="X104" s="3"/>
      <c r="Y104" s="3"/>
      <c r="Z104" s="3"/>
    </row>
    <row r="105" spans="1:26" ht="15.75" customHeight="1" x14ac:dyDescent="0.25">
      <c r="A105" s="3"/>
      <c r="B105" s="49"/>
      <c r="C105" s="49" t="s">
        <v>287</v>
      </c>
      <c r="D105" s="91" t="s">
        <v>288</v>
      </c>
      <c r="E105" s="49" t="s">
        <v>279</v>
      </c>
      <c r="F105" s="92">
        <v>533000</v>
      </c>
      <c r="G105" s="49" t="s">
        <v>66</v>
      </c>
      <c r="H105" s="68">
        <v>138</v>
      </c>
      <c r="I105" s="49" t="s">
        <v>281</v>
      </c>
      <c r="J105" s="164">
        <f>(F105*H105)/1000</f>
        <v>73554</v>
      </c>
      <c r="K105" s="92">
        <v>5773</v>
      </c>
      <c r="L105" s="107">
        <v>0.06</v>
      </c>
      <c r="M105" s="107">
        <v>7.0000000000000007E-2</v>
      </c>
      <c r="N105" s="3"/>
      <c r="O105" s="3"/>
      <c r="P105" s="3"/>
      <c r="Q105" s="3"/>
      <c r="R105" s="3"/>
      <c r="S105" s="3"/>
      <c r="T105" s="3"/>
      <c r="U105" s="3"/>
      <c r="V105" s="3"/>
      <c r="W105" s="3"/>
      <c r="X105" s="3"/>
      <c r="Y105" s="3"/>
      <c r="Z105" s="3"/>
    </row>
    <row r="106" spans="1:26" ht="15.75" customHeight="1" x14ac:dyDescent="0.25">
      <c r="A106" s="3"/>
      <c r="B106" s="49"/>
      <c r="C106" s="49"/>
      <c r="D106" s="49"/>
      <c r="E106" s="49"/>
      <c r="F106" s="92"/>
      <c r="G106" s="49"/>
      <c r="H106" s="68"/>
      <c r="I106" s="49"/>
      <c r="J106" s="205"/>
      <c r="K106" s="92"/>
      <c r="L106" s="107"/>
      <c r="M106" s="107"/>
      <c r="N106" s="3"/>
      <c r="O106" s="3"/>
      <c r="P106" s="3"/>
      <c r="Q106" s="3"/>
      <c r="R106" s="3"/>
      <c r="S106" s="3"/>
      <c r="T106" s="3"/>
      <c r="U106" s="3"/>
      <c r="V106" s="3"/>
      <c r="W106" s="3"/>
      <c r="X106" s="3"/>
      <c r="Y106" s="3"/>
      <c r="Z106" s="3"/>
    </row>
    <row r="107" spans="1:26" ht="15.75" customHeight="1" x14ac:dyDescent="0.25">
      <c r="A107" s="3"/>
      <c r="B107" s="49"/>
      <c r="C107" s="49" t="s">
        <v>290</v>
      </c>
      <c r="D107" s="91" t="s">
        <v>291</v>
      </c>
      <c r="E107" s="49" t="s">
        <v>279</v>
      </c>
      <c r="F107" s="92">
        <v>517000</v>
      </c>
      <c r="G107" s="49" t="s">
        <v>66</v>
      </c>
      <c r="H107" s="68">
        <v>138</v>
      </c>
      <c r="I107" s="49" t="s">
        <v>281</v>
      </c>
      <c r="J107" s="164">
        <f>(F107*H107)/1000</f>
        <v>71346</v>
      </c>
      <c r="K107" s="92">
        <v>5603</v>
      </c>
      <c r="L107" s="107">
        <v>0.06</v>
      </c>
      <c r="M107" s="107">
        <v>7.0000000000000007E-2</v>
      </c>
      <c r="N107" s="3"/>
      <c r="O107" s="3"/>
      <c r="P107" s="3"/>
      <c r="Q107" s="3"/>
      <c r="R107" s="3"/>
      <c r="S107" s="3"/>
      <c r="T107" s="3"/>
      <c r="U107" s="3"/>
      <c r="V107" s="3"/>
      <c r="W107" s="3"/>
      <c r="X107" s="3"/>
      <c r="Y107" s="3"/>
      <c r="Z107" s="3"/>
    </row>
    <row r="108" spans="1:26" ht="15.75" customHeight="1" x14ac:dyDescent="0.25">
      <c r="A108" s="3"/>
      <c r="B108" s="49"/>
      <c r="C108" s="49"/>
      <c r="D108" s="49"/>
      <c r="E108" s="49"/>
      <c r="F108" s="92"/>
      <c r="G108" s="49"/>
      <c r="H108" s="68"/>
      <c r="I108" s="49"/>
      <c r="J108" s="205"/>
      <c r="K108" s="92"/>
      <c r="L108" s="107"/>
      <c r="M108" s="107"/>
      <c r="N108" s="3"/>
      <c r="O108" s="3"/>
      <c r="P108" s="3"/>
      <c r="Q108" s="3"/>
      <c r="R108" s="3"/>
      <c r="S108" s="3"/>
      <c r="T108" s="3"/>
      <c r="U108" s="3"/>
      <c r="V108" s="3"/>
      <c r="W108" s="3"/>
      <c r="X108" s="3"/>
      <c r="Y108" s="3"/>
      <c r="Z108" s="3"/>
    </row>
    <row r="109" spans="1:26" ht="15.75" customHeight="1" x14ac:dyDescent="0.25">
      <c r="A109" s="3"/>
      <c r="B109" s="49"/>
      <c r="C109" s="49" t="s">
        <v>293</v>
      </c>
      <c r="D109" s="91" t="s">
        <v>294</v>
      </c>
      <c r="E109" s="49" t="s">
        <v>279</v>
      </c>
      <c r="F109" s="92">
        <v>611000</v>
      </c>
      <c r="G109" s="49" t="s">
        <v>66</v>
      </c>
      <c r="H109" s="68">
        <v>138</v>
      </c>
      <c r="I109" s="49" t="s">
        <v>281</v>
      </c>
      <c r="J109" s="164">
        <f>(F109*H109)/1000</f>
        <v>84318</v>
      </c>
      <c r="K109" s="92">
        <v>6619</v>
      </c>
      <c r="L109" s="107">
        <v>7.0000000000000007E-2</v>
      </c>
      <c r="M109" s="107">
        <v>0.08</v>
      </c>
      <c r="N109" s="3"/>
      <c r="O109" s="3"/>
      <c r="P109" s="3"/>
      <c r="Q109" s="3"/>
      <c r="R109" s="3"/>
      <c r="S109" s="3"/>
      <c r="T109" s="3"/>
      <c r="U109" s="3"/>
      <c r="V109" s="3"/>
      <c r="W109" s="3"/>
      <c r="X109" s="3"/>
      <c r="Y109" s="3"/>
      <c r="Z109" s="3"/>
    </row>
    <row r="110" spans="1:26" ht="15.75" customHeight="1" x14ac:dyDescent="0.25">
      <c r="A110" s="3"/>
      <c r="B110" s="49"/>
      <c r="C110" s="49"/>
      <c r="D110" s="49"/>
      <c r="E110" s="49"/>
      <c r="F110" s="92"/>
      <c r="G110" s="49"/>
      <c r="H110" s="68"/>
      <c r="I110" s="49"/>
      <c r="J110" s="205"/>
      <c r="K110" s="92"/>
      <c r="L110" s="107"/>
      <c r="M110" s="107"/>
      <c r="N110" s="3"/>
      <c r="O110" s="3"/>
      <c r="P110" s="3"/>
      <c r="Q110" s="3"/>
      <c r="R110" s="3"/>
      <c r="S110" s="3"/>
      <c r="T110" s="3"/>
      <c r="U110" s="3"/>
      <c r="V110" s="3"/>
      <c r="W110" s="3"/>
      <c r="X110" s="3"/>
      <c r="Y110" s="3"/>
      <c r="Z110" s="3"/>
    </row>
    <row r="111" spans="1:26" ht="15.75" customHeight="1" x14ac:dyDescent="0.25">
      <c r="A111" s="3"/>
      <c r="B111" s="113"/>
      <c r="C111" s="113" t="s">
        <v>296</v>
      </c>
      <c r="D111" s="193" t="s">
        <v>297</v>
      </c>
      <c r="E111" s="113" t="s">
        <v>279</v>
      </c>
      <c r="F111" s="116">
        <v>232000</v>
      </c>
      <c r="G111" s="113" t="s">
        <v>66</v>
      </c>
      <c r="H111" s="118">
        <v>138</v>
      </c>
      <c r="I111" s="113" t="s">
        <v>281</v>
      </c>
      <c r="J111" s="172">
        <f>(F111*H111)/1000</f>
        <v>32016</v>
      </c>
      <c r="K111" s="116">
        <v>2509</v>
      </c>
      <c r="L111" s="122">
        <v>0.03</v>
      </c>
      <c r="M111" s="122">
        <v>0.03</v>
      </c>
      <c r="N111" s="3"/>
      <c r="O111" s="3"/>
      <c r="P111" s="3"/>
      <c r="Q111" s="3"/>
      <c r="R111" s="3"/>
      <c r="S111" s="3"/>
      <c r="T111" s="3"/>
      <c r="U111" s="3"/>
      <c r="V111" s="3"/>
      <c r="W111" s="3"/>
      <c r="X111" s="3"/>
      <c r="Y111" s="3"/>
      <c r="Z111" s="3"/>
    </row>
    <row r="112" spans="1:26" ht="15.75" customHeight="1" x14ac:dyDescent="0.25">
      <c r="A112" s="3"/>
      <c r="B112" s="129"/>
      <c r="C112" s="129"/>
      <c r="D112" s="129"/>
      <c r="E112" s="129"/>
      <c r="F112" s="132"/>
      <c r="G112" s="129"/>
      <c r="H112" s="132"/>
      <c r="I112" s="129"/>
      <c r="J112" s="132"/>
      <c r="K112" s="135"/>
      <c r="L112" s="137"/>
      <c r="M112" s="137"/>
      <c r="N112" s="3"/>
      <c r="O112" s="3"/>
      <c r="P112" s="3"/>
      <c r="Q112" s="3"/>
      <c r="R112" s="3"/>
      <c r="S112" s="3"/>
      <c r="T112" s="3"/>
      <c r="U112" s="3"/>
      <c r="V112" s="3"/>
      <c r="W112" s="3"/>
      <c r="X112" s="3"/>
      <c r="Y112" s="3"/>
      <c r="Z112" s="3"/>
    </row>
    <row r="113" spans="1:26" ht="15.75" customHeight="1" x14ac:dyDescent="0.25">
      <c r="A113" s="3"/>
      <c r="B113" s="24" t="s">
        <v>124</v>
      </c>
      <c r="C113" s="26" t="s">
        <v>125</v>
      </c>
      <c r="D113" s="24"/>
      <c r="E113" s="24"/>
      <c r="F113" s="38"/>
      <c r="G113" s="24"/>
      <c r="H113" s="38"/>
      <c r="I113" s="24"/>
      <c r="J113" s="40"/>
      <c r="K113" s="44"/>
      <c r="L113" s="143"/>
      <c r="M113" s="143"/>
      <c r="N113" s="3"/>
      <c r="O113" s="3"/>
      <c r="P113" s="3"/>
      <c r="Q113" s="3"/>
      <c r="R113" s="3"/>
      <c r="S113" s="3"/>
      <c r="T113" s="3"/>
      <c r="U113" s="3"/>
      <c r="V113" s="3"/>
      <c r="W113" s="3"/>
      <c r="X113" s="3"/>
      <c r="Y113" s="3"/>
      <c r="Z113" s="3"/>
    </row>
    <row r="114" spans="1:26" ht="15.75" customHeight="1" x14ac:dyDescent="0.25">
      <c r="A114" s="3"/>
      <c r="B114" s="49"/>
      <c r="C114" s="50" t="s">
        <v>127</v>
      </c>
      <c r="D114" s="50" t="s">
        <v>128</v>
      </c>
      <c r="E114" s="50" t="s">
        <v>53</v>
      </c>
      <c r="F114" s="52">
        <v>6836</v>
      </c>
      <c r="G114" s="50" t="s">
        <v>55</v>
      </c>
      <c r="H114" s="55">
        <v>11260</v>
      </c>
      <c r="I114" s="50" t="s">
        <v>60</v>
      </c>
      <c r="J114" s="52">
        <f>(F114*H114*2000)/1000000</f>
        <v>153946.72</v>
      </c>
      <c r="K114" s="168">
        <f t="shared" ref="K114:K115" si="49">(+J114/(J$114+J$115))*K$116</f>
        <v>18404.817463953248</v>
      </c>
      <c r="L114" s="169">
        <f t="shared" ref="L114:L115" si="50">(+J114/(J$114+J$115))*L$116</f>
        <v>9.6204157984178806E-2</v>
      </c>
      <c r="M114" s="169">
        <f t="shared" ref="M114:M115" si="51">(+J114/(J$114+J$115))*M$116</f>
        <v>9.6204157984178806E-2</v>
      </c>
      <c r="N114" s="3"/>
      <c r="O114" s="3"/>
      <c r="P114" s="3"/>
      <c r="Q114" s="3"/>
      <c r="R114" s="3"/>
      <c r="S114" s="3"/>
      <c r="T114" s="3"/>
      <c r="U114" s="3"/>
      <c r="V114" s="3"/>
      <c r="W114" s="3"/>
      <c r="X114" s="3"/>
      <c r="Y114" s="3"/>
      <c r="Z114" s="3"/>
    </row>
    <row r="115" spans="1:26" ht="15.75" customHeight="1" x14ac:dyDescent="0.25">
      <c r="A115" s="3"/>
      <c r="B115" s="49"/>
      <c r="C115" s="50"/>
      <c r="D115" s="50"/>
      <c r="E115" s="50" t="s">
        <v>299</v>
      </c>
      <c r="F115" s="52">
        <v>43079</v>
      </c>
      <c r="G115" s="50" t="s">
        <v>66</v>
      </c>
      <c r="H115" s="55">
        <v>141000</v>
      </c>
      <c r="I115" s="50" t="s">
        <v>300</v>
      </c>
      <c r="J115" s="52">
        <f>(F115*H115)/1000000</f>
        <v>6074.1390000000001</v>
      </c>
      <c r="K115" s="168">
        <f t="shared" si="49"/>
        <v>726.18253604675374</v>
      </c>
      <c r="L115" s="169">
        <f t="shared" si="50"/>
        <v>3.7958420158212E-3</v>
      </c>
      <c r="M115" s="169">
        <f t="shared" si="51"/>
        <v>3.7958420158212E-3</v>
      </c>
      <c r="N115" s="3"/>
      <c r="O115" s="3"/>
      <c r="P115" s="3"/>
      <c r="Q115" s="3"/>
      <c r="R115" s="3"/>
      <c r="S115" s="3"/>
      <c r="T115" s="3"/>
      <c r="U115" s="3"/>
      <c r="V115" s="3"/>
      <c r="W115" s="3"/>
      <c r="X115" s="3"/>
      <c r="Y115" s="3"/>
      <c r="Z115" s="3"/>
    </row>
    <row r="116" spans="1:26" ht="15.75" customHeight="1" x14ac:dyDescent="0.25">
      <c r="A116" s="3"/>
      <c r="B116" s="49"/>
      <c r="C116" s="49"/>
      <c r="D116" s="49"/>
      <c r="E116" s="361"/>
      <c r="F116" s="92"/>
      <c r="G116" s="361"/>
      <c r="H116" s="68"/>
      <c r="I116" s="361"/>
      <c r="J116" s="164">
        <v>186474</v>
      </c>
      <c r="K116" s="165">
        <v>19131</v>
      </c>
      <c r="L116" s="187">
        <v>0.1</v>
      </c>
      <c r="M116" s="187">
        <v>0.1</v>
      </c>
      <c r="N116" s="3"/>
      <c r="O116" s="3"/>
      <c r="P116" s="3"/>
      <c r="Q116" s="3"/>
      <c r="R116" s="3"/>
      <c r="S116" s="3"/>
      <c r="T116" s="3"/>
      <c r="U116" s="3"/>
      <c r="V116" s="3"/>
      <c r="W116" s="3"/>
      <c r="X116" s="3"/>
      <c r="Y116" s="3"/>
      <c r="Z116" s="3"/>
    </row>
    <row r="117" spans="1:26" ht="15.75" customHeight="1" x14ac:dyDescent="0.25">
      <c r="A117" s="3"/>
      <c r="B117" s="49"/>
      <c r="C117" s="50" t="s">
        <v>130</v>
      </c>
      <c r="D117" s="50" t="s">
        <v>131</v>
      </c>
      <c r="E117" s="50" t="s">
        <v>53</v>
      </c>
      <c r="F117" s="52">
        <v>39204</v>
      </c>
      <c r="G117" s="50" t="s">
        <v>55</v>
      </c>
      <c r="H117" s="55">
        <v>11260</v>
      </c>
      <c r="I117" s="50" t="s">
        <v>60</v>
      </c>
      <c r="J117" s="59">
        <f>(F117*H117*2000)/1000000</f>
        <v>882874.08</v>
      </c>
      <c r="K117" s="168">
        <f>(+J117/(J117+J118))*K119</f>
        <v>87436.226031360682</v>
      </c>
      <c r="L117" s="169">
        <f>(+J117/(J117+J118))*L119</f>
        <v>0.78595243570251971</v>
      </c>
      <c r="M117" s="169">
        <f>(+J117/(J117+J118))*M119</f>
        <v>1.5719048714050394</v>
      </c>
      <c r="N117" s="3"/>
      <c r="O117" s="3"/>
      <c r="P117" s="3"/>
      <c r="Q117" s="3"/>
      <c r="R117" s="3"/>
      <c r="S117" s="3"/>
      <c r="T117" s="3"/>
      <c r="U117" s="3"/>
      <c r="V117" s="3"/>
      <c r="W117" s="3"/>
      <c r="X117" s="3"/>
      <c r="Y117" s="3"/>
      <c r="Z117" s="3"/>
    </row>
    <row r="118" spans="1:26" ht="15.75" customHeight="1" x14ac:dyDescent="0.25">
      <c r="A118" s="3"/>
      <c r="B118" s="49"/>
      <c r="C118" s="50"/>
      <c r="D118" s="50"/>
      <c r="E118" s="50" t="s">
        <v>299</v>
      </c>
      <c r="F118" s="52">
        <v>111914</v>
      </c>
      <c r="G118" s="50" t="s">
        <v>66</v>
      </c>
      <c r="H118" s="55">
        <v>141000</v>
      </c>
      <c r="I118" s="50" t="s">
        <v>300</v>
      </c>
      <c r="J118" s="59">
        <f>(F118*H118)/1000000</f>
        <v>15779.874</v>
      </c>
      <c r="K118" s="168">
        <f>(+J118/(J117+J118))*K119</f>
        <v>1562.7739686393236</v>
      </c>
      <c r="L118" s="169">
        <f>(+J118/(J117+J118))*L119</f>
        <v>1.4047564297480409E-2</v>
      </c>
      <c r="M118" s="169">
        <f>(+J118/(J117+J118))*M119</f>
        <v>2.8095128594960817E-2</v>
      </c>
      <c r="N118" s="3"/>
      <c r="O118" s="3"/>
      <c r="P118" s="3"/>
      <c r="Q118" s="3"/>
      <c r="R118" s="3"/>
      <c r="S118" s="3"/>
      <c r="T118" s="3"/>
      <c r="U118" s="3"/>
      <c r="V118" s="3"/>
      <c r="W118" s="3"/>
      <c r="X118" s="3"/>
      <c r="Y118" s="3"/>
      <c r="Z118" s="3"/>
    </row>
    <row r="119" spans="1:26" ht="15.75" customHeight="1" x14ac:dyDescent="0.25">
      <c r="A119" s="3"/>
      <c r="B119" s="113"/>
      <c r="C119" s="113"/>
      <c r="D119" s="113"/>
      <c r="E119" s="113"/>
      <c r="F119" s="116"/>
      <c r="G119" s="113"/>
      <c r="H119" s="118"/>
      <c r="I119" s="113"/>
      <c r="J119" s="172">
        <v>867431</v>
      </c>
      <c r="K119" s="173">
        <v>88999</v>
      </c>
      <c r="L119" s="174">
        <v>0.8</v>
      </c>
      <c r="M119" s="174">
        <v>1.6</v>
      </c>
      <c r="N119" s="3"/>
      <c r="O119" s="3"/>
      <c r="P119" s="3"/>
      <c r="Q119" s="3"/>
      <c r="R119" s="3"/>
      <c r="S119" s="3"/>
      <c r="T119" s="3"/>
      <c r="U119" s="3"/>
      <c r="V119" s="3"/>
      <c r="W119" s="3"/>
      <c r="X119" s="3"/>
      <c r="Y119" s="3"/>
      <c r="Z119" s="3"/>
    </row>
    <row r="120" spans="1:26" ht="15.75" customHeight="1" x14ac:dyDescent="0.25">
      <c r="A120" s="3"/>
      <c r="B120" s="129"/>
      <c r="C120" s="129"/>
      <c r="D120" s="129"/>
      <c r="E120" s="129"/>
      <c r="F120" s="135"/>
      <c r="G120" s="129"/>
      <c r="H120" s="132"/>
      <c r="I120" s="129"/>
      <c r="J120" s="135"/>
      <c r="K120" s="389"/>
      <c r="L120" s="137"/>
      <c r="M120" s="137"/>
      <c r="N120" s="3"/>
      <c r="O120" s="3"/>
      <c r="P120" s="3"/>
      <c r="Q120" s="3"/>
      <c r="R120" s="3"/>
      <c r="S120" s="3"/>
      <c r="T120" s="3"/>
      <c r="U120" s="3"/>
      <c r="V120" s="3"/>
      <c r="W120" s="3"/>
      <c r="X120" s="3"/>
      <c r="Y120" s="3"/>
      <c r="Z120" s="3"/>
    </row>
    <row r="121" spans="1:26" ht="15.75" customHeight="1" x14ac:dyDescent="0.25">
      <c r="A121" s="3"/>
      <c r="B121" s="24" t="s">
        <v>305</v>
      </c>
      <c r="C121" s="26" t="s">
        <v>306</v>
      </c>
      <c r="D121" s="24"/>
      <c r="E121" s="24"/>
      <c r="F121" s="38"/>
      <c r="G121" s="24"/>
      <c r="H121" s="38"/>
      <c r="I121" s="24"/>
      <c r="J121" s="40"/>
      <c r="K121" s="44"/>
      <c r="L121" s="143"/>
      <c r="M121" s="143"/>
      <c r="N121" s="3"/>
      <c r="O121" s="3"/>
      <c r="P121" s="3"/>
      <c r="Q121" s="3"/>
      <c r="R121" s="3"/>
      <c r="S121" s="3"/>
      <c r="T121" s="3"/>
      <c r="U121" s="3"/>
      <c r="V121" s="3"/>
      <c r="W121" s="3"/>
      <c r="X121" s="3"/>
      <c r="Y121" s="3"/>
      <c r="Z121" s="3"/>
    </row>
    <row r="122" spans="1:26" ht="15.75" customHeight="1" x14ac:dyDescent="0.25">
      <c r="A122" s="3"/>
      <c r="B122" s="49"/>
      <c r="C122" s="49" t="s">
        <v>367</v>
      </c>
      <c r="D122" s="49" t="s">
        <v>368</v>
      </c>
      <c r="E122" s="49" t="s">
        <v>189</v>
      </c>
      <c r="F122" s="92">
        <v>20000000</v>
      </c>
      <c r="G122" s="49" t="s">
        <v>79</v>
      </c>
      <c r="H122" s="68">
        <v>1020</v>
      </c>
      <c r="I122" s="49" t="s">
        <v>369</v>
      </c>
      <c r="J122" s="99">
        <f>(F122*H122)/1000000</f>
        <v>20400</v>
      </c>
      <c r="K122" s="99">
        <v>751</v>
      </c>
      <c r="L122" s="202">
        <v>8.6999999999999994E-2</v>
      </c>
      <c r="M122" s="101">
        <v>0.03</v>
      </c>
      <c r="N122" s="3"/>
      <c r="O122" s="3"/>
      <c r="P122" s="3"/>
      <c r="Q122" s="3"/>
      <c r="R122" s="3"/>
      <c r="S122" s="3"/>
      <c r="T122" s="3"/>
      <c r="U122" s="3"/>
      <c r="V122" s="3"/>
      <c r="W122" s="3"/>
      <c r="X122" s="3"/>
      <c r="Y122" s="3"/>
      <c r="Z122" s="3"/>
    </row>
    <row r="123" spans="1:26" ht="15.75" customHeight="1" x14ac:dyDescent="0.25">
      <c r="A123" s="3"/>
      <c r="B123" s="49"/>
      <c r="C123" s="49"/>
      <c r="D123" s="49"/>
      <c r="E123" s="361"/>
      <c r="F123" s="68"/>
      <c r="G123" s="361"/>
      <c r="H123" s="68"/>
      <c r="I123" s="361"/>
      <c r="J123" s="205"/>
      <c r="K123" s="92"/>
      <c r="L123" s="153"/>
      <c r="M123" s="107"/>
      <c r="N123" s="3"/>
      <c r="O123" s="3"/>
      <c r="P123" s="3"/>
      <c r="Q123" s="3"/>
      <c r="R123" s="3"/>
      <c r="S123" s="3"/>
      <c r="T123" s="3"/>
      <c r="U123" s="3"/>
      <c r="V123" s="3"/>
      <c r="W123" s="3"/>
      <c r="X123" s="3"/>
      <c r="Y123" s="3"/>
      <c r="Z123" s="3"/>
    </row>
    <row r="124" spans="1:26" ht="15.75" customHeight="1" x14ac:dyDescent="0.25">
      <c r="A124" s="3"/>
      <c r="B124" s="49"/>
      <c r="C124" s="49" t="s">
        <v>377</v>
      </c>
      <c r="D124" s="91" t="s">
        <v>378</v>
      </c>
      <c r="E124" s="49" t="s">
        <v>189</v>
      </c>
      <c r="F124" s="92">
        <v>220000000</v>
      </c>
      <c r="G124" s="49" t="s">
        <v>79</v>
      </c>
      <c r="H124" s="68">
        <v>1020</v>
      </c>
      <c r="I124" s="49" t="s">
        <v>369</v>
      </c>
      <c r="J124" s="185">
        <f>(F124*H124)/1000000</f>
        <v>224400</v>
      </c>
      <c r="K124" s="99">
        <v>13289</v>
      </c>
      <c r="L124" s="202">
        <v>0.252</v>
      </c>
      <c r="M124" s="101">
        <v>0.24</v>
      </c>
      <c r="N124" s="3"/>
      <c r="O124" s="3"/>
      <c r="P124" s="3"/>
      <c r="Q124" s="3"/>
      <c r="R124" s="3"/>
      <c r="S124" s="3"/>
      <c r="T124" s="3"/>
      <c r="U124" s="3"/>
      <c r="V124" s="3"/>
      <c r="W124" s="3"/>
      <c r="X124" s="3"/>
      <c r="Y124" s="3"/>
      <c r="Z124" s="3"/>
    </row>
    <row r="125" spans="1:26" ht="15.75" customHeight="1" x14ac:dyDescent="0.25">
      <c r="A125" s="3"/>
      <c r="B125" s="49"/>
      <c r="C125" s="49"/>
      <c r="D125" s="49"/>
      <c r="E125" s="361"/>
      <c r="F125" s="68"/>
      <c r="G125" s="361"/>
      <c r="H125" s="68"/>
      <c r="I125" s="361"/>
      <c r="J125" s="205"/>
      <c r="K125" s="92"/>
      <c r="L125" s="153"/>
      <c r="M125" s="107"/>
      <c r="N125" s="3"/>
      <c r="O125" s="3"/>
      <c r="P125" s="3"/>
      <c r="Q125" s="3"/>
      <c r="R125" s="3"/>
      <c r="S125" s="3"/>
      <c r="T125" s="3"/>
      <c r="U125" s="3"/>
      <c r="V125" s="3"/>
      <c r="W125" s="3"/>
      <c r="X125" s="3"/>
      <c r="Y125" s="3"/>
      <c r="Z125" s="3"/>
    </row>
    <row r="126" spans="1:26" ht="15.75" customHeight="1" x14ac:dyDescent="0.25">
      <c r="A126" s="3"/>
      <c r="B126" s="49"/>
      <c r="C126" s="49" t="s">
        <v>308</v>
      </c>
      <c r="D126" s="49" t="s">
        <v>309</v>
      </c>
      <c r="E126" s="49" t="s">
        <v>299</v>
      </c>
      <c r="F126" s="92">
        <v>97000</v>
      </c>
      <c r="G126" s="49" t="s">
        <v>66</v>
      </c>
      <c r="H126" s="68">
        <v>139</v>
      </c>
      <c r="I126" s="361" t="s">
        <v>281</v>
      </c>
      <c r="J126" s="185">
        <f>(F126*H126)/1000</f>
        <v>13483</v>
      </c>
      <c r="K126" s="99">
        <v>1060</v>
      </c>
      <c r="L126" s="202">
        <v>0.01</v>
      </c>
      <c r="M126" s="101">
        <v>0.01</v>
      </c>
      <c r="N126" s="3"/>
      <c r="O126" s="3"/>
      <c r="P126" s="3"/>
      <c r="Q126" s="3"/>
      <c r="R126" s="3"/>
      <c r="S126" s="3"/>
      <c r="T126" s="3"/>
      <c r="U126" s="3"/>
      <c r="V126" s="3"/>
      <c r="W126" s="3"/>
      <c r="X126" s="3"/>
      <c r="Y126" s="3"/>
      <c r="Z126" s="3"/>
    </row>
    <row r="127" spans="1:26" ht="15.75" customHeight="1" x14ac:dyDescent="0.25">
      <c r="A127" s="3"/>
      <c r="B127" s="49"/>
      <c r="C127" s="49"/>
      <c r="D127" s="49"/>
      <c r="E127" s="361"/>
      <c r="F127" s="68"/>
      <c r="G127" s="361"/>
      <c r="H127" s="68"/>
      <c r="I127" s="361"/>
      <c r="J127" s="205"/>
      <c r="K127" s="92"/>
      <c r="L127" s="153"/>
      <c r="M127" s="107"/>
      <c r="N127" s="3"/>
      <c r="O127" s="3"/>
      <c r="P127" s="3"/>
      <c r="Q127" s="3"/>
      <c r="R127" s="3"/>
      <c r="S127" s="3"/>
      <c r="T127" s="3"/>
      <c r="U127" s="3"/>
      <c r="V127" s="3"/>
      <c r="W127" s="3"/>
      <c r="X127" s="3"/>
      <c r="Y127" s="3"/>
      <c r="Z127" s="3"/>
    </row>
    <row r="128" spans="1:26" ht="15.75" customHeight="1" x14ac:dyDescent="0.25">
      <c r="A128" s="3"/>
      <c r="B128" s="113"/>
      <c r="C128" s="113" t="s">
        <v>311</v>
      </c>
      <c r="D128" s="113" t="s">
        <v>312</v>
      </c>
      <c r="E128" s="113" t="s">
        <v>299</v>
      </c>
      <c r="F128" s="116">
        <v>105000</v>
      </c>
      <c r="G128" s="113" t="s">
        <v>66</v>
      </c>
      <c r="H128" s="118">
        <v>139</v>
      </c>
      <c r="I128" s="366" t="s">
        <v>281</v>
      </c>
      <c r="J128" s="214">
        <f>(F128*H128)/1000</f>
        <v>14595</v>
      </c>
      <c r="K128" s="217">
        <v>1150</v>
      </c>
      <c r="L128" s="219">
        <v>1.0999999999999999E-2</v>
      </c>
      <c r="M128" s="220">
        <v>0.01</v>
      </c>
      <c r="N128" s="3"/>
      <c r="O128" s="3"/>
      <c r="P128" s="3"/>
      <c r="Q128" s="3"/>
      <c r="R128" s="3"/>
      <c r="S128" s="3"/>
      <c r="T128" s="3"/>
      <c r="U128" s="3"/>
      <c r="V128" s="3"/>
      <c r="W128" s="3"/>
      <c r="X128" s="3"/>
      <c r="Y128" s="3"/>
      <c r="Z128" s="3"/>
    </row>
    <row r="129" spans="1:26" ht="15.75" customHeight="1" x14ac:dyDescent="0.25">
      <c r="A129" s="3"/>
      <c r="B129" s="399"/>
      <c r="C129" s="400"/>
      <c r="D129" s="400"/>
      <c r="E129" s="401"/>
      <c r="F129" s="403"/>
      <c r="G129" s="401"/>
      <c r="H129" s="403"/>
      <c r="I129" s="400"/>
      <c r="J129" s="400"/>
      <c r="K129" s="400"/>
      <c r="L129" s="400"/>
      <c r="M129" s="400"/>
      <c r="N129" s="3"/>
      <c r="O129" s="3"/>
      <c r="P129" s="3"/>
      <c r="Q129" s="3"/>
      <c r="R129" s="3"/>
      <c r="S129" s="3"/>
      <c r="T129" s="3"/>
      <c r="U129" s="3"/>
      <c r="V129" s="3"/>
      <c r="W129" s="3"/>
      <c r="X129" s="3"/>
      <c r="Y129" s="3"/>
      <c r="Z129" s="3"/>
    </row>
    <row r="130" spans="1:26" ht="15.75" customHeight="1" x14ac:dyDescent="0.25">
      <c r="A130" s="3"/>
      <c r="B130" s="407" t="s">
        <v>316</v>
      </c>
      <c r="C130" s="408" t="s">
        <v>317</v>
      </c>
      <c r="D130" s="407"/>
      <c r="E130" s="407"/>
      <c r="F130" s="407"/>
      <c r="G130" s="407"/>
      <c r="H130" s="407"/>
      <c r="I130" s="407"/>
      <c r="J130" s="407"/>
      <c r="K130" s="407"/>
      <c r="L130" s="407"/>
      <c r="M130" s="407"/>
      <c r="N130" s="3"/>
      <c r="O130" s="3"/>
      <c r="P130" s="3"/>
      <c r="Q130" s="3"/>
      <c r="R130" s="3"/>
      <c r="S130" s="3"/>
      <c r="T130" s="3"/>
      <c r="U130" s="3"/>
      <c r="V130" s="3"/>
      <c r="W130" s="3"/>
      <c r="X130" s="3"/>
      <c r="Y130" s="3"/>
      <c r="Z130" s="3"/>
    </row>
    <row r="131" spans="1:26" ht="15.75" customHeight="1" x14ac:dyDescent="0.25">
      <c r="A131" s="3"/>
      <c r="B131" s="49"/>
      <c r="C131" s="49" t="s">
        <v>320</v>
      </c>
      <c r="D131" s="49" t="s">
        <v>321</v>
      </c>
      <c r="E131" s="49" t="s">
        <v>200</v>
      </c>
      <c r="F131" s="409">
        <v>1482332</v>
      </c>
      <c r="G131" s="49" t="s">
        <v>66</v>
      </c>
      <c r="H131" s="409">
        <v>152352</v>
      </c>
      <c r="I131" s="49" t="s">
        <v>322</v>
      </c>
      <c r="J131" s="409">
        <f t="shared" ref="J131:J132" si="52">F131*H131/1000000</f>
        <v>225836.24486400001</v>
      </c>
      <c r="K131" s="409">
        <f>J131/J133*K133</f>
        <v>17360.296613650775</v>
      </c>
      <c r="L131" s="413">
        <f>J131/J133*L133</f>
        <v>0.20095150969389605</v>
      </c>
      <c r="M131" s="413">
        <f>J131/J133*M133</f>
        <v>0.3731956608600927</v>
      </c>
      <c r="N131" s="3"/>
      <c r="O131" s="3"/>
      <c r="P131" s="3"/>
      <c r="Q131" s="3"/>
      <c r="R131" s="3"/>
      <c r="S131" s="3"/>
      <c r="T131" s="3"/>
      <c r="U131" s="3"/>
      <c r="V131" s="3"/>
      <c r="W131" s="3"/>
      <c r="X131" s="3"/>
      <c r="Y131" s="3"/>
      <c r="Z131" s="3"/>
    </row>
    <row r="132" spans="1:26" ht="15.75" customHeight="1" x14ac:dyDescent="0.25">
      <c r="A132" s="3"/>
      <c r="B132" s="49"/>
      <c r="C132" s="49"/>
      <c r="D132" s="49"/>
      <c r="E132" s="49" t="s">
        <v>299</v>
      </c>
      <c r="F132" s="409">
        <v>72528</v>
      </c>
      <c r="G132" s="49" t="s">
        <v>66</v>
      </c>
      <c r="H132" s="409">
        <v>140208</v>
      </c>
      <c r="I132" s="49" t="s">
        <v>322</v>
      </c>
      <c r="J132" s="409">
        <f t="shared" si="52"/>
        <v>10169.005824</v>
      </c>
      <c r="K132" s="414">
        <f>J132/J133*K133</f>
        <v>781.70338634922769</v>
      </c>
      <c r="L132" s="413">
        <f>J132/J133*L133</f>
        <v>9.0484903061039471E-3</v>
      </c>
      <c r="M132" s="413">
        <f>J132/J133*M133</f>
        <v>1.6804339139907334E-2</v>
      </c>
      <c r="N132" s="3"/>
      <c r="O132" s="3"/>
      <c r="P132" s="3"/>
      <c r="Q132" s="3"/>
      <c r="R132" s="3"/>
      <c r="S132" s="3"/>
      <c r="T132" s="3"/>
      <c r="U132" s="3"/>
      <c r="V132" s="3"/>
      <c r="W132" s="3"/>
      <c r="X132" s="3"/>
      <c r="Y132" s="3"/>
      <c r="Z132" s="3"/>
    </row>
    <row r="133" spans="1:26" ht="15.75" customHeight="1" x14ac:dyDescent="0.25">
      <c r="A133" s="3"/>
      <c r="B133" s="49"/>
      <c r="C133" s="49"/>
      <c r="D133" s="49"/>
      <c r="E133" s="49"/>
      <c r="F133" s="49"/>
      <c r="G133" s="61"/>
      <c r="H133" s="61"/>
      <c r="I133" s="61"/>
      <c r="J133" s="415">
        <f>SUM(J131:J132)</f>
        <v>236005.250688</v>
      </c>
      <c r="K133" s="416">
        <v>18142</v>
      </c>
      <c r="L133" s="417">
        <v>0.21</v>
      </c>
      <c r="M133" s="417">
        <v>0.39</v>
      </c>
      <c r="N133" s="3"/>
      <c r="O133" s="3"/>
      <c r="P133" s="3"/>
      <c r="Q133" s="3"/>
      <c r="R133" s="3"/>
      <c r="S133" s="3"/>
      <c r="T133" s="3"/>
      <c r="U133" s="3"/>
      <c r="V133" s="3"/>
      <c r="W133" s="3"/>
      <c r="X133" s="3"/>
      <c r="Y133" s="3"/>
      <c r="Z133" s="3"/>
    </row>
    <row r="134" spans="1:26" ht="15.75" customHeight="1" x14ac:dyDescent="0.25">
      <c r="A134" s="3"/>
      <c r="B134" s="49"/>
      <c r="C134" s="49"/>
      <c r="D134" s="49"/>
      <c r="E134" s="49"/>
      <c r="F134" s="49"/>
      <c r="G134" s="49"/>
      <c r="H134" s="49"/>
      <c r="I134" s="49"/>
      <c r="J134" s="49"/>
      <c r="K134" s="49"/>
      <c r="L134" s="49"/>
      <c r="M134" s="49"/>
      <c r="N134" s="3"/>
      <c r="O134" s="3"/>
      <c r="P134" s="3"/>
      <c r="Q134" s="3"/>
      <c r="R134" s="3"/>
      <c r="S134" s="3"/>
      <c r="T134" s="3"/>
      <c r="U134" s="3"/>
      <c r="V134" s="3"/>
      <c r="W134" s="3"/>
      <c r="X134" s="3"/>
      <c r="Y134" s="3"/>
      <c r="Z134" s="3"/>
    </row>
    <row r="135" spans="1:26" ht="15.75" customHeight="1" x14ac:dyDescent="0.25">
      <c r="A135" s="3"/>
      <c r="B135" s="49"/>
      <c r="C135" s="49" t="s">
        <v>323</v>
      </c>
      <c r="D135" s="49" t="s">
        <v>408</v>
      </c>
      <c r="E135" s="49" t="s">
        <v>299</v>
      </c>
      <c r="F135" s="409">
        <v>17927</v>
      </c>
      <c r="G135" s="49" t="s">
        <v>66</v>
      </c>
      <c r="H135" s="409">
        <v>140163</v>
      </c>
      <c r="I135" s="49" t="s">
        <v>322</v>
      </c>
      <c r="J135" s="68">
        <f>F135*H135/1000000</f>
        <v>2512.7021009999999</v>
      </c>
      <c r="K135" s="49">
        <v>199.89</v>
      </c>
      <c r="L135" s="49">
        <v>0</v>
      </c>
      <c r="M135" s="49">
        <v>0.01</v>
      </c>
      <c r="N135" s="3"/>
      <c r="O135" s="3"/>
      <c r="P135" s="3"/>
      <c r="Q135" s="3"/>
      <c r="R135" s="3"/>
      <c r="S135" s="3"/>
      <c r="T135" s="3"/>
      <c r="U135" s="3"/>
      <c r="V135" s="3"/>
      <c r="W135" s="3"/>
      <c r="X135" s="3"/>
      <c r="Y135" s="3"/>
      <c r="Z135" s="3"/>
    </row>
    <row r="136" spans="1:26" ht="15.75" customHeight="1" x14ac:dyDescent="0.25">
      <c r="A136" s="3"/>
      <c r="B136" s="49"/>
      <c r="C136" s="49"/>
      <c r="D136" s="49"/>
      <c r="E136" s="49"/>
      <c r="F136" s="49"/>
      <c r="G136" s="49"/>
      <c r="H136" s="49"/>
      <c r="I136" s="49"/>
      <c r="J136" s="117"/>
      <c r="K136" s="49"/>
      <c r="L136" s="49"/>
      <c r="M136" s="49"/>
      <c r="N136" s="3"/>
      <c r="O136" s="3"/>
      <c r="P136" s="3"/>
      <c r="Q136" s="3"/>
      <c r="R136" s="3"/>
      <c r="S136" s="3"/>
      <c r="T136" s="3"/>
      <c r="U136" s="3"/>
      <c r="V136" s="3"/>
      <c r="W136" s="3"/>
      <c r="X136" s="3"/>
      <c r="Y136" s="3"/>
      <c r="Z136" s="3"/>
    </row>
    <row r="137" spans="1:26" ht="15.75" customHeight="1" x14ac:dyDescent="0.25">
      <c r="A137" s="3"/>
      <c r="B137" s="49"/>
      <c r="C137" s="49" t="s">
        <v>326</v>
      </c>
      <c r="D137" s="49" t="s">
        <v>411</v>
      </c>
      <c r="E137" s="49" t="s">
        <v>299</v>
      </c>
      <c r="F137" s="409">
        <v>36090</v>
      </c>
      <c r="G137" s="49" t="s">
        <v>66</v>
      </c>
      <c r="H137" s="409">
        <v>140085</v>
      </c>
      <c r="I137" s="49" t="s">
        <v>322</v>
      </c>
      <c r="J137" s="68">
        <f>F137*H137/1000000</f>
        <v>5055.6676500000003</v>
      </c>
      <c r="K137" s="49">
        <v>396.87</v>
      </c>
      <c r="L137" s="49">
        <v>0</v>
      </c>
      <c r="M137" s="49">
        <v>0</v>
      </c>
      <c r="N137" s="3"/>
      <c r="O137" s="3"/>
      <c r="P137" s="3"/>
      <c r="Q137" s="3"/>
      <c r="R137" s="3"/>
      <c r="S137" s="3"/>
      <c r="T137" s="3"/>
      <c r="U137" s="3"/>
      <c r="V137" s="3"/>
      <c r="W137" s="3"/>
      <c r="X137" s="3"/>
      <c r="Y137" s="3"/>
      <c r="Z137" s="3"/>
    </row>
    <row r="138" spans="1:26" ht="15.75" customHeight="1" x14ac:dyDescent="0.25">
      <c r="A138" s="3"/>
      <c r="B138" s="420"/>
      <c r="C138" s="420"/>
      <c r="D138" s="420"/>
      <c r="E138" s="420"/>
      <c r="F138" s="420"/>
      <c r="G138" s="420"/>
      <c r="H138" s="420"/>
      <c r="I138" s="420"/>
      <c r="J138" s="420"/>
      <c r="K138" s="420"/>
      <c r="L138" s="420"/>
      <c r="M138" s="420"/>
      <c r="N138" s="3"/>
      <c r="O138" s="3"/>
      <c r="P138" s="3"/>
      <c r="Q138" s="3"/>
      <c r="R138" s="3"/>
      <c r="S138" s="3"/>
      <c r="T138" s="3"/>
      <c r="U138" s="3"/>
      <c r="V138" s="3"/>
      <c r="W138" s="3"/>
      <c r="X138" s="3"/>
      <c r="Y138" s="3"/>
      <c r="Z138" s="3"/>
    </row>
    <row r="139" spans="1:26" ht="15.75" customHeight="1" x14ac:dyDescent="0.25">
      <c r="A139" s="3"/>
      <c r="B139" s="49"/>
      <c r="C139" s="49"/>
      <c r="D139" s="49"/>
      <c r="E139" s="49"/>
      <c r="F139" s="49"/>
      <c r="G139" s="49"/>
      <c r="H139" s="49"/>
      <c r="I139" s="49"/>
      <c r="J139" s="49"/>
      <c r="K139" s="49"/>
      <c r="L139" s="49"/>
      <c r="M139" s="49"/>
      <c r="N139" s="3"/>
      <c r="O139" s="3"/>
      <c r="P139" s="3"/>
      <c r="Q139" s="3"/>
      <c r="R139" s="3"/>
      <c r="S139" s="3"/>
      <c r="T139" s="3"/>
      <c r="U139" s="3"/>
      <c r="V139" s="3"/>
      <c r="W139" s="3"/>
      <c r="X139" s="3"/>
      <c r="Y139" s="3"/>
      <c r="Z139" s="3"/>
    </row>
    <row r="140" spans="1:26" ht="15.75" customHeight="1" x14ac:dyDescent="0.25">
      <c r="A140" s="3"/>
      <c r="B140" s="49" t="s">
        <v>416</v>
      </c>
      <c r="C140" s="61" t="s">
        <v>417</v>
      </c>
      <c r="D140" s="49"/>
      <c r="E140" s="49"/>
      <c r="F140" s="49"/>
      <c r="G140" s="49"/>
      <c r="H140" s="49"/>
      <c r="I140" s="49"/>
      <c r="J140" s="49"/>
      <c r="K140" s="49"/>
      <c r="L140" s="49"/>
      <c r="M140" s="49"/>
      <c r="N140" s="3"/>
      <c r="O140" s="3"/>
      <c r="P140" s="3"/>
      <c r="Q140" s="3"/>
      <c r="R140" s="3"/>
      <c r="S140" s="3"/>
      <c r="T140" s="3"/>
      <c r="U140" s="3"/>
      <c r="V140" s="3"/>
      <c r="W140" s="3"/>
      <c r="X140" s="3"/>
      <c r="Y140" s="3"/>
      <c r="Z140" s="3"/>
    </row>
    <row r="141" spans="1:26" ht="15.75" customHeight="1" x14ac:dyDescent="0.25">
      <c r="A141" s="3"/>
      <c r="B141" s="49"/>
      <c r="C141" s="49" t="s">
        <v>421</v>
      </c>
      <c r="D141" s="49" t="s">
        <v>422</v>
      </c>
      <c r="E141" s="49" t="s">
        <v>189</v>
      </c>
      <c r="F141" s="425">
        <v>8000000</v>
      </c>
      <c r="G141" s="49" t="s">
        <v>79</v>
      </c>
      <c r="H141" s="409">
        <v>1027</v>
      </c>
      <c r="I141" s="49" t="s">
        <v>424</v>
      </c>
      <c r="J141" s="409">
        <f>F141*H141/1000000</f>
        <v>8216</v>
      </c>
      <c r="K141" s="49">
        <v>410</v>
      </c>
      <c r="L141" s="49">
        <v>0.03</v>
      </c>
      <c r="M141" s="49">
        <v>0.01</v>
      </c>
      <c r="N141" s="3"/>
      <c r="O141" s="3"/>
      <c r="P141" s="3"/>
      <c r="Q141" s="3"/>
      <c r="R141" s="3"/>
      <c r="S141" s="3"/>
      <c r="T141" s="3"/>
      <c r="U141" s="3"/>
      <c r="V141" s="3"/>
      <c r="W141" s="3"/>
      <c r="X141" s="3"/>
      <c r="Y141" s="3"/>
      <c r="Z141" s="3"/>
    </row>
    <row r="142" spans="1:26" ht="15.75" customHeight="1" x14ac:dyDescent="0.25">
      <c r="A142" s="3"/>
      <c r="B142" s="420"/>
      <c r="C142" s="420"/>
      <c r="D142" s="420"/>
      <c r="E142" s="420"/>
      <c r="F142" s="420"/>
      <c r="G142" s="420"/>
      <c r="H142" s="420"/>
      <c r="I142" s="420"/>
      <c r="J142" s="420"/>
      <c r="K142" s="420"/>
      <c r="L142" s="420"/>
      <c r="M142" s="420"/>
      <c r="N142" s="3"/>
      <c r="O142" s="3"/>
      <c r="P142" s="3"/>
      <c r="Q142" s="3"/>
      <c r="R142" s="3"/>
      <c r="S142" s="3"/>
      <c r="T142" s="3"/>
      <c r="U142" s="3"/>
      <c r="V142" s="3"/>
      <c r="W142" s="3"/>
      <c r="X142" s="3"/>
      <c r="Y142" s="3"/>
      <c r="Z142" s="3"/>
    </row>
    <row r="143" spans="1:26" ht="15.75" customHeight="1" x14ac:dyDescent="0.25">
      <c r="A143" s="3"/>
      <c r="B143" s="49"/>
      <c r="C143" s="49"/>
      <c r="D143" s="49"/>
      <c r="E143" s="49"/>
      <c r="F143" s="49"/>
      <c r="G143" s="49"/>
      <c r="H143" s="49"/>
      <c r="I143" s="49"/>
      <c r="J143" s="49"/>
      <c r="K143" s="49"/>
      <c r="L143" s="49"/>
      <c r="M143" s="49"/>
      <c r="N143" s="3"/>
      <c r="O143" s="3"/>
      <c r="P143" s="3"/>
      <c r="Q143" s="3"/>
      <c r="R143" s="3"/>
      <c r="S143" s="3"/>
      <c r="T143" s="3"/>
      <c r="U143" s="3"/>
      <c r="V143" s="3"/>
      <c r="W143" s="3"/>
      <c r="X143" s="3"/>
      <c r="Y143" s="3"/>
      <c r="Z143" s="3"/>
    </row>
    <row r="144" spans="1:26" ht="15.75" customHeight="1" x14ac:dyDescent="0.25">
      <c r="A144" s="3"/>
      <c r="B144" s="49" t="s">
        <v>134</v>
      </c>
      <c r="C144" s="61" t="s">
        <v>135</v>
      </c>
      <c r="D144" s="49"/>
      <c r="E144" s="49"/>
      <c r="F144" s="49"/>
      <c r="G144" s="49"/>
      <c r="H144" s="49"/>
      <c r="I144" s="49"/>
      <c r="J144" s="49"/>
      <c r="K144" s="49"/>
      <c r="L144" s="49"/>
      <c r="M144" s="49"/>
      <c r="N144" s="3"/>
      <c r="O144" s="3"/>
      <c r="P144" s="3"/>
      <c r="Q144" s="3"/>
      <c r="R144" s="3"/>
      <c r="S144" s="3"/>
      <c r="T144" s="3"/>
      <c r="U144" s="3"/>
      <c r="V144" s="3"/>
      <c r="W144" s="3"/>
      <c r="X144" s="3"/>
      <c r="Y144" s="3"/>
      <c r="Z144" s="3"/>
    </row>
    <row r="145" spans="1:26" ht="15.75" customHeight="1" x14ac:dyDescent="0.25">
      <c r="A145" s="3"/>
      <c r="B145" s="49"/>
      <c r="C145" s="49" t="s">
        <v>136</v>
      </c>
      <c r="D145" s="49" t="s">
        <v>137</v>
      </c>
      <c r="E145" s="49" t="s">
        <v>53</v>
      </c>
      <c r="F145" s="409">
        <v>161730</v>
      </c>
      <c r="G145" s="49" t="s">
        <v>55</v>
      </c>
      <c r="H145" s="409">
        <v>12900</v>
      </c>
      <c r="I145" s="49" t="s">
        <v>60</v>
      </c>
      <c r="J145" s="68">
        <f>F145*H145*2000/1000000</f>
        <v>4172634</v>
      </c>
      <c r="K145" s="68">
        <f>J145/J147*K147</f>
        <v>406756.89772644348</v>
      </c>
      <c r="L145" s="427">
        <f>J145/J147*L147</f>
        <v>2.9739850923786126</v>
      </c>
      <c r="M145" s="427">
        <f>J145/J147*M147</f>
        <v>6.3445015304077073</v>
      </c>
      <c r="N145" s="3"/>
      <c r="O145" s="3"/>
      <c r="P145" s="3"/>
      <c r="Q145" s="3"/>
      <c r="R145" s="3"/>
      <c r="S145" s="3"/>
      <c r="T145" s="3"/>
      <c r="U145" s="3"/>
      <c r="V145" s="3"/>
      <c r="W145" s="3"/>
      <c r="X145" s="3"/>
      <c r="Y145" s="3"/>
      <c r="Z145" s="3"/>
    </row>
    <row r="146" spans="1:26" ht="15.75" customHeight="1" x14ac:dyDescent="0.25">
      <c r="A146" s="3"/>
      <c r="B146" s="49"/>
      <c r="C146" s="49"/>
      <c r="D146" s="49"/>
      <c r="E146" s="49" t="s">
        <v>299</v>
      </c>
      <c r="F146" s="409">
        <v>262249</v>
      </c>
      <c r="G146" s="49" t="s">
        <v>66</v>
      </c>
      <c r="H146" s="409">
        <v>139181</v>
      </c>
      <c r="I146" s="49" t="s">
        <v>322</v>
      </c>
      <c r="J146" s="68">
        <f>F146*H146/1000000</f>
        <v>36500.078069000003</v>
      </c>
      <c r="K146" s="68">
        <f>J146/J147*K147</f>
        <v>3558.102273556568</v>
      </c>
      <c r="L146" s="427">
        <f>J146/J147*L147</f>
        <v>2.6014907621387723E-2</v>
      </c>
      <c r="M146" s="427">
        <f>J146/J147*M147</f>
        <v>5.5498469592293813E-2</v>
      </c>
      <c r="N146" s="3"/>
      <c r="O146" s="3"/>
      <c r="P146" s="3"/>
      <c r="Q146" s="3"/>
      <c r="R146" s="3"/>
      <c r="S146" s="3"/>
      <c r="T146" s="3"/>
      <c r="U146" s="3"/>
      <c r="V146" s="3"/>
      <c r="W146" s="3"/>
      <c r="X146" s="3"/>
      <c r="Y146" s="3"/>
      <c r="Z146" s="3"/>
    </row>
    <row r="147" spans="1:26" ht="15.75" customHeight="1" x14ac:dyDescent="0.25">
      <c r="A147" s="3"/>
      <c r="B147" s="49"/>
      <c r="C147" s="49"/>
      <c r="D147" s="49"/>
      <c r="E147" s="49"/>
      <c r="F147" s="49"/>
      <c r="G147" s="49"/>
      <c r="H147" s="49"/>
      <c r="I147" s="49"/>
      <c r="J147" s="68">
        <f>SUM(J145:J146)</f>
        <v>4209134.0780689996</v>
      </c>
      <c r="K147" s="416">
        <v>410315</v>
      </c>
      <c r="L147" s="435">
        <v>3</v>
      </c>
      <c r="M147" s="435">
        <v>6.4</v>
      </c>
      <c r="N147" s="3"/>
      <c r="O147" s="3"/>
      <c r="P147" s="3"/>
      <c r="Q147" s="3"/>
      <c r="R147" s="3"/>
      <c r="S147" s="3"/>
      <c r="T147" s="3"/>
      <c r="U147" s="3"/>
      <c r="V147" s="3"/>
      <c r="W147" s="3"/>
      <c r="X147" s="3"/>
      <c r="Y147" s="3"/>
      <c r="Z147" s="3"/>
    </row>
    <row r="148" spans="1:26" ht="15.75" customHeight="1" x14ac:dyDescent="0.25">
      <c r="A148" s="3"/>
      <c r="B148" s="49"/>
      <c r="C148" s="49"/>
      <c r="D148" s="49"/>
      <c r="E148" s="49"/>
      <c r="F148" s="49"/>
      <c r="G148" s="49"/>
      <c r="H148" s="49"/>
      <c r="I148" s="49"/>
      <c r="J148" s="49"/>
      <c r="K148" s="49"/>
      <c r="L148" s="49"/>
      <c r="M148" s="49"/>
      <c r="N148" s="3"/>
      <c r="O148" s="3"/>
      <c r="P148" s="3"/>
      <c r="Q148" s="3"/>
      <c r="R148" s="3"/>
      <c r="S148" s="3"/>
      <c r="T148" s="3"/>
      <c r="U148" s="3"/>
      <c r="V148" s="3"/>
      <c r="W148" s="3"/>
      <c r="X148" s="3"/>
      <c r="Y148" s="3"/>
      <c r="Z148" s="3"/>
    </row>
    <row r="149" spans="1:26" ht="15.75" customHeight="1" x14ac:dyDescent="0.25">
      <c r="A149" s="3"/>
      <c r="B149" s="49"/>
      <c r="C149" s="49" t="s">
        <v>141</v>
      </c>
      <c r="D149" s="49" t="s">
        <v>142</v>
      </c>
      <c r="E149" s="49" t="s">
        <v>53</v>
      </c>
      <c r="F149" s="409">
        <v>198171</v>
      </c>
      <c r="G149" s="49" t="s">
        <v>55</v>
      </c>
      <c r="H149" s="409">
        <v>12891</v>
      </c>
      <c r="I149" s="49" t="s">
        <v>60</v>
      </c>
      <c r="J149" s="68">
        <f>F149*H149*2000/1000000</f>
        <v>5109244.7220000001</v>
      </c>
      <c r="K149" s="68">
        <f>J149/J151*K151</f>
        <v>520348.90453150572</v>
      </c>
      <c r="L149" s="427">
        <f>J149/J151*L151</f>
        <v>3.8009415962856519</v>
      </c>
      <c r="M149" s="427">
        <f>J149/J151*M151</f>
        <v>8.1377861852590971</v>
      </c>
      <c r="N149" s="3"/>
      <c r="O149" s="3"/>
      <c r="P149" s="3"/>
      <c r="Q149" s="3"/>
      <c r="R149" s="3"/>
      <c r="S149" s="3"/>
      <c r="T149" s="3"/>
      <c r="U149" s="3"/>
      <c r="V149" s="3"/>
      <c r="W149" s="3"/>
      <c r="X149" s="3"/>
      <c r="Y149" s="3"/>
      <c r="Z149" s="3"/>
    </row>
    <row r="150" spans="1:26" ht="15.75" customHeight="1" x14ac:dyDescent="0.25">
      <c r="A150" s="3"/>
      <c r="B150" s="49"/>
      <c r="C150" s="49"/>
      <c r="D150" s="49"/>
      <c r="E150" s="49" t="s">
        <v>299</v>
      </c>
      <c r="F150" s="409">
        <v>280645</v>
      </c>
      <c r="G150" s="49" t="s">
        <v>66</v>
      </c>
      <c r="H150" s="409">
        <v>139181</v>
      </c>
      <c r="I150" s="49" t="s">
        <v>322</v>
      </c>
      <c r="J150" s="68">
        <f>F150*H150/1000000</f>
        <v>39060.451744999998</v>
      </c>
      <c r="K150" s="68">
        <f>J150/J151*K151</f>
        <v>3978.0954684942749</v>
      </c>
      <c r="L150" s="427">
        <f>J150/J151*L151</f>
        <v>2.9058403714348247E-2</v>
      </c>
      <c r="M150" s="427">
        <f>J150/J151*M151</f>
        <v>6.2213814740902249E-2</v>
      </c>
      <c r="N150" s="3"/>
      <c r="O150" s="3"/>
      <c r="P150" s="3"/>
      <c r="Q150" s="3"/>
      <c r="R150" s="3"/>
      <c r="S150" s="3"/>
      <c r="T150" s="3"/>
      <c r="U150" s="3"/>
      <c r="V150" s="3"/>
      <c r="W150" s="3"/>
      <c r="X150" s="3"/>
      <c r="Y150" s="3"/>
      <c r="Z150" s="3"/>
    </row>
    <row r="151" spans="1:26" ht="15.75" customHeight="1" x14ac:dyDescent="0.25">
      <c r="A151" s="3"/>
      <c r="B151" s="49"/>
      <c r="C151" s="49"/>
      <c r="D151" s="49"/>
      <c r="E151" s="49"/>
      <c r="F151" s="49"/>
      <c r="G151" s="49"/>
      <c r="H151" s="49"/>
      <c r="I151" s="49"/>
      <c r="J151" s="68">
        <f>SUM(J149:J150)</f>
        <v>5148305.1737449998</v>
      </c>
      <c r="K151" s="416">
        <v>524327</v>
      </c>
      <c r="L151" s="443">
        <v>3.83</v>
      </c>
      <c r="M151" s="443">
        <v>8.1999999999999993</v>
      </c>
      <c r="N151" s="3"/>
      <c r="O151" s="3"/>
      <c r="P151" s="3"/>
      <c r="Q151" s="3"/>
      <c r="R151" s="3"/>
      <c r="S151" s="3"/>
      <c r="T151" s="3"/>
      <c r="U151" s="3"/>
      <c r="V151" s="3"/>
      <c r="W151" s="3"/>
      <c r="X151" s="3"/>
      <c r="Y151" s="3"/>
      <c r="Z151" s="3"/>
    </row>
    <row r="152" spans="1:26" ht="15.75" customHeight="1" x14ac:dyDescent="0.25">
      <c r="A152" s="3"/>
      <c r="B152" s="49"/>
      <c r="C152" s="49"/>
      <c r="D152" s="49"/>
      <c r="E152" s="49"/>
      <c r="F152" s="49"/>
      <c r="G152" s="49"/>
      <c r="H152" s="49"/>
      <c r="I152" s="49"/>
      <c r="J152" s="49"/>
      <c r="K152" s="49"/>
      <c r="L152" s="49"/>
      <c r="M152" s="49"/>
      <c r="N152" s="3"/>
      <c r="O152" s="3"/>
      <c r="P152" s="3"/>
      <c r="Q152" s="3"/>
      <c r="R152" s="3"/>
      <c r="S152" s="3"/>
      <c r="T152" s="3"/>
      <c r="U152" s="3"/>
      <c r="V152" s="3"/>
      <c r="W152" s="3"/>
      <c r="X152" s="3"/>
      <c r="Y152" s="3"/>
      <c r="Z152" s="3"/>
    </row>
    <row r="153" spans="1:26" ht="15.75" customHeight="1" x14ac:dyDescent="0.25">
      <c r="A153" s="3"/>
      <c r="B153" s="49"/>
      <c r="C153" s="49" t="s">
        <v>146</v>
      </c>
      <c r="D153" s="49" t="s">
        <v>147</v>
      </c>
      <c r="E153" s="49" t="s">
        <v>53</v>
      </c>
      <c r="F153" s="409">
        <v>197128</v>
      </c>
      <c r="G153" s="49" t="s">
        <v>55</v>
      </c>
      <c r="H153" s="409">
        <v>12895</v>
      </c>
      <c r="I153" s="49" t="s">
        <v>60</v>
      </c>
      <c r="J153" s="68">
        <f>F153*H153*2000/1000000</f>
        <v>5083931.12</v>
      </c>
      <c r="K153" s="68">
        <f>J153/J155*K155</f>
        <v>512116.49878776021</v>
      </c>
      <c r="L153" s="413">
        <f>J153/J155*L155</f>
        <v>3.7435053649600403</v>
      </c>
      <c r="M153" s="413">
        <f>J153/J155*M155</f>
        <v>7.9437779627799259</v>
      </c>
      <c r="N153" s="3"/>
      <c r="O153" s="3"/>
      <c r="P153" s="3"/>
      <c r="Q153" s="3"/>
      <c r="R153" s="3"/>
      <c r="S153" s="3"/>
      <c r="T153" s="3"/>
      <c r="U153" s="3"/>
      <c r="V153" s="3"/>
      <c r="W153" s="3"/>
      <c r="X153" s="3"/>
      <c r="Y153" s="3"/>
      <c r="Z153" s="3"/>
    </row>
    <row r="154" spans="1:26" ht="15.75" customHeight="1" x14ac:dyDescent="0.25">
      <c r="A154" s="3"/>
      <c r="B154" s="49"/>
      <c r="C154" s="49"/>
      <c r="D154" s="49"/>
      <c r="E154" s="49" t="s">
        <v>299</v>
      </c>
      <c r="F154" s="409">
        <v>258523</v>
      </c>
      <c r="G154" s="49" t="s">
        <v>66</v>
      </c>
      <c r="H154" s="409">
        <v>139181</v>
      </c>
      <c r="I154" s="49" t="s">
        <v>322</v>
      </c>
      <c r="J154" s="68">
        <f>F154*H154/1000000</f>
        <v>35981.489663</v>
      </c>
      <c r="K154" s="68">
        <f>J154/J155*K155</f>
        <v>3624.5012122397807</v>
      </c>
      <c r="L154" s="413">
        <f>J154/J155*L155</f>
        <v>2.6494635039959927E-2</v>
      </c>
      <c r="M154" s="413">
        <f>J154/J155*M155</f>
        <v>5.6222037220074114E-2</v>
      </c>
      <c r="N154" s="3"/>
      <c r="O154" s="3"/>
      <c r="P154" s="3"/>
      <c r="Q154" s="3"/>
      <c r="R154" s="3"/>
      <c r="S154" s="3"/>
      <c r="T154" s="3"/>
      <c r="U154" s="3"/>
      <c r="V154" s="3"/>
      <c r="W154" s="3"/>
      <c r="X154" s="3"/>
      <c r="Y154" s="3"/>
      <c r="Z154" s="3"/>
    </row>
    <row r="155" spans="1:26" ht="15.75" customHeight="1" x14ac:dyDescent="0.25">
      <c r="A155" s="3"/>
      <c r="B155" s="49"/>
      <c r="C155" s="49"/>
      <c r="D155" s="49"/>
      <c r="E155" s="49"/>
      <c r="F155" s="49"/>
      <c r="G155" s="49"/>
      <c r="H155" s="49"/>
      <c r="I155" s="49"/>
      <c r="J155" s="68">
        <f>SUM(J153:J154)</f>
        <v>5119912.6096630003</v>
      </c>
      <c r="K155" s="416">
        <v>515741</v>
      </c>
      <c r="L155" s="443">
        <v>3.77</v>
      </c>
      <c r="M155" s="443">
        <v>8</v>
      </c>
      <c r="N155" s="3"/>
      <c r="O155" s="3"/>
      <c r="P155" s="3"/>
      <c r="Q155" s="3"/>
      <c r="R155" s="3"/>
      <c r="S155" s="3"/>
      <c r="T155" s="3"/>
      <c r="U155" s="3"/>
      <c r="V155" s="3"/>
      <c r="W155" s="3"/>
      <c r="X155" s="3"/>
      <c r="Y155" s="3"/>
      <c r="Z155" s="3"/>
    </row>
    <row r="156" spans="1:26" ht="15.75" customHeight="1" x14ac:dyDescent="0.25">
      <c r="A156" s="3"/>
      <c r="B156" s="49"/>
      <c r="C156" s="49"/>
      <c r="D156" s="49"/>
      <c r="E156" s="49"/>
      <c r="F156" s="49"/>
      <c r="G156" s="49"/>
      <c r="H156" s="49"/>
      <c r="I156" s="49"/>
      <c r="J156" s="49"/>
      <c r="K156" s="49"/>
      <c r="L156" s="49"/>
      <c r="M156" s="49"/>
      <c r="N156" s="3"/>
      <c r="O156" s="3"/>
      <c r="P156" s="3"/>
      <c r="Q156" s="3"/>
      <c r="R156" s="3"/>
      <c r="S156" s="3"/>
      <c r="T156" s="3"/>
      <c r="U156" s="3"/>
      <c r="V156" s="3"/>
      <c r="W156" s="3"/>
      <c r="X156" s="3"/>
      <c r="Y156" s="3"/>
      <c r="Z156" s="3"/>
    </row>
    <row r="157" spans="1:26" ht="15.75" customHeight="1" x14ac:dyDescent="0.25">
      <c r="A157" s="3"/>
      <c r="B157" s="49"/>
      <c r="C157" s="49" t="s">
        <v>341</v>
      </c>
      <c r="D157" s="49" t="s">
        <v>411</v>
      </c>
      <c r="E157" s="49" t="s">
        <v>299</v>
      </c>
      <c r="F157" s="409">
        <v>25757</v>
      </c>
      <c r="G157" s="49" t="s">
        <v>66</v>
      </c>
      <c r="H157" s="409">
        <v>139181</v>
      </c>
      <c r="I157" s="49"/>
      <c r="J157" s="117">
        <f>F157*H157/1000000</f>
        <v>3584.8850170000001</v>
      </c>
      <c r="K157" s="49">
        <v>293</v>
      </c>
      <c r="L157" s="49">
        <v>6.9999999999999999E-4</v>
      </c>
      <c r="M157" s="49">
        <v>0.01</v>
      </c>
      <c r="N157" s="3"/>
      <c r="O157" s="3"/>
      <c r="P157" s="3"/>
      <c r="Q157" s="3"/>
      <c r="R157" s="3"/>
      <c r="S157" s="3"/>
      <c r="T157" s="3"/>
      <c r="U157" s="3"/>
      <c r="V157" s="3"/>
      <c r="W157" s="3"/>
      <c r="X157" s="3"/>
      <c r="Y157" s="3"/>
      <c r="Z157" s="3"/>
    </row>
    <row r="158" spans="1:26" ht="15.75" customHeight="1" x14ac:dyDescent="0.25">
      <c r="A158" s="3"/>
      <c r="B158" s="49"/>
      <c r="C158" s="49"/>
      <c r="D158" s="49"/>
      <c r="E158" s="49"/>
      <c r="F158" s="49"/>
      <c r="G158" s="49"/>
      <c r="H158" s="49"/>
      <c r="I158" s="49"/>
      <c r="J158" s="49"/>
      <c r="K158" s="49"/>
      <c r="L158" s="49"/>
      <c r="M158" s="49"/>
      <c r="N158" s="3"/>
      <c r="O158" s="3"/>
      <c r="P158" s="3"/>
      <c r="Q158" s="3"/>
      <c r="R158" s="3"/>
      <c r="S158" s="3"/>
      <c r="T158" s="3"/>
      <c r="U158" s="3"/>
      <c r="V158" s="3"/>
      <c r="W158" s="3"/>
      <c r="X158" s="3"/>
      <c r="Y158" s="3"/>
      <c r="Z158" s="3"/>
    </row>
    <row r="159" spans="1:26" ht="15.75" customHeight="1" x14ac:dyDescent="0.25">
      <c r="A159" s="3"/>
      <c r="B159" s="420"/>
      <c r="C159" s="420"/>
      <c r="D159" s="420"/>
      <c r="E159" s="420"/>
      <c r="F159" s="420"/>
      <c r="G159" s="420"/>
      <c r="H159" s="420"/>
      <c r="I159" s="420"/>
      <c r="J159" s="420"/>
      <c r="K159" s="420"/>
      <c r="L159" s="420"/>
      <c r="M159" s="420"/>
      <c r="N159" s="3"/>
      <c r="O159" s="3"/>
      <c r="P159" s="3"/>
      <c r="Q159" s="3"/>
      <c r="R159" s="3"/>
      <c r="S159" s="3"/>
      <c r="T159" s="3"/>
      <c r="U159" s="3"/>
      <c r="V159" s="3"/>
      <c r="W159" s="3"/>
      <c r="X159" s="3"/>
      <c r="Y159" s="3"/>
      <c r="Z159" s="3"/>
    </row>
    <row r="160" spans="1:26" ht="15.75" customHeight="1" x14ac:dyDescent="0.25">
      <c r="A160" s="3"/>
      <c r="B160" s="49"/>
      <c r="C160" s="49"/>
      <c r="D160" s="49"/>
      <c r="E160" s="49"/>
      <c r="F160" s="49"/>
      <c r="G160" s="49"/>
      <c r="H160" s="49"/>
      <c r="I160" s="49"/>
      <c r="J160" s="49"/>
      <c r="K160" s="49"/>
      <c r="L160" s="49"/>
      <c r="M160" s="49"/>
      <c r="N160" s="3"/>
      <c r="O160" s="3"/>
      <c r="P160" s="3"/>
      <c r="Q160" s="3"/>
      <c r="R160" s="3"/>
      <c r="S160" s="3"/>
      <c r="T160" s="3"/>
      <c r="U160" s="3"/>
      <c r="V160" s="3"/>
      <c r="W160" s="3"/>
      <c r="X160" s="3"/>
      <c r="Y160" s="3"/>
      <c r="Z160" s="3"/>
    </row>
    <row r="161" spans="1:26" ht="15.75" customHeight="1" x14ac:dyDescent="0.25">
      <c r="A161" s="3"/>
      <c r="B161" s="49" t="s">
        <v>344</v>
      </c>
      <c r="C161" s="61" t="s">
        <v>345</v>
      </c>
      <c r="D161" s="49"/>
      <c r="E161" s="49"/>
      <c r="F161" s="49"/>
      <c r="G161" s="49"/>
      <c r="H161" s="49"/>
      <c r="I161" s="49"/>
      <c r="J161" s="49"/>
      <c r="K161" s="49"/>
      <c r="L161" s="49"/>
      <c r="M161" s="49"/>
      <c r="N161" s="3"/>
      <c r="O161" s="3"/>
      <c r="P161" s="3"/>
      <c r="Q161" s="3"/>
      <c r="R161" s="3"/>
      <c r="S161" s="3"/>
      <c r="T161" s="3"/>
      <c r="U161" s="3"/>
      <c r="V161" s="3"/>
      <c r="W161" s="3"/>
      <c r="X161" s="3"/>
      <c r="Y161" s="3"/>
      <c r="Z161" s="3"/>
    </row>
    <row r="162" spans="1:26" ht="15.75" customHeight="1" x14ac:dyDescent="0.25">
      <c r="A162" s="3"/>
      <c r="B162" s="49"/>
      <c r="C162" s="49" t="s">
        <v>347</v>
      </c>
      <c r="D162" s="49" t="s">
        <v>495</v>
      </c>
      <c r="E162" s="49" t="s">
        <v>189</v>
      </c>
      <c r="F162" s="409">
        <v>150625000</v>
      </c>
      <c r="G162" s="49" t="s">
        <v>79</v>
      </c>
      <c r="H162" s="409">
        <v>1032</v>
      </c>
      <c r="I162" s="49" t="s">
        <v>498</v>
      </c>
      <c r="J162" s="68">
        <f t="shared" ref="J162:J163" si="53">F162*H162/1000000</f>
        <v>155445</v>
      </c>
      <c r="K162" s="68">
        <f>J162/J164*K164</f>
        <v>7682.9804922914709</v>
      </c>
      <c r="L162" s="413">
        <f>J162/J164*L164</f>
        <v>0.62769448466433575</v>
      </c>
      <c r="M162" s="413">
        <f>J162/J164*M164</f>
        <v>0.26901192199900104</v>
      </c>
      <c r="N162" s="3"/>
      <c r="O162" s="3"/>
      <c r="P162" s="3"/>
      <c r="Q162" s="3"/>
      <c r="R162" s="3"/>
      <c r="S162" s="3"/>
      <c r="T162" s="3"/>
      <c r="U162" s="3"/>
      <c r="V162" s="3"/>
      <c r="W162" s="3"/>
      <c r="X162" s="3"/>
      <c r="Y162" s="3"/>
      <c r="Z162" s="3"/>
    </row>
    <row r="163" spans="1:26" ht="15.75" customHeight="1" x14ac:dyDescent="0.25">
      <c r="A163" s="3"/>
      <c r="B163" s="49"/>
      <c r="C163" s="49"/>
      <c r="D163" s="49"/>
      <c r="E163" s="49" t="s">
        <v>299</v>
      </c>
      <c r="F163" s="409">
        <v>128653</v>
      </c>
      <c r="G163" s="49" t="s">
        <v>66</v>
      </c>
      <c r="H163" s="409">
        <v>139181</v>
      </c>
      <c r="I163" s="49" t="s">
        <v>322</v>
      </c>
      <c r="J163" s="68">
        <f t="shared" si="53"/>
        <v>17906.053193</v>
      </c>
      <c r="K163" s="68">
        <f>J163/J164*K164</f>
        <v>885.01950770852966</v>
      </c>
      <c r="L163" s="413">
        <f>J163/J164*L164</f>
        <v>7.2305515335664192E-2</v>
      </c>
      <c r="M163" s="413">
        <f>J163/J164*M164</f>
        <v>3.0988078000998939E-2</v>
      </c>
      <c r="N163" s="3"/>
      <c r="O163" s="3"/>
      <c r="P163" s="3"/>
      <c r="Q163" s="3"/>
      <c r="R163" s="3"/>
      <c r="S163" s="3"/>
      <c r="T163" s="3"/>
      <c r="U163" s="3"/>
      <c r="V163" s="3"/>
      <c r="W163" s="3"/>
      <c r="X163" s="3"/>
      <c r="Y163" s="3"/>
      <c r="Z163" s="3"/>
    </row>
    <row r="164" spans="1:26" ht="15.75" customHeight="1" x14ac:dyDescent="0.25">
      <c r="A164" s="3"/>
      <c r="B164" s="49"/>
      <c r="C164" s="49"/>
      <c r="D164" s="49"/>
      <c r="E164" s="49"/>
      <c r="F164" s="49"/>
      <c r="G164" s="49"/>
      <c r="H164" s="49"/>
      <c r="I164" s="49"/>
      <c r="J164" s="68">
        <f>SUM(J162:J163)</f>
        <v>173351.053193</v>
      </c>
      <c r="K164" s="416">
        <v>8568</v>
      </c>
      <c r="L164" s="443">
        <v>0.7</v>
      </c>
      <c r="M164" s="443">
        <v>0.3</v>
      </c>
      <c r="N164" s="3"/>
      <c r="O164" s="3"/>
      <c r="P164" s="3"/>
      <c r="Q164" s="3"/>
      <c r="R164" s="3"/>
      <c r="S164" s="3"/>
      <c r="T164" s="3"/>
      <c r="U164" s="3"/>
      <c r="V164" s="3"/>
      <c r="W164" s="3"/>
      <c r="X164" s="3"/>
      <c r="Y164" s="3"/>
      <c r="Z164" s="3"/>
    </row>
    <row r="165" spans="1:26" ht="15.75" customHeight="1" x14ac:dyDescent="0.25">
      <c r="A165" s="3"/>
      <c r="B165" s="49"/>
      <c r="C165" s="49"/>
      <c r="D165" s="49"/>
      <c r="E165" s="49"/>
      <c r="F165" s="49"/>
      <c r="G165" s="49"/>
      <c r="H165" s="49"/>
      <c r="I165" s="49"/>
      <c r="J165" s="49"/>
      <c r="K165" s="49"/>
      <c r="L165" s="49"/>
      <c r="M165" s="49"/>
      <c r="N165" s="3"/>
      <c r="O165" s="3"/>
      <c r="P165" s="3"/>
      <c r="Q165" s="3"/>
      <c r="R165" s="3"/>
      <c r="S165" s="3"/>
      <c r="T165" s="3"/>
      <c r="U165" s="3"/>
      <c r="V165" s="3"/>
      <c r="W165" s="3"/>
      <c r="X165" s="3"/>
      <c r="Y165" s="3"/>
      <c r="Z165" s="3"/>
    </row>
    <row r="166" spans="1:26" ht="15.75" customHeight="1" x14ac:dyDescent="0.25">
      <c r="A166" s="3"/>
      <c r="B166" s="49"/>
      <c r="C166" s="49"/>
      <c r="D166" s="49" t="s">
        <v>226</v>
      </c>
      <c r="E166" s="49" t="s">
        <v>189</v>
      </c>
      <c r="F166" s="409">
        <v>206653000</v>
      </c>
      <c r="G166" s="49" t="s">
        <v>79</v>
      </c>
      <c r="H166" s="409">
        <v>1032</v>
      </c>
      <c r="I166" s="49" t="s">
        <v>498</v>
      </c>
      <c r="J166" s="68">
        <f t="shared" ref="J166:J167" si="54">F166*H166/1000000</f>
        <v>213265.89600000001</v>
      </c>
      <c r="K166" s="68">
        <f>J166/J168*K168</f>
        <v>10136.750086008988</v>
      </c>
      <c r="L166" s="456">
        <f>J166/J168*L168</f>
        <v>0.83575257213339038</v>
      </c>
      <c r="M166" s="456">
        <f>J166/J168*M168</f>
        <v>0.37144558761484014</v>
      </c>
      <c r="N166" s="3"/>
      <c r="O166" s="3"/>
      <c r="P166" s="3"/>
      <c r="Q166" s="3"/>
      <c r="R166" s="3"/>
      <c r="S166" s="3"/>
      <c r="T166" s="3"/>
      <c r="U166" s="3"/>
      <c r="V166" s="3"/>
      <c r="W166" s="3"/>
      <c r="X166" s="3"/>
      <c r="Y166" s="3"/>
      <c r="Z166" s="3"/>
    </row>
    <row r="167" spans="1:26" ht="15.75" customHeight="1" x14ac:dyDescent="0.25">
      <c r="A167" s="3"/>
      <c r="B167" s="49"/>
      <c r="C167" s="49"/>
      <c r="D167" s="49"/>
      <c r="E167" s="49" t="s">
        <v>523</v>
      </c>
      <c r="F167" s="409">
        <v>117793</v>
      </c>
      <c r="G167" s="49" t="s">
        <v>66</v>
      </c>
      <c r="H167" s="409">
        <v>139181</v>
      </c>
      <c r="I167" s="49" t="s">
        <v>322</v>
      </c>
      <c r="J167" s="68">
        <f t="shared" si="54"/>
        <v>16394.547533000001</v>
      </c>
      <c r="K167" s="68">
        <f>J167/J168*K168</f>
        <v>779.24991399101225</v>
      </c>
      <c r="L167" s="456">
        <f>J167/J168*L168</f>
        <v>6.4247427866609669E-2</v>
      </c>
      <c r="M167" s="456">
        <f>J167/J168*M168</f>
        <v>2.855441238515985E-2</v>
      </c>
      <c r="N167" s="3"/>
      <c r="O167" s="3"/>
      <c r="P167" s="3"/>
      <c r="Q167" s="3"/>
      <c r="R167" s="3"/>
      <c r="S167" s="3"/>
      <c r="T167" s="3"/>
      <c r="U167" s="3"/>
      <c r="V167" s="3"/>
      <c r="W167" s="3"/>
      <c r="X167" s="3"/>
      <c r="Y167" s="3"/>
      <c r="Z167" s="3"/>
    </row>
    <row r="168" spans="1:26" ht="15.75" customHeight="1" x14ac:dyDescent="0.25">
      <c r="A168" s="3"/>
      <c r="B168" s="49"/>
      <c r="C168" s="49"/>
      <c r="D168" s="49"/>
      <c r="E168" s="49"/>
      <c r="F168" s="49"/>
      <c r="G168" s="49"/>
      <c r="H168" s="49"/>
      <c r="I168" s="49"/>
      <c r="J168" s="68">
        <f>SUM(J166:J167)</f>
        <v>229660.44353300001</v>
      </c>
      <c r="K168" s="416">
        <v>10916</v>
      </c>
      <c r="L168" s="417">
        <v>0.9</v>
      </c>
      <c r="M168" s="417">
        <v>0.4</v>
      </c>
      <c r="N168" s="3"/>
      <c r="O168" s="3"/>
      <c r="P168" s="3"/>
      <c r="Q168" s="3"/>
      <c r="R168" s="3"/>
      <c r="S168" s="3"/>
      <c r="T168" s="3"/>
      <c r="U168" s="3"/>
      <c r="V168" s="3"/>
      <c r="W168" s="3"/>
      <c r="X168" s="3"/>
      <c r="Y168" s="3"/>
      <c r="Z168" s="3"/>
    </row>
    <row r="169" spans="1:26" ht="15.75" customHeight="1" x14ac:dyDescent="0.25">
      <c r="A169" s="3"/>
      <c r="B169" s="420"/>
      <c r="C169" s="420"/>
      <c r="D169" s="420"/>
      <c r="E169" s="420"/>
      <c r="F169" s="420"/>
      <c r="G169" s="420"/>
      <c r="H169" s="420"/>
      <c r="I169" s="420"/>
      <c r="J169" s="420"/>
      <c r="K169" s="420"/>
      <c r="L169" s="420"/>
      <c r="M169" s="420"/>
      <c r="N169" s="3"/>
      <c r="O169" s="3"/>
      <c r="P169" s="3"/>
      <c r="Q169" s="3"/>
      <c r="R169" s="3"/>
      <c r="S169" s="3"/>
      <c r="T169" s="3"/>
      <c r="U169" s="3"/>
      <c r="V169" s="3"/>
      <c r="W169" s="3"/>
      <c r="X169" s="3"/>
      <c r="Y169" s="3"/>
      <c r="Z169" s="3"/>
    </row>
    <row r="170" spans="1:26" ht="15.75" customHeight="1" x14ac:dyDescent="0.25">
      <c r="A170" s="3"/>
      <c r="B170" s="49"/>
      <c r="C170" s="49"/>
      <c r="D170" s="49"/>
      <c r="E170" s="49"/>
      <c r="F170" s="49"/>
      <c r="G170" s="49"/>
      <c r="H170" s="49"/>
      <c r="I170" s="49"/>
      <c r="J170" s="49"/>
      <c r="K170" s="49"/>
      <c r="L170" s="49"/>
      <c r="M170" s="49"/>
      <c r="N170" s="3"/>
      <c r="O170" s="3"/>
      <c r="P170" s="3"/>
      <c r="Q170" s="3"/>
      <c r="R170" s="3"/>
      <c r="S170" s="3"/>
      <c r="T170" s="3"/>
      <c r="U170" s="3"/>
      <c r="V170" s="3"/>
      <c r="W170" s="3"/>
      <c r="X170" s="3"/>
      <c r="Y170" s="3"/>
      <c r="Z170" s="3"/>
    </row>
    <row r="171" spans="1:26" ht="15.75" customHeight="1" x14ac:dyDescent="0.25">
      <c r="A171" s="3"/>
      <c r="B171" s="49" t="s">
        <v>148</v>
      </c>
      <c r="C171" s="61" t="s">
        <v>150</v>
      </c>
      <c r="D171" s="49"/>
      <c r="E171" s="49"/>
      <c r="F171" s="49"/>
      <c r="G171" s="49"/>
      <c r="H171" s="49"/>
      <c r="I171" s="49"/>
      <c r="J171" s="49"/>
      <c r="K171" s="49"/>
      <c r="L171" s="49"/>
      <c r="M171" s="49"/>
      <c r="N171" s="3"/>
      <c r="O171" s="3"/>
      <c r="P171" s="3"/>
      <c r="Q171" s="3"/>
      <c r="R171" s="3"/>
      <c r="S171" s="3"/>
      <c r="T171" s="3"/>
      <c r="U171" s="3"/>
      <c r="V171" s="3"/>
      <c r="W171" s="3"/>
      <c r="X171" s="3"/>
      <c r="Y171" s="3"/>
      <c r="Z171" s="3"/>
    </row>
    <row r="172" spans="1:26" ht="15.75" customHeight="1" x14ac:dyDescent="0.25">
      <c r="A172" s="3"/>
      <c r="B172" s="49"/>
      <c r="C172" s="49" t="s">
        <v>151</v>
      </c>
      <c r="D172" s="49" t="s">
        <v>89</v>
      </c>
      <c r="E172" s="49" t="s">
        <v>53</v>
      </c>
      <c r="F172" s="409">
        <v>1141923</v>
      </c>
      <c r="G172" s="49" t="s">
        <v>55</v>
      </c>
      <c r="H172" s="409">
        <v>13025</v>
      </c>
      <c r="I172" s="49" t="s">
        <v>60</v>
      </c>
      <c r="J172" s="68">
        <f>F172*H172*2000/1000000</f>
        <v>29747094.149999999</v>
      </c>
      <c r="K172" s="68">
        <f>J172/J174*K174</f>
        <v>3377171.0602952191</v>
      </c>
      <c r="L172" s="413">
        <f>J172/J174*L174</f>
        <v>24.684830526299731</v>
      </c>
      <c r="M172" s="413">
        <f>J172/J174*M174</f>
        <v>52.660971789439422</v>
      </c>
      <c r="N172" s="3"/>
      <c r="O172" s="3"/>
      <c r="P172" s="3"/>
      <c r="Q172" s="3"/>
      <c r="R172" s="3"/>
      <c r="S172" s="3"/>
      <c r="T172" s="3"/>
      <c r="U172" s="3"/>
      <c r="V172" s="3"/>
      <c r="W172" s="3"/>
      <c r="X172" s="3"/>
      <c r="Y172" s="3"/>
      <c r="Z172" s="3"/>
    </row>
    <row r="173" spans="1:26" ht="15.75" customHeight="1" x14ac:dyDescent="0.25">
      <c r="A173" s="3"/>
      <c r="B173" s="49"/>
      <c r="C173" s="49"/>
      <c r="D173" s="49"/>
      <c r="E173" s="49" t="s">
        <v>299</v>
      </c>
      <c r="F173" s="409">
        <v>560730</v>
      </c>
      <c r="G173" s="49" t="s">
        <v>66</v>
      </c>
      <c r="H173" s="409">
        <v>140057</v>
      </c>
      <c r="I173" s="49" t="s">
        <v>322</v>
      </c>
      <c r="J173" s="68">
        <f>F173*H173/1000000</f>
        <v>78534.161609999996</v>
      </c>
      <c r="K173" s="68">
        <f>J173/J174*K174</f>
        <v>8915.9397047808707</v>
      </c>
      <c r="L173" s="413">
        <f>J173/J174*L174</f>
        <v>6.5169473700270125E-2</v>
      </c>
      <c r="M173" s="413">
        <f>J173/J174*M174</f>
        <v>0.13902821056057627</v>
      </c>
      <c r="N173" s="3"/>
      <c r="O173" s="3"/>
      <c r="P173" s="3"/>
      <c r="Q173" s="3"/>
      <c r="R173" s="3"/>
      <c r="S173" s="3"/>
      <c r="T173" s="3"/>
      <c r="U173" s="3"/>
      <c r="V173" s="3"/>
      <c r="W173" s="3"/>
      <c r="X173" s="3"/>
      <c r="Y173" s="3"/>
      <c r="Z173" s="3"/>
    </row>
    <row r="174" spans="1:26" ht="15.75" customHeight="1" x14ac:dyDescent="0.25">
      <c r="A174" s="3"/>
      <c r="B174" s="49"/>
      <c r="C174" s="49"/>
      <c r="D174" s="49"/>
      <c r="E174" s="49"/>
      <c r="F174" s="49"/>
      <c r="G174" s="49"/>
      <c r="H174" s="49"/>
      <c r="I174" s="49"/>
      <c r="J174" s="68">
        <f>SUM(J172:J173)</f>
        <v>29825628.311609998</v>
      </c>
      <c r="K174" s="416">
        <v>3386087</v>
      </c>
      <c r="L174" s="443">
        <v>24.75</v>
      </c>
      <c r="M174" s="443">
        <v>52.8</v>
      </c>
      <c r="N174" s="3"/>
      <c r="O174" s="3"/>
      <c r="P174" s="3"/>
      <c r="Q174" s="3"/>
      <c r="R174" s="3"/>
      <c r="S174" s="3"/>
      <c r="T174" s="3"/>
      <c r="U174" s="3"/>
      <c r="V174" s="3"/>
      <c r="W174" s="3"/>
      <c r="X174" s="3"/>
      <c r="Y174" s="3"/>
      <c r="Z174" s="3"/>
    </row>
    <row r="175" spans="1:26" ht="15.75" customHeight="1" x14ac:dyDescent="0.25">
      <c r="A175" s="3"/>
      <c r="B175" s="49"/>
      <c r="C175" s="49"/>
      <c r="D175" s="49"/>
      <c r="E175" s="49"/>
      <c r="F175" s="49"/>
      <c r="G175" s="49"/>
      <c r="H175" s="49"/>
      <c r="I175" s="49"/>
      <c r="J175" s="68"/>
      <c r="K175" s="409"/>
      <c r="L175" s="413"/>
      <c r="M175" s="413"/>
      <c r="N175" s="3"/>
      <c r="O175" s="3"/>
      <c r="P175" s="3"/>
      <c r="Q175" s="3"/>
      <c r="R175" s="3"/>
      <c r="S175" s="3"/>
      <c r="T175" s="3"/>
      <c r="U175" s="3"/>
      <c r="V175" s="3"/>
      <c r="W175" s="3"/>
      <c r="X175" s="3"/>
      <c r="Y175" s="3"/>
      <c r="Z175" s="3"/>
    </row>
    <row r="176" spans="1:26" ht="15.75" customHeight="1" x14ac:dyDescent="0.25">
      <c r="A176" s="3"/>
      <c r="B176" s="49"/>
      <c r="C176" s="49" t="s">
        <v>152</v>
      </c>
      <c r="D176" s="49" t="s">
        <v>98</v>
      </c>
      <c r="E176" s="49" t="s">
        <v>53</v>
      </c>
      <c r="F176" s="409">
        <v>1248983</v>
      </c>
      <c r="G176" s="49" t="s">
        <v>55</v>
      </c>
      <c r="H176" s="409">
        <v>13025</v>
      </c>
      <c r="I176" s="49" t="s">
        <v>60</v>
      </c>
      <c r="J176" s="68">
        <f>F176*H176*2000/1000000</f>
        <v>32536007.149999999</v>
      </c>
      <c r="K176" s="68">
        <f>J176/J178*K178</f>
        <v>3292474.5069769244</v>
      </c>
      <c r="L176" s="413">
        <f>J176/J178*L178</f>
        <v>25.513668463846166</v>
      </c>
      <c r="M176" s="413">
        <f>J176/J178*M178</f>
        <v>54.422502202724701</v>
      </c>
      <c r="N176" s="3"/>
      <c r="O176" s="3"/>
      <c r="P176" s="3"/>
      <c r="Q176" s="3"/>
      <c r="R176" s="3"/>
      <c r="S176" s="3"/>
      <c r="T176" s="3"/>
      <c r="U176" s="3"/>
      <c r="V176" s="3"/>
      <c r="W176" s="3"/>
      <c r="X176" s="3"/>
      <c r="Y176" s="3"/>
      <c r="Z176" s="3"/>
    </row>
    <row r="177" spans="1:26" ht="15.75" customHeight="1" x14ac:dyDescent="0.25">
      <c r="A177" s="3"/>
      <c r="B177" s="49"/>
      <c r="C177" s="49"/>
      <c r="D177" s="49"/>
      <c r="E177" s="49" t="s">
        <v>299</v>
      </c>
      <c r="F177" s="409">
        <v>330721</v>
      </c>
      <c r="G177" s="49" t="s">
        <v>66</v>
      </c>
      <c r="H177" s="409">
        <v>140092</v>
      </c>
      <c r="I177" s="49" t="s">
        <v>322</v>
      </c>
      <c r="J177" s="68">
        <f>F177*H177/1000000</f>
        <v>46331.366331999998</v>
      </c>
      <c r="K177" s="68">
        <f>J177/J178*K178</f>
        <v>4688.4930230757882</v>
      </c>
      <c r="L177" s="413">
        <f>J177/J178*L178</f>
        <v>3.6331536153834797E-2</v>
      </c>
      <c r="M177" s="413">
        <f>J177/J178*M178</f>
        <v>7.749779727530319E-2</v>
      </c>
      <c r="N177" s="3"/>
      <c r="O177" s="3"/>
      <c r="P177" s="3"/>
      <c r="Q177" s="3"/>
      <c r="R177" s="3"/>
      <c r="S177" s="3"/>
      <c r="T177" s="3"/>
      <c r="U177" s="3"/>
      <c r="V177" s="3"/>
      <c r="W177" s="3"/>
      <c r="X177" s="3"/>
      <c r="Y177" s="3"/>
      <c r="Z177" s="3"/>
    </row>
    <row r="178" spans="1:26" ht="15.75" customHeight="1" x14ac:dyDescent="0.25">
      <c r="A178" s="3"/>
      <c r="B178" s="49"/>
      <c r="C178" s="49"/>
      <c r="D178" s="49"/>
      <c r="E178" s="49"/>
      <c r="F178" s="49"/>
      <c r="G178" s="49"/>
      <c r="H178" s="49"/>
      <c r="I178" s="49"/>
      <c r="J178" s="68">
        <f>SUM(J176:J177)</f>
        <v>32582338.516331997</v>
      </c>
      <c r="K178" s="416">
        <v>3297163</v>
      </c>
      <c r="L178" s="443">
        <v>25.55</v>
      </c>
      <c r="M178" s="443">
        <v>54.5</v>
      </c>
      <c r="N178" s="3"/>
      <c r="O178" s="3"/>
      <c r="P178" s="3"/>
      <c r="Q178" s="3"/>
      <c r="R178" s="3"/>
      <c r="S178" s="3"/>
      <c r="T178" s="3"/>
      <c r="U178" s="3"/>
      <c r="V178" s="3"/>
      <c r="W178" s="3"/>
      <c r="X178" s="3"/>
      <c r="Y178" s="3"/>
      <c r="Z178" s="3"/>
    </row>
    <row r="179" spans="1:26" ht="15.75" customHeight="1" x14ac:dyDescent="0.25">
      <c r="A179" s="3"/>
      <c r="B179" s="49"/>
      <c r="C179" s="49"/>
      <c r="D179" s="49"/>
      <c r="E179" s="49"/>
      <c r="F179" s="49"/>
      <c r="G179" s="49"/>
      <c r="H179" s="49"/>
      <c r="I179" s="49"/>
      <c r="J179" s="49"/>
      <c r="K179" s="49"/>
      <c r="L179" s="49"/>
      <c r="M179" s="49"/>
      <c r="N179" s="3"/>
      <c r="O179" s="3"/>
      <c r="P179" s="3"/>
      <c r="Q179" s="3"/>
      <c r="R179" s="3"/>
      <c r="S179" s="3"/>
      <c r="T179" s="3"/>
      <c r="U179" s="3"/>
      <c r="V179" s="3"/>
      <c r="W179" s="3"/>
      <c r="X179" s="3"/>
      <c r="Y179" s="3"/>
      <c r="Z179" s="3"/>
    </row>
    <row r="180" spans="1:26" ht="15.75" customHeight="1" x14ac:dyDescent="0.25">
      <c r="A180" s="3"/>
      <c r="B180" s="49"/>
      <c r="C180" s="49" t="s">
        <v>360</v>
      </c>
      <c r="D180" s="49" t="s">
        <v>361</v>
      </c>
      <c r="E180" s="49" t="s">
        <v>299</v>
      </c>
      <c r="F180" s="409">
        <v>469111</v>
      </c>
      <c r="G180" s="49" t="s">
        <v>66</v>
      </c>
      <c r="H180" s="409">
        <v>140162</v>
      </c>
      <c r="I180" s="49" t="s">
        <v>322</v>
      </c>
      <c r="J180" s="68">
        <f t="shared" ref="J180:J187" si="55">F180*H180/1000000</f>
        <v>65751.535982000001</v>
      </c>
      <c r="K180" s="68">
        <v>5372</v>
      </c>
      <c r="L180" s="413">
        <v>1.2999999999999999E-2</v>
      </c>
      <c r="M180" s="49">
        <v>0.3</v>
      </c>
      <c r="N180" s="3"/>
      <c r="O180" s="3"/>
      <c r="P180" s="3"/>
      <c r="Q180" s="3"/>
      <c r="R180" s="3"/>
      <c r="S180" s="3"/>
      <c r="T180" s="3"/>
      <c r="U180" s="3"/>
      <c r="V180" s="3"/>
      <c r="W180" s="3"/>
      <c r="X180" s="3"/>
      <c r="Y180" s="3"/>
      <c r="Z180" s="3"/>
    </row>
    <row r="181" spans="1:26" ht="15.75" customHeight="1" x14ac:dyDescent="0.25">
      <c r="A181" s="3"/>
      <c r="B181" s="49"/>
      <c r="C181" s="49" t="s">
        <v>363</v>
      </c>
      <c r="D181" s="49" t="s">
        <v>364</v>
      </c>
      <c r="E181" s="49" t="s">
        <v>299</v>
      </c>
      <c r="F181" s="409">
        <v>6581</v>
      </c>
      <c r="G181" s="49" t="s">
        <v>66</v>
      </c>
      <c r="H181" s="409">
        <v>140162</v>
      </c>
      <c r="I181" s="49" t="s">
        <v>322</v>
      </c>
      <c r="J181" s="68">
        <f t="shared" si="55"/>
        <v>922.40612199999998</v>
      </c>
      <c r="K181" s="68">
        <v>75</v>
      </c>
      <c r="L181" s="413">
        <v>2.0000000000000001E-4</v>
      </c>
      <c r="M181" s="49">
        <v>4.0000000000000001E-3</v>
      </c>
      <c r="N181" s="3"/>
      <c r="O181" s="3"/>
      <c r="P181" s="3"/>
      <c r="Q181" s="3"/>
      <c r="R181" s="3"/>
      <c r="S181" s="3"/>
      <c r="T181" s="3"/>
      <c r="U181" s="3"/>
      <c r="V181" s="3"/>
      <c r="W181" s="3"/>
      <c r="X181" s="3"/>
      <c r="Y181" s="3"/>
      <c r="Z181" s="3"/>
    </row>
    <row r="182" spans="1:26" ht="15.75" customHeight="1" x14ac:dyDescent="0.25">
      <c r="A182" s="3"/>
      <c r="B182" s="49"/>
      <c r="C182" s="49" t="s">
        <v>365</v>
      </c>
      <c r="D182" s="49" t="s">
        <v>495</v>
      </c>
      <c r="E182" s="49" t="s">
        <v>299</v>
      </c>
      <c r="F182" s="409">
        <v>119770</v>
      </c>
      <c r="G182" s="49" t="s">
        <v>66</v>
      </c>
      <c r="H182" s="409">
        <v>140156</v>
      </c>
      <c r="I182" s="49" t="s">
        <v>322</v>
      </c>
      <c r="J182" s="68">
        <f t="shared" si="55"/>
        <v>16786.484120000001</v>
      </c>
      <c r="K182" s="68">
        <v>1371</v>
      </c>
      <c r="L182" s="413">
        <v>7.0000000000000007E-2</v>
      </c>
      <c r="M182" s="49">
        <v>7.0000000000000007E-2</v>
      </c>
      <c r="N182" s="3"/>
      <c r="O182" s="3"/>
      <c r="P182" s="3"/>
      <c r="Q182" s="3"/>
      <c r="R182" s="3"/>
      <c r="S182" s="3"/>
      <c r="T182" s="3"/>
      <c r="U182" s="3"/>
      <c r="V182" s="3"/>
      <c r="W182" s="3"/>
      <c r="X182" s="3"/>
      <c r="Y182" s="3"/>
      <c r="Z182" s="3"/>
    </row>
    <row r="183" spans="1:26" ht="15.75" customHeight="1" x14ac:dyDescent="0.25">
      <c r="A183" s="3"/>
      <c r="B183" s="49"/>
      <c r="C183" s="49" t="s">
        <v>370</v>
      </c>
      <c r="D183" s="49" t="s">
        <v>226</v>
      </c>
      <c r="E183" s="49" t="s">
        <v>299</v>
      </c>
      <c r="F183" s="409">
        <v>115848</v>
      </c>
      <c r="G183" s="49" t="s">
        <v>66</v>
      </c>
      <c r="H183" s="409">
        <v>140162</v>
      </c>
      <c r="I183" s="49" t="s">
        <v>322</v>
      </c>
      <c r="J183" s="68">
        <f t="shared" si="55"/>
        <v>16237.487375999999</v>
      </c>
      <c r="K183" s="68">
        <v>1327</v>
      </c>
      <c r="L183" s="413">
        <v>7.0000000000000007E-2</v>
      </c>
      <c r="M183" s="49">
        <v>7.0000000000000007E-2</v>
      </c>
      <c r="N183" s="3"/>
      <c r="O183" s="3"/>
      <c r="P183" s="3"/>
      <c r="Q183" s="3"/>
      <c r="R183" s="3"/>
      <c r="S183" s="3"/>
      <c r="T183" s="3"/>
      <c r="U183" s="3"/>
      <c r="V183" s="3"/>
      <c r="W183" s="3"/>
      <c r="X183" s="3"/>
      <c r="Y183" s="3"/>
      <c r="Z183" s="3"/>
    </row>
    <row r="184" spans="1:26" ht="15.75" customHeight="1" x14ac:dyDescent="0.25">
      <c r="A184" s="3"/>
      <c r="B184" s="49"/>
      <c r="C184" s="49" t="s">
        <v>371</v>
      </c>
      <c r="D184" s="49" t="s">
        <v>550</v>
      </c>
      <c r="E184" s="49" t="s">
        <v>299</v>
      </c>
      <c r="F184" s="409">
        <v>294735</v>
      </c>
      <c r="G184" s="49" t="s">
        <v>66</v>
      </c>
      <c r="H184" s="409">
        <v>140152</v>
      </c>
      <c r="I184" s="49" t="s">
        <v>322</v>
      </c>
      <c r="J184" s="68">
        <f t="shared" si="55"/>
        <v>41307.699719999997</v>
      </c>
      <c r="K184" s="68">
        <v>3750</v>
      </c>
      <c r="L184" s="413">
        <v>0.2</v>
      </c>
      <c r="M184" s="49">
        <v>0.2</v>
      </c>
      <c r="N184" s="3"/>
      <c r="O184" s="3"/>
      <c r="P184" s="3"/>
      <c r="Q184" s="3"/>
      <c r="R184" s="3"/>
      <c r="S184" s="3"/>
      <c r="T184" s="3"/>
      <c r="U184" s="3"/>
      <c r="V184" s="3"/>
      <c r="W184" s="3"/>
      <c r="X184" s="3"/>
      <c r="Y184" s="3"/>
      <c r="Z184" s="3"/>
    </row>
    <row r="185" spans="1:26" ht="15.75" customHeight="1" x14ac:dyDescent="0.25">
      <c r="A185" s="3"/>
      <c r="B185" s="49"/>
      <c r="C185" s="49" t="s">
        <v>374</v>
      </c>
      <c r="D185" s="49" t="s">
        <v>551</v>
      </c>
      <c r="E185" s="49" t="s">
        <v>299</v>
      </c>
      <c r="F185" s="409">
        <v>391937</v>
      </c>
      <c r="G185" s="49" t="s">
        <v>66</v>
      </c>
      <c r="H185" s="409">
        <v>140164</v>
      </c>
      <c r="I185" s="49" t="s">
        <v>322</v>
      </c>
      <c r="J185" s="68">
        <f t="shared" si="55"/>
        <v>54935.457668000003</v>
      </c>
      <c r="K185" s="68">
        <v>4565</v>
      </c>
      <c r="L185" s="413">
        <v>0.2</v>
      </c>
      <c r="M185" s="49">
        <v>0.2</v>
      </c>
      <c r="N185" s="3"/>
      <c r="O185" s="3"/>
      <c r="P185" s="3"/>
      <c r="Q185" s="3"/>
      <c r="R185" s="3"/>
      <c r="S185" s="3"/>
      <c r="T185" s="3"/>
      <c r="U185" s="3"/>
      <c r="V185" s="3"/>
      <c r="W185" s="3"/>
      <c r="X185" s="3"/>
      <c r="Y185" s="3"/>
      <c r="Z185" s="3"/>
    </row>
    <row r="186" spans="1:26" ht="15.75" customHeight="1" x14ac:dyDescent="0.25">
      <c r="A186" s="3"/>
      <c r="B186" s="49"/>
      <c r="C186" s="49" t="s">
        <v>379</v>
      </c>
      <c r="D186" s="49" t="s">
        <v>552</v>
      </c>
      <c r="E186" s="49" t="s">
        <v>299</v>
      </c>
      <c r="F186" s="409">
        <v>259626</v>
      </c>
      <c r="G186" s="49" t="s">
        <v>66</v>
      </c>
      <c r="H186" s="409">
        <v>140154</v>
      </c>
      <c r="I186" s="49" t="s">
        <v>322</v>
      </c>
      <c r="J186" s="68">
        <f t="shared" si="55"/>
        <v>36387.622404000002</v>
      </c>
      <c r="K186" s="68">
        <v>2926</v>
      </c>
      <c r="L186" s="413">
        <v>0.2</v>
      </c>
      <c r="M186" s="49">
        <v>0.1</v>
      </c>
      <c r="N186" s="3"/>
      <c r="O186" s="3"/>
      <c r="P186" s="3"/>
      <c r="Q186" s="3"/>
      <c r="R186" s="3"/>
      <c r="S186" s="3"/>
      <c r="T186" s="3"/>
      <c r="U186" s="3"/>
      <c r="V186" s="3"/>
      <c r="W186" s="3"/>
      <c r="X186" s="3"/>
      <c r="Y186" s="3"/>
      <c r="Z186" s="3"/>
    </row>
    <row r="187" spans="1:26" ht="15.75" customHeight="1" x14ac:dyDescent="0.25">
      <c r="A187" s="3"/>
      <c r="B187" s="49"/>
      <c r="C187" s="49" t="s">
        <v>382</v>
      </c>
      <c r="D187" s="49" t="s">
        <v>553</v>
      </c>
      <c r="E187" s="49" t="s">
        <v>299</v>
      </c>
      <c r="F187" s="409">
        <v>286912</v>
      </c>
      <c r="G187" s="49" t="s">
        <v>66</v>
      </c>
      <c r="H187" s="409">
        <v>140145</v>
      </c>
      <c r="I187" s="49" t="s">
        <v>322</v>
      </c>
      <c r="J187" s="68">
        <f t="shared" si="55"/>
        <v>40209.28224</v>
      </c>
      <c r="K187" s="68">
        <v>3170</v>
      </c>
      <c r="L187" s="413">
        <v>0.2</v>
      </c>
      <c r="M187" s="49">
        <v>0.2</v>
      </c>
      <c r="N187" s="3"/>
      <c r="O187" s="3"/>
      <c r="P187" s="3"/>
      <c r="Q187" s="3"/>
      <c r="R187" s="3"/>
      <c r="S187" s="3"/>
      <c r="T187" s="3"/>
      <c r="U187" s="3"/>
      <c r="V187" s="3"/>
      <c r="W187" s="3"/>
      <c r="X187" s="3"/>
      <c r="Y187" s="3"/>
      <c r="Z187" s="3"/>
    </row>
    <row r="188" spans="1:26" ht="15.75" customHeight="1" x14ac:dyDescent="0.25">
      <c r="A188" s="3"/>
      <c r="B188" s="420"/>
      <c r="C188" s="420"/>
      <c r="D188" s="420"/>
      <c r="E188" s="420"/>
      <c r="F188" s="420"/>
      <c r="G188" s="420"/>
      <c r="H188" s="420"/>
      <c r="I188" s="420"/>
      <c r="J188" s="420"/>
      <c r="K188" s="420"/>
      <c r="L188" s="420"/>
      <c r="M188" s="420"/>
      <c r="N188" s="3"/>
      <c r="O188" s="3"/>
      <c r="P188" s="3"/>
      <c r="Q188" s="3"/>
      <c r="R188" s="3"/>
      <c r="S188" s="3"/>
      <c r="T188" s="3"/>
      <c r="U188" s="3"/>
      <c r="V188" s="3"/>
      <c r="W188" s="3"/>
      <c r="X188" s="3"/>
      <c r="Y188" s="3"/>
      <c r="Z188" s="3"/>
    </row>
    <row r="189" spans="1:26" ht="15.75" customHeight="1" x14ac:dyDescent="0.25">
      <c r="A189" s="3"/>
      <c r="B189" s="49"/>
      <c r="C189" s="49"/>
      <c r="D189" s="49"/>
      <c r="E189" s="49"/>
      <c r="F189" s="49"/>
      <c r="G189" s="49"/>
      <c r="H189" s="49"/>
      <c r="I189" s="49"/>
      <c r="J189" s="49"/>
      <c r="K189" s="49"/>
      <c r="L189" s="49"/>
      <c r="M189" s="49"/>
      <c r="N189" s="3"/>
      <c r="O189" s="3"/>
      <c r="P189" s="3"/>
      <c r="Q189" s="3"/>
      <c r="R189" s="3"/>
      <c r="S189" s="3"/>
      <c r="T189" s="3"/>
      <c r="U189" s="3"/>
      <c r="V189" s="3"/>
      <c r="W189" s="3"/>
      <c r="X189" s="3"/>
      <c r="Y189" s="3"/>
      <c r="Z189" s="3"/>
    </row>
    <row r="190" spans="1:26" ht="15.75" customHeight="1" x14ac:dyDescent="0.25">
      <c r="A190" s="3"/>
      <c r="B190" s="49" t="s">
        <v>387</v>
      </c>
      <c r="C190" s="61" t="s">
        <v>388</v>
      </c>
      <c r="D190" s="49"/>
      <c r="E190" s="49"/>
      <c r="F190" s="49"/>
      <c r="G190" s="49"/>
      <c r="H190" s="49"/>
      <c r="I190" s="49"/>
      <c r="J190" s="49"/>
      <c r="K190" s="49"/>
      <c r="L190" s="49"/>
      <c r="M190" s="49"/>
      <c r="N190" s="3"/>
      <c r="O190" s="3"/>
      <c r="P190" s="3"/>
      <c r="Q190" s="3"/>
      <c r="R190" s="3"/>
      <c r="S190" s="3"/>
      <c r="T190" s="3"/>
      <c r="U190" s="3"/>
      <c r="V190" s="3"/>
      <c r="W190" s="3"/>
      <c r="X190" s="3"/>
      <c r="Y190" s="3"/>
      <c r="Z190" s="3"/>
    </row>
    <row r="191" spans="1:26" ht="15.75" customHeight="1" x14ac:dyDescent="0.25">
      <c r="A191" s="3"/>
      <c r="B191" s="49"/>
      <c r="C191" s="49" t="s">
        <v>390</v>
      </c>
      <c r="D191" s="49" t="s">
        <v>89</v>
      </c>
      <c r="E191" s="49" t="s">
        <v>77</v>
      </c>
      <c r="F191" s="409">
        <v>2250113</v>
      </c>
      <c r="G191" s="49" t="s">
        <v>79</v>
      </c>
      <c r="H191" s="49">
        <v>1.044</v>
      </c>
      <c r="I191" s="49" t="s">
        <v>556</v>
      </c>
      <c r="J191" s="68">
        <f>F191*H191</f>
        <v>2349117.9720000001</v>
      </c>
      <c r="K191" s="68">
        <f>J191/J193*K193</f>
        <v>139938.30381344471</v>
      </c>
      <c r="L191" s="413">
        <f>J191/J193*L193</f>
        <v>10.034125876000424</v>
      </c>
      <c r="M191" s="413">
        <f>J191/J193*M193</f>
        <v>3.4771723332674735</v>
      </c>
      <c r="N191" s="3"/>
      <c r="O191" s="3"/>
      <c r="P191" s="3"/>
      <c r="Q191" s="3"/>
      <c r="R191" s="3"/>
      <c r="S191" s="3"/>
      <c r="T191" s="3"/>
      <c r="U191" s="3"/>
      <c r="V191" s="3"/>
      <c r="W191" s="3"/>
      <c r="X191" s="3"/>
      <c r="Y191" s="3"/>
      <c r="Z191" s="3"/>
    </row>
    <row r="192" spans="1:26" ht="15.75" customHeight="1" x14ac:dyDescent="0.25">
      <c r="A192" s="3"/>
      <c r="B192" s="49"/>
      <c r="C192" s="49"/>
      <c r="D192" s="49"/>
      <c r="E192" s="49" t="s">
        <v>391</v>
      </c>
      <c r="F192" s="409">
        <v>110157</v>
      </c>
      <c r="G192" s="49" t="s">
        <v>66</v>
      </c>
      <c r="H192" s="409">
        <v>140000</v>
      </c>
      <c r="I192" s="49" t="s">
        <v>455</v>
      </c>
      <c r="J192" s="68">
        <f>F192*H192/1000000</f>
        <v>15421.98</v>
      </c>
      <c r="K192" s="68">
        <f>J192/J193*K193</f>
        <v>918.6961865552779</v>
      </c>
      <c r="L192" s="413">
        <f>J192/J193*L193</f>
        <v>6.5874123999576206E-2</v>
      </c>
      <c r="M192" s="413">
        <f>J192/J193*M193</f>
        <v>2.2827666732526411E-2</v>
      </c>
      <c r="N192" s="3"/>
      <c r="O192" s="3"/>
      <c r="P192" s="3"/>
      <c r="Q192" s="3"/>
      <c r="R192" s="3"/>
      <c r="S192" s="3"/>
      <c r="T192" s="3"/>
      <c r="U192" s="3"/>
      <c r="V192" s="3"/>
      <c r="W192" s="3"/>
      <c r="X192" s="3"/>
      <c r="Y192" s="3"/>
      <c r="Z192" s="3"/>
    </row>
    <row r="193" spans="1:26" ht="15.75" customHeight="1" x14ac:dyDescent="0.25">
      <c r="A193" s="3"/>
      <c r="B193" s="49"/>
      <c r="C193" s="49"/>
      <c r="D193" s="49"/>
      <c r="E193" s="49"/>
      <c r="F193" s="49"/>
      <c r="G193" s="49"/>
      <c r="H193" s="49"/>
      <c r="I193" s="49"/>
      <c r="J193" s="68">
        <f>SUM(J191:J192)</f>
        <v>2364539.952</v>
      </c>
      <c r="K193" s="416">
        <v>140857</v>
      </c>
      <c r="L193" s="443">
        <v>10.1</v>
      </c>
      <c r="M193" s="443">
        <v>3.5</v>
      </c>
      <c r="N193" s="3"/>
      <c r="O193" s="3"/>
      <c r="P193" s="3"/>
      <c r="Q193" s="3"/>
      <c r="R193" s="3"/>
      <c r="S193" s="3"/>
      <c r="T193" s="3"/>
      <c r="U193" s="3"/>
      <c r="V193" s="3"/>
      <c r="W193" s="3"/>
      <c r="X193" s="3"/>
      <c r="Y193" s="3"/>
      <c r="Z193" s="3"/>
    </row>
    <row r="194" spans="1:26" ht="15.75" customHeight="1" x14ac:dyDescent="0.25">
      <c r="A194" s="3"/>
      <c r="B194" s="49"/>
      <c r="C194" s="49"/>
      <c r="D194" s="49"/>
      <c r="E194" s="49"/>
      <c r="F194" s="49"/>
      <c r="G194" s="49"/>
      <c r="H194" s="49"/>
      <c r="I194" s="49"/>
      <c r="J194" s="68"/>
      <c r="K194" s="49"/>
      <c r="L194" s="49"/>
      <c r="M194" s="49"/>
      <c r="N194" s="3"/>
      <c r="O194" s="3"/>
      <c r="P194" s="3"/>
      <c r="Q194" s="3"/>
      <c r="R194" s="3"/>
      <c r="S194" s="3"/>
      <c r="T194" s="3"/>
      <c r="U194" s="3"/>
      <c r="V194" s="3"/>
      <c r="W194" s="3"/>
      <c r="X194" s="3"/>
      <c r="Y194" s="3"/>
      <c r="Z194" s="3"/>
    </row>
    <row r="195" spans="1:26" ht="15.75" customHeight="1" x14ac:dyDescent="0.25">
      <c r="A195" s="3"/>
      <c r="B195" s="49"/>
      <c r="C195" s="49" t="s">
        <v>396</v>
      </c>
      <c r="D195" s="49" t="s">
        <v>98</v>
      </c>
      <c r="E195" s="49" t="s">
        <v>77</v>
      </c>
      <c r="F195" s="409">
        <v>2074000</v>
      </c>
      <c r="G195" s="49" t="s">
        <v>79</v>
      </c>
      <c r="H195" s="49">
        <v>1.044</v>
      </c>
      <c r="I195" s="49" t="s">
        <v>556</v>
      </c>
      <c r="J195" s="68">
        <f>F195*H195</f>
        <v>2165256</v>
      </c>
      <c r="K195" s="68">
        <f>J195/J197*K197</f>
        <v>129014.23319592261</v>
      </c>
      <c r="L195" s="413">
        <f>J195/J197*L197</f>
        <v>9.2336704252089827</v>
      </c>
      <c r="M195" s="413">
        <f>J195/J197*M197</f>
        <v>3.1771769205020153</v>
      </c>
      <c r="N195" s="3"/>
      <c r="O195" s="3"/>
      <c r="P195" s="3"/>
      <c r="Q195" s="3"/>
      <c r="R195" s="3"/>
      <c r="S195" s="3"/>
      <c r="T195" s="3"/>
      <c r="U195" s="3"/>
      <c r="V195" s="3"/>
      <c r="W195" s="3"/>
      <c r="X195" s="3"/>
      <c r="Y195" s="3"/>
      <c r="Z195" s="3"/>
    </row>
    <row r="196" spans="1:26" ht="15.75" customHeight="1" x14ac:dyDescent="0.25">
      <c r="A196" s="3"/>
      <c r="B196" s="49"/>
      <c r="C196" s="49"/>
      <c r="D196" s="49"/>
      <c r="E196" s="49" t="s">
        <v>391</v>
      </c>
      <c r="F196" s="409">
        <v>111100</v>
      </c>
      <c r="G196" s="49" t="s">
        <v>66</v>
      </c>
      <c r="H196" s="409">
        <v>140000</v>
      </c>
      <c r="I196" s="49" t="s">
        <v>455</v>
      </c>
      <c r="J196" s="68">
        <f>F196*H196/1000000</f>
        <v>15554</v>
      </c>
      <c r="K196" s="68">
        <f>J196/J197*K197</f>
        <v>926.76680407738411</v>
      </c>
      <c r="L196" s="413">
        <f>J196/J197*L197</f>
        <v>6.6329574791018017E-2</v>
      </c>
      <c r="M196" s="413">
        <f>J196/J197*M197</f>
        <v>2.2823079497984695E-2</v>
      </c>
      <c r="N196" s="3"/>
      <c r="O196" s="3"/>
      <c r="P196" s="3"/>
      <c r="Q196" s="3"/>
      <c r="R196" s="3"/>
      <c r="S196" s="3"/>
      <c r="T196" s="3"/>
      <c r="U196" s="3"/>
      <c r="V196" s="3"/>
      <c r="W196" s="3"/>
      <c r="X196" s="3"/>
      <c r="Y196" s="3"/>
      <c r="Z196" s="3"/>
    </row>
    <row r="197" spans="1:26" ht="15.75" customHeight="1" x14ac:dyDescent="0.25">
      <c r="A197" s="3"/>
      <c r="B197" s="49"/>
      <c r="C197" s="49"/>
      <c r="D197" s="49"/>
      <c r="E197" s="49"/>
      <c r="F197" s="49"/>
      <c r="G197" s="49"/>
      <c r="H197" s="49"/>
      <c r="I197" s="49"/>
      <c r="J197" s="68">
        <f>SUM(J195:J196)</f>
        <v>2180810</v>
      </c>
      <c r="K197" s="416">
        <v>129941</v>
      </c>
      <c r="L197" s="443">
        <v>9.3000000000000007</v>
      </c>
      <c r="M197" s="443">
        <v>3.2</v>
      </c>
      <c r="N197" s="3"/>
      <c r="O197" s="3"/>
      <c r="P197" s="3"/>
      <c r="Q197" s="3"/>
      <c r="R197" s="3"/>
      <c r="S197" s="3"/>
      <c r="T197" s="3"/>
      <c r="U197" s="3"/>
      <c r="V197" s="3"/>
      <c r="W197" s="3"/>
      <c r="X197" s="3"/>
      <c r="Y197" s="3"/>
      <c r="Z197" s="3"/>
    </row>
    <row r="198" spans="1:26" ht="15.75" customHeight="1" x14ac:dyDescent="0.25">
      <c r="A198" s="3"/>
      <c r="B198" s="420"/>
      <c r="C198" s="420"/>
      <c r="D198" s="420"/>
      <c r="E198" s="420"/>
      <c r="F198" s="420"/>
      <c r="G198" s="420"/>
      <c r="H198" s="420"/>
      <c r="I198" s="420"/>
      <c r="J198" s="420"/>
      <c r="K198" s="420"/>
      <c r="L198" s="420"/>
      <c r="M198" s="420"/>
      <c r="N198" s="3"/>
      <c r="O198" s="3"/>
      <c r="P198" s="3"/>
      <c r="Q198" s="3"/>
      <c r="R198" s="3"/>
      <c r="S198" s="3"/>
      <c r="T198" s="3"/>
      <c r="U198" s="3"/>
      <c r="V198" s="3"/>
      <c r="W198" s="3"/>
      <c r="X198" s="3"/>
      <c r="Y198" s="3"/>
      <c r="Z198" s="3"/>
    </row>
    <row r="199" spans="1:26" ht="15.75" customHeight="1" x14ac:dyDescent="0.25">
      <c r="A199" s="3"/>
      <c r="B199" s="49"/>
      <c r="C199" s="49"/>
      <c r="D199" s="49"/>
      <c r="E199" s="49"/>
      <c r="F199" s="49"/>
      <c r="G199" s="49"/>
      <c r="H199" s="49"/>
      <c r="I199" s="49"/>
      <c r="J199" s="49"/>
      <c r="K199" s="49"/>
      <c r="L199" s="49"/>
      <c r="M199" s="49"/>
      <c r="N199" s="3"/>
      <c r="O199" s="3"/>
      <c r="P199" s="3"/>
      <c r="Q199" s="3"/>
      <c r="R199" s="3"/>
      <c r="S199" s="3"/>
      <c r="T199" s="3"/>
      <c r="U199" s="3"/>
      <c r="V199" s="3"/>
      <c r="W199" s="3"/>
      <c r="X199" s="3"/>
      <c r="Y199" s="3"/>
      <c r="Z199" s="3"/>
    </row>
    <row r="200" spans="1:26" ht="15.75" customHeight="1" x14ac:dyDescent="0.25">
      <c r="A200" s="3"/>
      <c r="B200" s="49" t="s">
        <v>575</v>
      </c>
      <c r="C200" s="61" t="s">
        <v>576</v>
      </c>
      <c r="D200" s="49"/>
      <c r="E200" s="49"/>
      <c r="F200" s="49"/>
      <c r="G200" s="49"/>
      <c r="H200" s="49"/>
      <c r="I200" s="49"/>
      <c r="J200" s="49"/>
      <c r="K200" s="49"/>
      <c r="L200" s="49"/>
      <c r="M200" s="49"/>
      <c r="N200" s="3"/>
      <c r="O200" s="3"/>
      <c r="P200" s="3"/>
      <c r="Q200" s="3"/>
      <c r="R200" s="3"/>
      <c r="S200" s="3"/>
      <c r="T200" s="3"/>
      <c r="U200" s="3"/>
      <c r="V200" s="3"/>
      <c r="W200" s="3"/>
      <c r="X200" s="3"/>
      <c r="Y200" s="3"/>
      <c r="Z200" s="3"/>
    </row>
    <row r="201" spans="1:26" ht="15.75" customHeight="1" x14ac:dyDescent="0.25">
      <c r="A201" s="3"/>
      <c r="B201" s="49"/>
      <c r="C201" s="49" t="s">
        <v>421</v>
      </c>
      <c r="D201" s="49" t="s">
        <v>288</v>
      </c>
      <c r="E201" s="49" t="s">
        <v>189</v>
      </c>
      <c r="F201" s="425">
        <v>36000000</v>
      </c>
      <c r="G201" s="49" t="s">
        <v>79</v>
      </c>
      <c r="H201" s="409">
        <v>1027</v>
      </c>
      <c r="I201" s="49" t="s">
        <v>498</v>
      </c>
      <c r="J201" s="409">
        <f t="shared" ref="J201:J208" si="56">F201*H201/1000000</f>
        <v>36972</v>
      </c>
      <c r="K201" s="68">
        <v>2018</v>
      </c>
      <c r="L201" s="49">
        <v>0.16</v>
      </c>
      <c r="M201" s="49">
        <v>0.06</v>
      </c>
      <c r="N201" s="3"/>
      <c r="O201" s="3"/>
      <c r="P201" s="3"/>
      <c r="Q201" s="3"/>
      <c r="R201" s="3"/>
      <c r="S201" s="3"/>
      <c r="T201" s="3"/>
      <c r="U201" s="3"/>
      <c r="V201" s="3"/>
      <c r="W201" s="3"/>
      <c r="X201" s="3"/>
      <c r="Y201" s="3"/>
      <c r="Z201" s="3"/>
    </row>
    <row r="202" spans="1:26" ht="15.75" customHeight="1" x14ac:dyDescent="0.25">
      <c r="A202" s="3"/>
      <c r="B202" s="49"/>
      <c r="C202" s="49" t="s">
        <v>580</v>
      </c>
      <c r="D202" s="49" t="s">
        <v>291</v>
      </c>
      <c r="E202" s="49" t="s">
        <v>189</v>
      </c>
      <c r="F202" s="425">
        <v>45000000</v>
      </c>
      <c r="G202" s="49" t="s">
        <v>79</v>
      </c>
      <c r="H202" s="409">
        <v>1027</v>
      </c>
      <c r="I202" s="49" t="s">
        <v>498</v>
      </c>
      <c r="J202" s="409">
        <f t="shared" si="56"/>
        <v>46215</v>
      </c>
      <c r="K202" s="68">
        <v>2565</v>
      </c>
      <c r="L202" s="49">
        <v>0.2</v>
      </c>
      <c r="M202" s="49">
        <v>7.0000000000000007E-2</v>
      </c>
      <c r="N202" s="3"/>
      <c r="O202" s="3"/>
      <c r="P202" s="3"/>
      <c r="Q202" s="3"/>
      <c r="R202" s="3"/>
      <c r="S202" s="3"/>
      <c r="T202" s="3"/>
      <c r="U202" s="3"/>
      <c r="V202" s="3"/>
      <c r="W202" s="3"/>
      <c r="X202" s="3"/>
      <c r="Y202" s="3"/>
      <c r="Z202" s="3"/>
    </row>
    <row r="203" spans="1:26" ht="15.75" customHeight="1" x14ac:dyDescent="0.25">
      <c r="A203" s="3"/>
      <c r="B203" s="49"/>
      <c r="C203" s="49" t="s">
        <v>583</v>
      </c>
      <c r="D203" s="49" t="s">
        <v>294</v>
      </c>
      <c r="E203" s="49" t="s">
        <v>189</v>
      </c>
      <c r="F203" s="425">
        <v>42000000</v>
      </c>
      <c r="G203" s="49" t="s">
        <v>79</v>
      </c>
      <c r="H203" s="409">
        <v>1027</v>
      </c>
      <c r="I203" s="49" t="s">
        <v>498</v>
      </c>
      <c r="J203" s="409">
        <f t="shared" si="56"/>
        <v>43134</v>
      </c>
      <c r="K203" s="68">
        <v>2382</v>
      </c>
      <c r="L203" s="49">
        <v>0.19</v>
      </c>
      <c r="M203" s="49">
        <v>0.06</v>
      </c>
      <c r="N203" s="3"/>
      <c r="O203" s="3"/>
      <c r="P203" s="3"/>
      <c r="Q203" s="3"/>
      <c r="R203" s="3"/>
      <c r="S203" s="3"/>
      <c r="T203" s="3"/>
      <c r="U203" s="3"/>
      <c r="V203" s="3"/>
      <c r="W203" s="3"/>
      <c r="X203" s="3"/>
      <c r="Y203" s="3"/>
      <c r="Z203" s="3"/>
    </row>
    <row r="204" spans="1:26" ht="15.75" customHeight="1" x14ac:dyDescent="0.25">
      <c r="A204" s="3"/>
      <c r="B204" s="49"/>
      <c r="C204" s="49" t="s">
        <v>585</v>
      </c>
      <c r="D204" s="49" t="s">
        <v>297</v>
      </c>
      <c r="E204" s="49" t="s">
        <v>189</v>
      </c>
      <c r="F204" s="425">
        <v>50000000</v>
      </c>
      <c r="G204" s="49" t="s">
        <v>79</v>
      </c>
      <c r="H204" s="409">
        <v>1027</v>
      </c>
      <c r="I204" s="49" t="s">
        <v>498</v>
      </c>
      <c r="J204" s="409">
        <f t="shared" si="56"/>
        <v>51350</v>
      </c>
      <c r="K204" s="68">
        <v>2811</v>
      </c>
      <c r="L204" s="49">
        <v>0.22</v>
      </c>
      <c r="M204" s="49">
        <v>0.08</v>
      </c>
      <c r="N204" s="3"/>
      <c r="O204" s="3"/>
      <c r="P204" s="3"/>
      <c r="Q204" s="3"/>
      <c r="R204" s="3"/>
      <c r="S204" s="3"/>
      <c r="T204" s="3"/>
      <c r="U204" s="3"/>
      <c r="V204" s="3"/>
      <c r="W204" s="3"/>
      <c r="X204" s="3"/>
      <c r="Y204" s="3"/>
      <c r="Z204" s="3"/>
    </row>
    <row r="205" spans="1:26" ht="15.75" customHeight="1" x14ac:dyDescent="0.25">
      <c r="A205" s="3"/>
      <c r="B205" s="49"/>
      <c r="C205" s="49" t="s">
        <v>587</v>
      </c>
      <c r="D205" s="49" t="s">
        <v>588</v>
      </c>
      <c r="E205" s="49" t="s">
        <v>189</v>
      </c>
      <c r="F205" s="425">
        <v>41000000</v>
      </c>
      <c r="G205" s="49" t="s">
        <v>79</v>
      </c>
      <c r="H205" s="409">
        <v>1027</v>
      </c>
      <c r="I205" s="49" t="s">
        <v>498</v>
      </c>
      <c r="J205" s="409">
        <f t="shared" si="56"/>
        <v>42107</v>
      </c>
      <c r="K205" s="68">
        <v>2300</v>
      </c>
      <c r="L205" s="49">
        <v>0.18</v>
      </c>
      <c r="M205" s="49">
        <v>0.06</v>
      </c>
      <c r="N205" s="3"/>
      <c r="O205" s="3"/>
      <c r="P205" s="3"/>
      <c r="Q205" s="3"/>
      <c r="R205" s="3"/>
      <c r="S205" s="3"/>
      <c r="T205" s="3"/>
      <c r="U205" s="3"/>
      <c r="V205" s="3"/>
      <c r="W205" s="3"/>
      <c r="X205" s="3"/>
      <c r="Y205" s="3"/>
      <c r="Z205" s="3"/>
    </row>
    <row r="206" spans="1:26" ht="15.75" customHeight="1" x14ac:dyDescent="0.25">
      <c r="A206" s="3"/>
      <c r="B206" s="49"/>
      <c r="C206" s="49" t="s">
        <v>590</v>
      </c>
      <c r="D206" s="49" t="s">
        <v>591</v>
      </c>
      <c r="E206" s="49" t="s">
        <v>189</v>
      </c>
      <c r="F206" s="425">
        <v>55000000</v>
      </c>
      <c r="G206" s="49" t="s">
        <v>79</v>
      </c>
      <c r="H206" s="409">
        <v>1027</v>
      </c>
      <c r="I206" s="49" t="s">
        <v>498</v>
      </c>
      <c r="J206" s="409">
        <f t="shared" si="56"/>
        <v>56485</v>
      </c>
      <c r="K206" s="68">
        <v>3087</v>
      </c>
      <c r="L206" s="49">
        <v>0.24</v>
      </c>
      <c r="M206" s="49">
        <v>0.08</v>
      </c>
      <c r="N206" s="3"/>
      <c r="O206" s="3"/>
      <c r="P206" s="3"/>
      <c r="Q206" s="3"/>
      <c r="R206" s="3"/>
      <c r="S206" s="3"/>
      <c r="T206" s="3"/>
      <c r="U206" s="3"/>
      <c r="V206" s="3"/>
      <c r="W206" s="3"/>
      <c r="X206" s="3"/>
      <c r="Y206" s="3"/>
      <c r="Z206" s="3"/>
    </row>
    <row r="207" spans="1:26" ht="15.75" customHeight="1" x14ac:dyDescent="0.25">
      <c r="A207" s="3"/>
      <c r="B207" s="49"/>
      <c r="C207" s="49" t="s">
        <v>592</v>
      </c>
      <c r="D207" s="49" t="s">
        <v>593</v>
      </c>
      <c r="E207" s="49" t="s">
        <v>189</v>
      </c>
      <c r="F207" s="425">
        <v>46000000</v>
      </c>
      <c r="G207" s="49" t="s">
        <v>79</v>
      </c>
      <c r="H207" s="409">
        <v>1027</v>
      </c>
      <c r="I207" s="49" t="s">
        <v>498</v>
      </c>
      <c r="J207" s="409">
        <f t="shared" si="56"/>
        <v>47242</v>
      </c>
      <c r="K207" s="68">
        <v>2584</v>
      </c>
      <c r="L207" s="49">
        <v>0.2</v>
      </c>
      <c r="M207" s="49">
        <v>7.0000000000000007E-2</v>
      </c>
      <c r="N207" s="3"/>
      <c r="O207" s="3"/>
      <c r="P207" s="3"/>
      <c r="Q207" s="3"/>
      <c r="R207" s="3"/>
      <c r="S207" s="3"/>
      <c r="T207" s="3"/>
      <c r="U207" s="3"/>
      <c r="V207" s="3"/>
      <c r="W207" s="3"/>
      <c r="X207" s="3"/>
      <c r="Y207" s="3"/>
      <c r="Z207" s="3"/>
    </row>
    <row r="208" spans="1:26" ht="15.75" customHeight="1" x14ac:dyDescent="0.25">
      <c r="A208" s="3"/>
      <c r="B208" s="49"/>
      <c r="C208" s="49" t="s">
        <v>594</v>
      </c>
      <c r="D208" s="49" t="s">
        <v>595</v>
      </c>
      <c r="E208" s="49" t="s">
        <v>189</v>
      </c>
      <c r="F208" s="425">
        <v>29349561.829999998</v>
      </c>
      <c r="G208" s="49" t="s">
        <v>79</v>
      </c>
      <c r="H208" s="409">
        <v>1027</v>
      </c>
      <c r="I208" s="49" t="s">
        <v>498</v>
      </c>
      <c r="J208" s="409">
        <f t="shared" si="56"/>
        <v>30141.99999941</v>
      </c>
      <c r="K208" s="68">
        <v>2229</v>
      </c>
      <c r="L208" s="49">
        <v>0.17</v>
      </c>
      <c r="M208" s="49">
        <v>0.06</v>
      </c>
      <c r="N208" s="3"/>
      <c r="O208" s="3"/>
      <c r="P208" s="3"/>
      <c r="Q208" s="3"/>
      <c r="R208" s="3"/>
      <c r="S208" s="3"/>
      <c r="T208" s="3"/>
      <c r="U208" s="3"/>
      <c r="V208" s="3"/>
      <c r="W208" s="3"/>
      <c r="X208" s="3"/>
      <c r="Y208" s="3"/>
      <c r="Z208" s="3"/>
    </row>
    <row r="209" spans="1:26" ht="15.75" customHeight="1" x14ac:dyDescent="0.25">
      <c r="A209" s="3"/>
      <c r="B209" s="420"/>
      <c r="C209" s="420"/>
      <c r="D209" s="420"/>
      <c r="E209" s="420"/>
      <c r="F209" s="420"/>
      <c r="G209" s="420"/>
      <c r="H209" s="420"/>
      <c r="I209" s="420"/>
      <c r="J209" s="420"/>
      <c r="K209" s="420"/>
      <c r="L209" s="420"/>
      <c r="M209" s="420"/>
      <c r="N209" s="3"/>
      <c r="O209" s="3"/>
      <c r="P209" s="3"/>
      <c r="Q209" s="3"/>
      <c r="R209" s="3"/>
      <c r="S209" s="3"/>
      <c r="T209" s="3"/>
      <c r="U209" s="3"/>
      <c r="V209" s="3"/>
      <c r="W209" s="3"/>
      <c r="X209" s="3"/>
      <c r="Y209" s="3"/>
      <c r="Z209" s="3"/>
    </row>
    <row r="210" spans="1:26" ht="15.75" customHeight="1" x14ac:dyDescent="0.25">
      <c r="A210" s="3"/>
      <c r="B210" s="49"/>
      <c r="C210" s="49"/>
      <c r="D210" s="49"/>
      <c r="E210" s="49"/>
      <c r="F210" s="49"/>
      <c r="G210" s="49"/>
      <c r="H210" s="49"/>
      <c r="I210" s="49"/>
      <c r="J210" s="49"/>
      <c r="K210" s="49"/>
      <c r="L210" s="49"/>
      <c r="M210" s="49"/>
      <c r="N210" s="3"/>
      <c r="O210" s="3"/>
      <c r="P210" s="3"/>
      <c r="Q210" s="3"/>
      <c r="R210" s="3"/>
      <c r="S210" s="3"/>
      <c r="T210" s="3"/>
      <c r="U210" s="3"/>
      <c r="V210" s="3"/>
      <c r="W210" s="3"/>
      <c r="X210" s="3"/>
      <c r="Y210" s="3"/>
      <c r="Z210" s="3"/>
    </row>
    <row r="211" spans="1:26" ht="15.75" customHeight="1" x14ac:dyDescent="0.25">
      <c r="A211" s="3"/>
      <c r="B211" s="49" t="s">
        <v>398</v>
      </c>
      <c r="C211" s="61" t="s">
        <v>399</v>
      </c>
      <c r="D211" s="49"/>
      <c r="E211" s="49"/>
      <c r="F211" s="49"/>
      <c r="G211" s="49"/>
      <c r="H211" s="49"/>
      <c r="I211" s="49"/>
      <c r="J211" s="49"/>
      <c r="K211" s="49"/>
      <c r="L211" s="49"/>
      <c r="M211" s="49"/>
      <c r="N211" s="3"/>
      <c r="O211" s="3"/>
      <c r="P211" s="3"/>
      <c r="Q211" s="3"/>
      <c r="R211" s="3"/>
      <c r="S211" s="3"/>
      <c r="T211" s="3"/>
      <c r="U211" s="3"/>
      <c r="V211" s="3"/>
      <c r="W211" s="3"/>
      <c r="X211" s="3"/>
      <c r="Y211" s="3"/>
      <c r="Z211" s="3"/>
    </row>
    <row r="212" spans="1:26" ht="15.75" customHeight="1" x14ac:dyDescent="0.25">
      <c r="A212" s="3"/>
      <c r="B212" s="49"/>
      <c r="C212" s="49" t="s">
        <v>401</v>
      </c>
      <c r="D212" s="49" t="s">
        <v>288</v>
      </c>
      <c r="E212" s="49" t="s">
        <v>299</v>
      </c>
      <c r="F212" s="68">
        <v>132000</v>
      </c>
      <c r="G212" s="49" t="s">
        <v>66</v>
      </c>
      <c r="H212" s="49">
        <v>139</v>
      </c>
      <c r="I212" s="49" t="s">
        <v>598</v>
      </c>
      <c r="J212" s="409">
        <f t="shared" ref="J212:J215" si="57">F212*H212/1000</f>
        <v>18348</v>
      </c>
      <c r="K212" s="68">
        <v>1441</v>
      </c>
      <c r="L212" s="49">
        <v>0.01</v>
      </c>
      <c r="M212" s="49">
        <v>0.02</v>
      </c>
      <c r="N212" s="3"/>
      <c r="O212" s="3"/>
      <c r="P212" s="3"/>
      <c r="Q212" s="3"/>
      <c r="R212" s="3"/>
      <c r="S212" s="3"/>
      <c r="T212" s="3"/>
      <c r="U212" s="3"/>
      <c r="V212" s="3"/>
      <c r="W212" s="3"/>
      <c r="X212" s="3"/>
      <c r="Y212" s="3"/>
      <c r="Z212" s="3"/>
    </row>
    <row r="213" spans="1:26" ht="15.75" customHeight="1" x14ac:dyDescent="0.25">
      <c r="A213" s="3"/>
      <c r="B213" s="49"/>
      <c r="C213" s="49" t="s">
        <v>405</v>
      </c>
      <c r="D213" s="49" t="s">
        <v>291</v>
      </c>
      <c r="E213" s="49" t="s">
        <v>299</v>
      </c>
      <c r="F213" s="68">
        <v>167000</v>
      </c>
      <c r="G213" s="49" t="s">
        <v>66</v>
      </c>
      <c r="H213" s="49">
        <v>139</v>
      </c>
      <c r="I213" s="49" t="s">
        <v>598</v>
      </c>
      <c r="J213" s="409">
        <f t="shared" si="57"/>
        <v>23213</v>
      </c>
      <c r="K213" s="68">
        <v>1827</v>
      </c>
      <c r="L213" s="49">
        <v>0.02</v>
      </c>
      <c r="M213" s="49">
        <v>0.02</v>
      </c>
      <c r="N213" s="3"/>
      <c r="O213" s="3"/>
      <c r="P213" s="3"/>
      <c r="Q213" s="3"/>
      <c r="R213" s="3"/>
      <c r="S213" s="3"/>
      <c r="T213" s="3"/>
      <c r="U213" s="3"/>
      <c r="V213" s="3"/>
      <c r="W213" s="3"/>
      <c r="X213" s="3"/>
      <c r="Y213" s="3"/>
      <c r="Z213" s="3"/>
    </row>
    <row r="214" spans="1:26" ht="15.75" customHeight="1" x14ac:dyDescent="0.25">
      <c r="A214" s="3"/>
      <c r="B214" s="49"/>
      <c r="C214" s="49" t="s">
        <v>407</v>
      </c>
      <c r="D214" s="49" t="s">
        <v>294</v>
      </c>
      <c r="E214" s="49" t="s">
        <v>299</v>
      </c>
      <c r="F214" s="68">
        <v>161000</v>
      </c>
      <c r="G214" s="49" t="s">
        <v>66</v>
      </c>
      <c r="H214" s="49">
        <v>139</v>
      </c>
      <c r="I214" s="49" t="s">
        <v>598</v>
      </c>
      <c r="J214" s="409">
        <f t="shared" si="57"/>
        <v>22379</v>
      </c>
      <c r="K214" s="68">
        <v>1757</v>
      </c>
      <c r="L214" s="49">
        <v>0.02</v>
      </c>
      <c r="M214" s="49">
        <v>0.02</v>
      </c>
      <c r="N214" s="3"/>
      <c r="O214" s="3"/>
      <c r="P214" s="3"/>
      <c r="Q214" s="3"/>
      <c r="R214" s="3"/>
      <c r="S214" s="3"/>
      <c r="T214" s="3"/>
      <c r="U214" s="3"/>
      <c r="V214" s="3"/>
      <c r="W214" s="3"/>
      <c r="X214" s="3"/>
      <c r="Y214" s="3"/>
      <c r="Z214" s="3"/>
    </row>
    <row r="215" spans="1:26" ht="15.75" customHeight="1" x14ac:dyDescent="0.25">
      <c r="A215" s="3"/>
      <c r="B215" s="49"/>
      <c r="C215" s="49" t="s">
        <v>409</v>
      </c>
      <c r="D215" s="49" t="s">
        <v>297</v>
      </c>
      <c r="E215" s="49" t="s">
        <v>299</v>
      </c>
      <c r="F215" s="68">
        <v>187000</v>
      </c>
      <c r="G215" s="49" t="s">
        <v>66</v>
      </c>
      <c r="H215" s="49">
        <v>139</v>
      </c>
      <c r="I215" s="49" t="s">
        <v>598</v>
      </c>
      <c r="J215" s="409">
        <f t="shared" si="57"/>
        <v>25993</v>
      </c>
      <c r="K215" s="68">
        <v>2042</v>
      </c>
      <c r="L215" s="49">
        <v>0.02</v>
      </c>
      <c r="M215" s="49">
        <v>0.02</v>
      </c>
      <c r="N215" s="3"/>
      <c r="O215" s="3"/>
      <c r="P215" s="3"/>
      <c r="Q215" s="3"/>
      <c r="R215" s="3"/>
      <c r="S215" s="3"/>
      <c r="T215" s="3"/>
      <c r="U215" s="3"/>
      <c r="V215" s="3"/>
      <c r="W215" s="3"/>
      <c r="X215" s="3"/>
      <c r="Y215" s="3"/>
      <c r="Z215" s="3"/>
    </row>
    <row r="216" spans="1:26" ht="15.75" customHeight="1" x14ac:dyDescent="0.25">
      <c r="A216" s="3"/>
      <c r="B216" s="420"/>
      <c r="C216" s="420"/>
      <c r="D216" s="420"/>
      <c r="E216" s="420"/>
      <c r="F216" s="420"/>
      <c r="G216" s="420"/>
      <c r="H216" s="420"/>
      <c r="I216" s="420"/>
      <c r="J216" s="420"/>
      <c r="K216" s="420"/>
      <c r="L216" s="420"/>
      <c r="M216" s="420"/>
      <c r="N216" s="3"/>
      <c r="O216" s="3"/>
      <c r="P216" s="3"/>
      <c r="Q216" s="3"/>
      <c r="R216" s="3"/>
      <c r="S216" s="3"/>
      <c r="T216" s="3"/>
      <c r="U216" s="3"/>
      <c r="V216" s="3"/>
      <c r="W216" s="3"/>
      <c r="X216" s="3"/>
      <c r="Y216" s="3"/>
      <c r="Z216" s="3"/>
    </row>
    <row r="217" spans="1:26" ht="15.75" customHeight="1" x14ac:dyDescent="0.25">
      <c r="A217" s="3"/>
      <c r="B217" s="49"/>
      <c r="C217" s="49"/>
      <c r="D217" s="49"/>
      <c r="E217" s="49"/>
      <c r="F217" s="49"/>
      <c r="G217" s="49"/>
      <c r="H217" s="49"/>
      <c r="I217" s="49"/>
      <c r="J217" s="49"/>
      <c r="K217" s="49"/>
      <c r="L217" s="49"/>
      <c r="M217" s="49"/>
      <c r="N217" s="3"/>
      <c r="O217" s="3"/>
      <c r="P217" s="3"/>
      <c r="Q217" s="3"/>
      <c r="R217" s="3"/>
      <c r="S217" s="3"/>
      <c r="T217" s="3"/>
      <c r="U217" s="3"/>
      <c r="V217" s="3"/>
      <c r="W217" s="3"/>
      <c r="X217" s="3"/>
      <c r="Y217" s="3"/>
      <c r="Z217" s="3"/>
    </row>
    <row r="218" spans="1:26" ht="15.75" customHeight="1" x14ac:dyDescent="0.25">
      <c r="A218" s="3"/>
      <c r="B218" s="49" t="s">
        <v>601</v>
      </c>
      <c r="C218" s="61" t="s">
        <v>602</v>
      </c>
      <c r="D218" s="49"/>
      <c r="E218" s="49"/>
      <c r="F218" s="49"/>
      <c r="G218" s="49"/>
      <c r="H218" s="49"/>
      <c r="I218" s="49"/>
      <c r="J218" s="49"/>
      <c r="K218" s="49"/>
      <c r="L218" s="49"/>
      <c r="M218" s="49"/>
      <c r="N218" s="3"/>
      <c r="O218" s="3"/>
      <c r="P218" s="3"/>
      <c r="Q218" s="3"/>
      <c r="R218" s="3"/>
      <c r="S218" s="3"/>
      <c r="T218" s="3"/>
      <c r="U218" s="3"/>
      <c r="V218" s="3"/>
      <c r="W218" s="3"/>
      <c r="X218" s="3"/>
      <c r="Y218" s="3"/>
      <c r="Z218" s="3"/>
    </row>
    <row r="219" spans="1:26" ht="15.75" customHeight="1" x14ac:dyDescent="0.25">
      <c r="A219" s="3"/>
      <c r="B219" s="49"/>
      <c r="C219" s="49" t="s">
        <v>603</v>
      </c>
      <c r="D219" s="49" t="s">
        <v>604</v>
      </c>
      <c r="E219" s="49" t="s">
        <v>77</v>
      </c>
      <c r="F219" s="68">
        <f t="shared" ref="F219:F223" si="58">J219/H219</f>
        <v>596421.81467181467</v>
      </c>
      <c r="G219" s="49" t="s">
        <v>79</v>
      </c>
      <c r="H219" s="49">
        <v>1.036</v>
      </c>
      <c r="I219" s="49" t="s">
        <v>556</v>
      </c>
      <c r="J219" s="409">
        <v>617893</v>
      </c>
      <c r="K219" s="68">
        <v>36721.1</v>
      </c>
      <c r="L219" s="49">
        <v>1.08</v>
      </c>
      <c r="M219" s="49">
        <v>0.11</v>
      </c>
      <c r="N219" s="3"/>
      <c r="O219" s="3"/>
      <c r="P219" s="3"/>
      <c r="Q219" s="3"/>
      <c r="R219" s="3"/>
      <c r="S219" s="3"/>
      <c r="T219" s="3"/>
      <c r="U219" s="3"/>
      <c r="V219" s="3"/>
      <c r="W219" s="3"/>
      <c r="X219" s="3"/>
      <c r="Y219" s="3"/>
      <c r="Z219" s="3"/>
    </row>
    <row r="220" spans="1:26" ht="15.75" customHeight="1" x14ac:dyDescent="0.25">
      <c r="A220" s="3"/>
      <c r="B220" s="49"/>
      <c r="C220" s="49" t="s">
        <v>605</v>
      </c>
      <c r="D220" s="49" t="s">
        <v>606</v>
      </c>
      <c r="E220" s="49" t="s">
        <v>77</v>
      </c>
      <c r="F220" s="68">
        <f t="shared" si="58"/>
        <v>617412.16216216213</v>
      </c>
      <c r="G220" s="49" t="s">
        <v>79</v>
      </c>
      <c r="H220" s="49">
        <v>1.036</v>
      </c>
      <c r="I220" s="49" t="s">
        <v>556</v>
      </c>
      <c r="J220" s="409">
        <v>639639</v>
      </c>
      <c r="K220" s="68">
        <v>38013.599999999999</v>
      </c>
      <c r="L220" s="49">
        <v>1.0900000000000001</v>
      </c>
      <c r="M220" s="49">
        <v>0.11</v>
      </c>
      <c r="N220" s="3"/>
      <c r="O220" s="3"/>
      <c r="P220" s="3"/>
      <c r="Q220" s="3"/>
      <c r="R220" s="3"/>
      <c r="S220" s="3"/>
      <c r="T220" s="3"/>
      <c r="U220" s="3"/>
      <c r="V220" s="3"/>
      <c r="W220" s="3"/>
      <c r="X220" s="3"/>
      <c r="Y220" s="3"/>
      <c r="Z220" s="3"/>
    </row>
    <row r="221" spans="1:26" ht="15.75" customHeight="1" x14ac:dyDescent="0.25">
      <c r="A221" s="3"/>
      <c r="B221" s="49"/>
      <c r="C221" s="49" t="s">
        <v>607</v>
      </c>
      <c r="D221" s="49" t="s">
        <v>608</v>
      </c>
      <c r="E221" s="49" t="s">
        <v>77</v>
      </c>
      <c r="F221" s="68">
        <f t="shared" si="58"/>
        <v>909604.2471042471</v>
      </c>
      <c r="G221" s="49" t="s">
        <v>79</v>
      </c>
      <c r="H221" s="49">
        <v>1.036</v>
      </c>
      <c r="I221" s="49" t="s">
        <v>556</v>
      </c>
      <c r="J221" s="409">
        <v>942350</v>
      </c>
      <c r="K221" s="68">
        <v>56002.3</v>
      </c>
      <c r="L221" s="49">
        <v>1.54</v>
      </c>
      <c r="M221" s="49">
        <v>0.154</v>
      </c>
      <c r="N221" s="3"/>
      <c r="O221" s="3"/>
      <c r="P221" s="3"/>
      <c r="Q221" s="3"/>
      <c r="R221" s="3"/>
      <c r="S221" s="3"/>
      <c r="T221" s="3"/>
      <c r="U221" s="3"/>
      <c r="V221" s="3"/>
      <c r="W221" s="3"/>
      <c r="X221" s="3"/>
      <c r="Y221" s="3"/>
      <c r="Z221" s="3"/>
    </row>
    <row r="222" spans="1:26" ht="15.75" customHeight="1" x14ac:dyDescent="0.25">
      <c r="A222" s="3"/>
      <c r="B222" s="49"/>
      <c r="C222" s="49" t="s">
        <v>612</v>
      </c>
      <c r="D222" s="49" t="s">
        <v>613</v>
      </c>
      <c r="E222" s="49" t="s">
        <v>77</v>
      </c>
      <c r="F222" s="68">
        <f t="shared" si="58"/>
        <v>863730.69498069491</v>
      </c>
      <c r="G222" s="49" t="s">
        <v>79</v>
      </c>
      <c r="H222" s="49">
        <v>1.036</v>
      </c>
      <c r="I222" s="49" t="s">
        <v>556</v>
      </c>
      <c r="J222" s="409">
        <v>894825</v>
      </c>
      <c r="K222" s="68">
        <v>53178.7</v>
      </c>
      <c r="L222" s="49">
        <v>1.73</v>
      </c>
      <c r="M222" s="49">
        <v>0.20899999999999999</v>
      </c>
      <c r="N222" s="3"/>
      <c r="O222" s="3"/>
      <c r="P222" s="3"/>
      <c r="Q222" s="3"/>
      <c r="R222" s="3"/>
      <c r="S222" s="3"/>
      <c r="T222" s="3"/>
      <c r="U222" s="3"/>
      <c r="V222" s="3"/>
      <c r="W222" s="3"/>
      <c r="X222" s="3"/>
      <c r="Y222" s="3"/>
      <c r="Z222" s="3"/>
    </row>
    <row r="223" spans="1:26" ht="15.75" customHeight="1" x14ac:dyDescent="0.25">
      <c r="A223" s="3"/>
      <c r="B223" s="49"/>
      <c r="C223" s="49" t="s">
        <v>614</v>
      </c>
      <c r="D223" s="49" t="s">
        <v>615</v>
      </c>
      <c r="E223" s="49" t="s">
        <v>77</v>
      </c>
      <c r="F223" s="68">
        <f t="shared" si="58"/>
        <v>5468.7837837837833</v>
      </c>
      <c r="G223" s="49" t="s">
        <v>79</v>
      </c>
      <c r="H223" s="49">
        <v>1.036</v>
      </c>
      <c r="I223" s="49" t="s">
        <v>556</v>
      </c>
      <c r="J223" s="409">
        <v>5665.66</v>
      </c>
      <c r="K223" s="49">
        <v>331</v>
      </c>
      <c r="L223" s="49">
        <v>0</v>
      </c>
      <c r="M223" s="49">
        <v>1.9E-2</v>
      </c>
      <c r="N223" s="3"/>
      <c r="O223" s="3"/>
      <c r="P223" s="3"/>
      <c r="Q223" s="3"/>
      <c r="R223" s="3"/>
      <c r="S223" s="3"/>
      <c r="T223" s="3"/>
      <c r="U223" s="3"/>
      <c r="V223" s="3"/>
      <c r="W223" s="3"/>
      <c r="X223" s="3"/>
      <c r="Y223" s="3"/>
      <c r="Z223" s="3"/>
    </row>
    <row r="224" spans="1:26" ht="15.75" customHeight="1" x14ac:dyDescent="0.25">
      <c r="A224" s="3"/>
      <c r="B224" s="420"/>
      <c r="C224" s="420"/>
      <c r="D224" s="420"/>
      <c r="E224" s="420"/>
      <c r="F224" s="420"/>
      <c r="G224" s="420"/>
      <c r="H224" s="420"/>
      <c r="I224" s="420"/>
      <c r="J224" s="420"/>
      <c r="K224" s="420"/>
      <c r="L224" s="420"/>
      <c r="M224" s="420"/>
      <c r="N224" s="3"/>
      <c r="O224" s="3"/>
      <c r="P224" s="3"/>
      <c r="Q224" s="3"/>
      <c r="R224" s="3"/>
      <c r="S224" s="3"/>
      <c r="T224" s="3"/>
      <c r="U224" s="3"/>
      <c r="V224" s="3"/>
      <c r="W224" s="3"/>
      <c r="X224" s="3"/>
      <c r="Y224" s="3"/>
      <c r="Z224" s="3"/>
    </row>
    <row r="225" spans="1:26" ht="15.75" customHeight="1" x14ac:dyDescent="0.25">
      <c r="A225" s="3"/>
      <c r="B225" s="49"/>
      <c r="C225" s="49"/>
      <c r="D225" s="49"/>
      <c r="E225" s="49"/>
      <c r="F225" s="49"/>
      <c r="G225" s="49"/>
      <c r="H225" s="49"/>
      <c r="I225" s="49"/>
      <c r="J225" s="49"/>
      <c r="K225" s="49"/>
      <c r="L225" s="49"/>
      <c r="M225" s="49"/>
      <c r="N225" s="3"/>
      <c r="O225" s="3"/>
      <c r="P225" s="3"/>
      <c r="Q225" s="3"/>
      <c r="R225" s="3"/>
      <c r="S225" s="3"/>
      <c r="T225" s="3"/>
      <c r="U225" s="3"/>
      <c r="V225" s="3"/>
      <c r="W225" s="3"/>
      <c r="X225" s="3"/>
      <c r="Y225" s="3"/>
      <c r="Z225" s="3"/>
    </row>
    <row r="226" spans="1:26" ht="15.75" customHeight="1" x14ac:dyDescent="0.25">
      <c r="A226" s="3"/>
      <c r="B226" s="49" t="s">
        <v>413</v>
      </c>
      <c r="C226" s="61" t="s">
        <v>414</v>
      </c>
      <c r="D226" s="49"/>
      <c r="E226" s="49"/>
      <c r="F226" s="49"/>
      <c r="G226" s="49"/>
      <c r="H226" s="49"/>
      <c r="I226" s="49"/>
      <c r="J226" s="49"/>
      <c r="K226" s="49"/>
      <c r="L226" s="49"/>
      <c r="M226" s="49"/>
      <c r="N226" s="3"/>
      <c r="O226" s="3"/>
      <c r="P226" s="3"/>
      <c r="Q226" s="3"/>
      <c r="R226" s="3"/>
      <c r="S226" s="3"/>
      <c r="T226" s="3"/>
      <c r="U226" s="3"/>
      <c r="V226" s="3"/>
      <c r="W226" s="3"/>
      <c r="X226" s="3"/>
      <c r="Y226" s="3"/>
      <c r="Z226" s="3"/>
    </row>
    <row r="227" spans="1:26" ht="15.75" customHeight="1" x14ac:dyDescent="0.25">
      <c r="A227" s="3"/>
      <c r="B227" s="49"/>
      <c r="C227" s="49" t="s">
        <v>418</v>
      </c>
      <c r="D227" s="49" t="s">
        <v>419</v>
      </c>
      <c r="E227" s="49" t="s">
        <v>299</v>
      </c>
      <c r="F227" s="68">
        <v>5471</v>
      </c>
      <c r="G227" s="49" t="s">
        <v>66</v>
      </c>
      <c r="H227" s="49">
        <v>137</v>
      </c>
      <c r="I227" s="49" t="s">
        <v>598</v>
      </c>
      <c r="J227" s="409">
        <f t="shared" ref="J227:J236" si="59">F227*H227/1000</f>
        <v>749.52700000000004</v>
      </c>
      <c r="K227" s="49">
        <v>61.8</v>
      </c>
      <c r="L227" s="49">
        <v>3.0000000000000001E-3</v>
      </c>
      <c r="M227" s="622">
        <v>0</v>
      </c>
      <c r="N227" s="3"/>
      <c r="O227" s="3"/>
      <c r="P227" s="3"/>
      <c r="Q227" s="3"/>
      <c r="R227" s="3"/>
      <c r="S227" s="3"/>
      <c r="T227" s="3"/>
      <c r="U227" s="3"/>
      <c r="V227" s="3"/>
      <c r="W227" s="3"/>
      <c r="X227" s="3"/>
      <c r="Y227" s="3"/>
      <c r="Z227" s="3"/>
    </row>
    <row r="228" spans="1:26" ht="15.75" customHeight="1" x14ac:dyDescent="0.25">
      <c r="A228" s="3"/>
      <c r="B228" s="49"/>
      <c r="C228" s="49" t="s">
        <v>426</v>
      </c>
      <c r="D228" s="49" t="s">
        <v>427</v>
      </c>
      <c r="E228" s="49" t="s">
        <v>299</v>
      </c>
      <c r="F228" s="68">
        <v>5811</v>
      </c>
      <c r="G228" s="49" t="s">
        <v>66</v>
      </c>
      <c r="H228" s="49">
        <v>137</v>
      </c>
      <c r="I228" s="49" t="s">
        <v>598</v>
      </c>
      <c r="J228" s="409">
        <f t="shared" si="59"/>
        <v>796.10699999999997</v>
      </c>
      <c r="K228" s="49">
        <v>65.7</v>
      </c>
      <c r="L228" s="49">
        <v>3.0000000000000001E-3</v>
      </c>
      <c r="M228" s="622">
        <v>0</v>
      </c>
      <c r="N228" s="3"/>
      <c r="O228" s="3"/>
      <c r="P228" s="3"/>
      <c r="Q228" s="3"/>
      <c r="R228" s="3"/>
      <c r="S228" s="3"/>
      <c r="T228" s="3"/>
      <c r="U228" s="3"/>
      <c r="V228" s="3"/>
      <c r="W228" s="3"/>
      <c r="X228" s="3"/>
      <c r="Y228" s="3"/>
      <c r="Z228" s="3"/>
    </row>
    <row r="229" spans="1:26" ht="15.75" customHeight="1" x14ac:dyDescent="0.25">
      <c r="A229" s="3"/>
      <c r="B229" s="49"/>
      <c r="C229" s="49" t="s">
        <v>429</v>
      </c>
      <c r="D229" s="49" t="s">
        <v>430</v>
      </c>
      <c r="E229" s="49" t="s">
        <v>299</v>
      </c>
      <c r="F229" s="68">
        <v>20420</v>
      </c>
      <c r="G229" s="49" t="s">
        <v>66</v>
      </c>
      <c r="H229" s="49">
        <v>137</v>
      </c>
      <c r="I229" s="49" t="s">
        <v>598</v>
      </c>
      <c r="J229" s="409">
        <f t="shared" si="59"/>
        <v>2797.54</v>
      </c>
      <c r="K229" s="49">
        <v>230.7</v>
      </c>
      <c r="L229" s="49">
        <v>1.0999999999999999E-2</v>
      </c>
      <c r="M229" s="49">
        <v>1E-3</v>
      </c>
      <c r="N229" s="3"/>
      <c r="O229" s="3"/>
      <c r="P229" s="3"/>
      <c r="Q229" s="3"/>
      <c r="R229" s="3"/>
      <c r="S229" s="3"/>
      <c r="T229" s="3"/>
      <c r="U229" s="3"/>
      <c r="V229" s="3"/>
      <c r="W229" s="3"/>
      <c r="X229" s="3"/>
      <c r="Y229" s="3"/>
      <c r="Z229" s="3"/>
    </row>
    <row r="230" spans="1:26" ht="15.75" customHeight="1" x14ac:dyDescent="0.25">
      <c r="A230" s="3"/>
      <c r="B230" s="49"/>
      <c r="C230" s="49" t="s">
        <v>431</v>
      </c>
      <c r="D230" s="49" t="s">
        <v>321</v>
      </c>
      <c r="E230" s="49" t="s">
        <v>299</v>
      </c>
      <c r="F230" s="68">
        <v>20146</v>
      </c>
      <c r="G230" s="49" t="s">
        <v>66</v>
      </c>
      <c r="H230" s="49">
        <v>137</v>
      </c>
      <c r="I230" s="49" t="s">
        <v>598</v>
      </c>
      <c r="J230" s="409">
        <f t="shared" si="59"/>
        <v>2760.002</v>
      </c>
      <c r="K230" s="49">
        <v>227.6</v>
      </c>
      <c r="L230" s="49">
        <v>1.0999999999999999E-2</v>
      </c>
      <c r="M230" s="49">
        <v>1E-3</v>
      </c>
      <c r="N230" s="3"/>
      <c r="O230" s="3"/>
      <c r="P230" s="3"/>
      <c r="Q230" s="3"/>
      <c r="R230" s="3"/>
      <c r="S230" s="3"/>
      <c r="T230" s="3"/>
      <c r="U230" s="3"/>
      <c r="V230" s="3"/>
      <c r="W230" s="3"/>
      <c r="X230" s="3"/>
      <c r="Y230" s="3"/>
      <c r="Z230" s="3"/>
    </row>
    <row r="231" spans="1:26" ht="15.75" customHeight="1" x14ac:dyDescent="0.25">
      <c r="A231" s="3"/>
      <c r="B231" s="49"/>
      <c r="C231" s="49" t="s">
        <v>433</v>
      </c>
      <c r="D231" s="49" t="s">
        <v>434</v>
      </c>
      <c r="E231" s="49" t="s">
        <v>299</v>
      </c>
      <c r="F231" s="68">
        <v>26491</v>
      </c>
      <c r="G231" s="49" t="s">
        <v>66</v>
      </c>
      <c r="H231" s="49">
        <v>137</v>
      </c>
      <c r="I231" s="49" t="s">
        <v>598</v>
      </c>
      <c r="J231" s="409">
        <f t="shared" si="59"/>
        <v>3629.2669999999998</v>
      </c>
      <c r="K231" s="49">
        <v>299.3</v>
      </c>
      <c r="L231" s="49">
        <v>1.4999999999999999E-2</v>
      </c>
      <c r="M231" s="49">
        <v>1E-3</v>
      </c>
      <c r="N231" s="3"/>
      <c r="O231" s="3"/>
      <c r="P231" s="3"/>
      <c r="Q231" s="3"/>
      <c r="R231" s="3"/>
      <c r="S231" s="3"/>
      <c r="T231" s="3"/>
      <c r="U231" s="3"/>
      <c r="V231" s="3"/>
      <c r="W231" s="3"/>
      <c r="X231" s="3"/>
      <c r="Y231" s="3"/>
      <c r="Z231" s="3"/>
    </row>
    <row r="232" spans="1:26" ht="15.75" customHeight="1" x14ac:dyDescent="0.25">
      <c r="A232" s="3"/>
      <c r="B232" s="49"/>
      <c r="C232" s="49" t="s">
        <v>435</v>
      </c>
      <c r="D232" s="49" t="s">
        <v>436</v>
      </c>
      <c r="E232" s="49" t="s">
        <v>299</v>
      </c>
      <c r="F232" s="68">
        <v>30331</v>
      </c>
      <c r="G232" s="49" t="s">
        <v>66</v>
      </c>
      <c r="H232" s="49">
        <v>137</v>
      </c>
      <c r="I232" s="49" t="s">
        <v>598</v>
      </c>
      <c r="J232" s="409">
        <f t="shared" si="59"/>
        <v>4155.3469999999998</v>
      </c>
      <c r="K232" s="49">
        <v>342.7</v>
      </c>
      <c r="L232" s="49">
        <v>1.7000000000000001E-2</v>
      </c>
      <c r="M232" s="49">
        <v>2E-3</v>
      </c>
      <c r="N232" s="3"/>
      <c r="O232" s="3"/>
      <c r="P232" s="3"/>
      <c r="Q232" s="3"/>
      <c r="R232" s="3"/>
      <c r="S232" s="3"/>
      <c r="T232" s="3"/>
      <c r="U232" s="3"/>
      <c r="V232" s="3"/>
      <c r="W232" s="3"/>
      <c r="X232" s="3"/>
      <c r="Y232" s="3"/>
      <c r="Z232" s="3"/>
    </row>
    <row r="233" spans="1:26" ht="15.75" customHeight="1" x14ac:dyDescent="0.25">
      <c r="A233" s="3"/>
      <c r="B233" s="49"/>
      <c r="C233" s="49" t="s">
        <v>438</v>
      </c>
      <c r="D233" s="49" t="s">
        <v>439</v>
      </c>
      <c r="E233" s="49" t="s">
        <v>299</v>
      </c>
      <c r="F233" s="68">
        <v>26760</v>
      </c>
      <c r="G233" s="49" t="s">
        <v>66</v>
      </c>
      <c r="H233" s="49">
        <v>137</v>
      </c>
      <c r="I233" s="49" t="s">
        <v>598</v>
      </c>
      <c r="J233" s="409">
        <f t="shared" si="59"/>
        <v>3666.12</v>
      </c>
      <c r="K233" s="49">
        <v>302.39999999999998</v>
      </c>
      <c r="L233" s="49">
        <v>1.4999999999999999E-2</v>
      </c>
      <c r="M233" s="49">
        <v>1E-3</v>
      </c>
      <c r="N233" s="3"/>
      <c r="O233" s="3"/>
      <c r="P233" s="3"/>
      <c r="Q233" s="3"/>
      <c r="R233" s="3"/>
      <c r="S233" s="3"/>
      <c r="T233" s="3"/>
      <c r="U233" s="3"/>
      <c r="V233" s="3"/>
      <c r="W233" s="3"/>
      <c r="X233" s="3"/>
      <c r="Y233" s="3"/>
      <c r="Z233" s="3"/>
    </row>
    <row r="234" spans="1:26" ht="15.75" customHeight="1" x14ac:dyDescent="0.25">
      <c r="A234" s="3"/>
      <c r="B234" s="49"/>
      <c r="C234" s="49" t="s">
        <v>441</v>
      </c>
      <c r="D234" s="49" t="s">
        <v>442</v>
      </c>
      <c r="E234" s="49" t="s">
        <v>299</v>
      </c>
      <c r="F234" s="68">
        <v>38516</v>
      </c>
      <c r="G234" s="49" t="s">
        <v>66</v>
      </c>
      <c r="H234" s="49">
        <v>137</v>
      </c>
      <c r="I234" s="49" t="s">
        <v>598</v>
      </c>
      <c r="J234" s="409">
        <f t="shared" si="59"/>
        <v>5276.692</v>
      </c>
      <c r="K234" s="49">
        <v>435.2</v>
      </c>
      <c r="L234" s="49">
        <v>2.1000000000000001E-2</v>
      </c>
      <c r="M234" s="49">
        <v>2E-3</v>
      </c>
      <c r="N234" s="3"/>
      <c r="O234" s="3"/>
      <c r="P234" s="3"/>
      <c r="Q234" s="3"/>
      <c r="R234" s="3"/>
      <c r="S234" s="3"/>
      <c r="T234" s="3"/>
      <c r="U234" s="3"/>
      <c r="V234" s="3"/>
      <c r="W234" s="3"/>
      <c r="X234" s="3"/>
      <c r="Y234" s="3"/>
      <c r="Z234" s="3"/>
    </row>
    <row r="235" spans="1:26" ht="15.75" customHeight="1" x14ac:dyDescent="0.25">
      <c r="A235" s="3"/>
      <c r="B235" s="49"/>
      <c r="C235" s="49" t="s">
        <v>443</v>
      </c>
      <c r="D235" s="49" t="s">
        <v>444</v>
      </c>
      <c r="E235" s="49" t="s">
        <v>299</v>
      </c>
      <c r="F235" s="68">
        <v>68406</v>
      </c>
      <c r="G235" s="49" t="s">
        <v>66</v>
      </c>
      <c r="H235" s="49">
        <v>137</v>
      </c>
      <c r="I235" s="49" t="s">
        <v>598</v>
      </c>
      <c r="J235" s="409">
        <f t="shared" si="59"/>
        <v>9371.6219999999994</v>
      </c>
      <c r="K235" s="49">
        <v>773</v>
      </c>
      <c r="L235" s="49">
        <v>3.7999999999999999E-2</v>
      </c>
      <c r="M235" s="49">
        <v>4.0000000000000001E-3</v>
      </c>
      <c r="N235" s="3"/>
      <c r="O235" s="3"/>
      <c r="P235" s="3"/>
      <c r="Q235" s="3"/>
      <c r="R235" s="3"/>
      <c r="S235" s="3"/>
      <c r="T235" s="3"/>
      <c r="U235" s="3"/>
      <c r="V235" s="3"/>
      <c r="W235" s="3"/>
      <c r="X235" s="3"/>
      <c r="Y235" s="3"/>
      <c r="Z235" s="3"/>
    </row>
    <row r="236" spans="1:26" ht="15.75" customHeight="1" x14ac:dyDescent="0.25">
      <c r="A236" s="3"/>
      <c r="B236" s="49"/>
      <c r="C236" s="49" t="s">
        <v>446</v>
      </c>
      <c r="D236" s="49" t="s">
        <v>447</v>
      </c>
      <c r="E236" s="49" t="s">
        <v>299</v>
      </c>
      <c r="F236" s="68">
        <v>26650</v>
      </c>
      <c r="G236" s="49" t="s">
        <v>66</v>
      </c>
      <c r="H236" s="49">
        <v>137</v>
      </c>
      <c r="I236" s="49" t="s">
        <v>598</v>
      </c>
      <c r="J236" s="409">
        <f t="shared" si="59"/>
        <v>3651.05</v>
      </c>
      <c r="K236" s="49">
        <v>301.10000000000002</v>
      </c>
      <c r="L236" s="49">
        <v>1.4999999999999999E-2</v>
      </c>
      <c r="M236" s="49">
        <v>1E-3</v>
      </c>
      <c r="N236" s="3"/>
      <c r="O236" s="3"/>
      <c r="P236" s="3"/>
      <c r="Q236" s="3"/>
      <c r="R236" s="3"/>
      <c r="S236" s="3"/>
      <c r="T236" s="3"/>
      <c r="U236" s="3"/>
      <c r="V236" s="3"/>
      <c r="W236" s="3"/>
      <c r="X236" s="3"/>
      <c r="Y236" s="3"/>
      <c r="Z236" s="3"/>
    </row>
    <row r="237" spans="1:26" ht="15.75" customHeight="1" x14ac:dyDescent="0.25">
      <c r="A237" s="3"/>
      <c r="B237" s="420"/>
      <c r="C237" s="420"/>
      <c r="D237" s="420"/>
      <c r="E237" s="420"/>
      <c r="F237" s="420"/>
      <c r="G237" s="420"/>
      <c r="H237" s="420"/>
      <c r="I237" s="420"/>
      <c r="J237" s="420"/>
      <c r="K237" s="420"/>
      <c r="L237" s="420"/>
      <c r="M237" s="420"/>
      <c r="N237" s="3"/>
      <c r="O237" s="3"/>
      <c r="P237" s="3"/>
      <c r="Q237" s="3"/>
      <c r="R237" s="3"/>
      <c r="S237" s="3"/>
      <c r="T237" s="3"/>
      <c r="U237" s="3"/>
      <c r="V237" s="3"/>
      <c r="W237" s="3"/>
      <c r="X237" s="3"/>
      <c r="Y237" s="3"/>
      <c r="Z237" s="3"/>
    </row>
    <row r="238" spans="1:26" ht="15.75" customHeight="1" x14ac:dyDescent="0.25">
      <c r="A238" s="3"/>
      <c r="B238" s="49"/>
      <c r="C238" s="49"/>
      <c r="D238" s="49"/>
      <c r="E238" s="49"/>
      <c r="F238" s="49"/>
      <c r="G238" s="49"/>
      <c r="H238" s="49"/>
      <c r="I238" s="49"/>
      <c r="J238" s="49"/>
      <c r="K238" s="49"/>
      <c r="L238" s="49"/>
      <c r="M238" s="49"/>
      <c r="N238" s="3"/>
      <c r="O238" s="3"/>
      <c r="P238" s="3"/>
      <c r="Q238" s="3"/>
      <c r="R238" s="3"/>
      <c r="S238" s="3"/>
      <c r="T238" s="3"/>
      <c r="U238" s="3"/>
      <c r="V238" s="3"/>
      <c r="W238" s="3"/>
      <c r="X238" s="3"/>
      <c r="Y238" s="3"/>
      <c r="Z238" s="3"/>
    </row>
    <row r="239" spans="1:26" ht="15.75" customHeight="1" x14ac:dyDescent="0.25">
      <c r="A239" s="3"/>
      <c r="B239" s="49" t="s">
        <v>449</v>
      </c>
      <c r="C239" s="61" t="s">
        <v>620</v>
      </c>
      <c r="D239" s="49"/>
      <c r="E239" s="49"/>
      <c r="F239" s="49"/>
      <c r="G239" s="49"/>
      <c r="H239" s="49"/>
      <c r="I239" s="49"/>
      <c r="J239" s="49"/>
      <c r="K239" s="49"/>
      <c r="L239" s="49"/>
      <c r="M239" s="49"/>
      <c r="N239" s="3"/>
      <c r="O239" s="3"/>
      <c r="P239" s="3"/>
      <c r="Q239" s="3"/>
      <c r="R239" s="3"/>
      <c r="S239" s="3"/>
      <c r="T239" s="3"/>
      <c r="U239" s="3"/>
      <c r="V239" s="3"/>
      <c r="W239" s="3"/>
      <c r="X239" s="3"/>
      <c r="Y239" s="3"/>
      <c r="Z239" s="3"/>
    </row>
    <row r="240" spans="1:26" ht="15.75" customHeight="1" x14ac:dyDescent="0.25">
      <c r="A240" s="3"/>
      <c r="B240" s="49"/>
      <c r="C240" s="49" t="s">
        <v>453</v>
      </c>
      <c r="D240" s="49" t="s">
        <v>454</v>
      </c>
      <c r="E240" s="49" t="s">
        <v>299</v>
      </c>
      <c r="F240" s="68">
        <v>5013</v>
      </c>
      <c r="G240" s="49" t="s">
        <v>66</v>
      </c>
      <c r="H240" s="49">
        <v>137</v>
      </c>
      <c r="I240" s="49" t="s">
        <v>598</v>
      </c>
      <c r="J240" s="409">
        <f t="shared" ref="J240:J243" si="60">F240*H240/1000</f>
        <v>686.78099999999995</v>
      </c>
      <c r="K240" s="49">
        <v>56.6</v>
      </c>
      <c r="L240" s="49">
        <v>3.0000000000000001E-3</v>
      </c>
      <c r="M240" s="49">
        <v>0</v>
      </c>
      <c r="N240" s="3"/>
      <c r="O240" s="3"/>
      <c r="P240" s="3"/>
      <c r="Q240" s="3"/>
      <c r="R240" s="3"/>
      <c r="S240" s="3"/>
      <c r="T240" s="3"/>
      <c r="U240" s="3"/>
      <c r="V240" s="3"/>
      <c r="W240" s="3"/>
      <c r="X240" s="3"/>
      <c r="Y240" s="3"/>
      <c r="Z240" s="3"/>
    </row>
    <row r="241" spans="1:26" ht="15.75" customHeight="1" x14ac:dyDescent="0.25">
      <c r="A241" s="3"/>
      <c r="B241" s="49"/>
      <c r="C241" s="49" t="s">
        <v>457</v>
      </c>
      <c r="D241" s="49" t="s">
        <v>458</v>
      </c>
      <c r="E241" s="49" t="s">
        <v>299</v>
      </c>
      <c r="F241" s="68">
        <v>5289</v>
      </c>
      <c r="G241" s="49" t="s">
        <v>66</v>
      </c>
      <c r="H241" s="49">
        <v>137</v>
      </c>
      <c r="I241" s="49" t="s">
        <v>598</v>
      </c>
      <c r="J241" s="409">
        <f t="shared" si="60"/>
        <v>724.59299999999996</v>
      </c>
      <c r="K241" s="49">
        <v>59.8</v>
      </c>
      <c r="L241" s="49">
        <v>3.0000000000000001E-3</v>
      </c>
      <c r="M241" s="49">
        <v>0</v>
      </c>
      <c r="N241" s="3"/>
      <c r="O241" s="3"/>
      <c r="P241" s="3"/>
      <c r="Q241" s="3"/>
      <c r="R241" s="3"/>
      <c r="S241" s="3"/>
      <c r="T241" s="3"/>
      <c r="U241" s="3"/>
      <c r="V241" s="3"/>
      <c r="W241" s="3"/>
      <c r="X241" s="3"/>
      <c r="Y241" s="3"/>
      <c r="Z241" s="3"/>
    </row>
    <row r="242" spans="1:26" ht="15.75" customHeight="1" x14ac:dyDescent="0.25">
      <c r="A242" s="3"/>
      <c r="B242" s="49"/>
      <c r="C242" s="49" t="s">
        <v>459</v>
      </c>
      <c r="D242" s="49" t="s">
        <v>460</v>
      </c>
      <c r="E242" s="49" t="s">
        <v>299</v>
      </c>
      <c r="F242" s="68">
        <v>44606</v>
      </c>
      <c r="G242" s="49" t="s">
        <v>66</v>
      </c>
      <c r="H242" s="49">
        <v>137</v>
      </c>
      <c r="I242" s="49" t="s">
        <v>598</v>
      </c>
      <c r="J242" s="409">
        <f t="shared" si="60"/>
        <v>6111.0219999999999</v>
      </c>
      <c r="K242" s="49">
        <v>504</v>
      </c>
      <c r="L242" s="49">
        <v>0</v>
      </c>
      <c r="M242" s="49">
        <v>0</v>
      </c>
      <c r="N242" s="3"/>
      <c r="O242" s="3"/>
      <c r="P242" s="3"/>
      <c r="Q242" s="3"/>
      <c r="R242" s="3"/>
      <c r="S242" s="3"/>
      <c r="T242" s="3"/>
      <c r="U242" s="3"/>
      <c r="V242" s="3"/>
      <c r="W242" s="3"/>
      <c r="X242" s="3"/>
      <c r="Y242" s="3"/>
      <c r="Z242" s="3"/>
    </row>
    <row r="243" spans="1:26" ht="15.75" customHeight="1" x14ac:dyDescent="0.25">
      <c r="A243" s="3"/>
      <c r="B243" s="49"/>
      <c r="C243" s="49" t="s">
        <v>621</v>
      </c>
      <c r="D243" s="49" t="s">
        <v>463</v>
      </c>
      <c r="E243" s="49" t="s">
        <v>299</v>
      </c>
      <c r="F243" s="68">
        <v>47695</v>
      </c>
      <c r="G243" s="49" t="s">
        <v>66</v>
      </c>
      <c r="H243" s="49">
        <v>137</v>
      </c>
      <c r="I243" s="49" t="s">
        <v>598</v>
      </c>
      <c r="J243" s="409">
        <f t="shared" si="60"/>
        <v>6534.2150000000001</v>
      </c>
      <c r="K243" s="49">
        <v>539</v>
      </c>
      <c r="L243" s="49">
        <v>0</v>
      </c>
      <c r="M243" s="49">
        <v>0</v>
      </c>
      <c r="N243" s="3"/>
      <c r="O243" s="3"/>
      <c r="P243" s="3"/>
      <c r="Q243" s="3"/>
      <c r="R243" s="3"/>
      <c r="S243" s="3"/>
      <c r="T243" s="3"/>
      <c r="U243" s="3"/>
      <c r="V243" s="3"/>
      <c r="W243" s="3"/>
      <c r="X243" s="3"/>
      <c r="Y243" s="3"/>
      <c r="Z243" s="3"/>
    </row>
    <row r="244" spans="1:26" ht="15.75" customHeight="1" x14ac:dyDescent="0.25">
      <c r="A244" s="3"/>
      <c r="B244" s="49"/>
      <c r="C244" s="49"/>
      <c r="D244" s="49"/>
      <c r="E244" s="49"/>
      <c r="F244" s="68"/>
      <c r="G244" s="49"/>
      <c r="H244" s="49"/>
      <c r="I244" s="49"/>
      <c r="J244" s="49"/>
      <c r="K244" s="49"/>
      <c r="L244" s="49"/>
      <c r="M244" s="49"/>
      <c r="N244" s="3"/>
      <c r="O244" s="3"/>
      <c r="P244" s="3"/>
      <c r="Q244" s="3"/>
      <c r="R244" s="3"/>
      <c r="S244" s="3"/>
      <c r="T244" s="3"/>
      <c r="U244" s="3"/>
      <c r="V244" s="3"/>
      <c r="W244" s="3"/>
      <c r="X244" s="3"/>
      <c r="Y244" s="3"/>
      <c r="Z244" s="3"/>
    </row>
    <row r="245" spans="1:26" ht="15.75" customHeight="1" x14ac:dyDescent="0.25">
      <c r="A245" s="3"/>
      <c r="B245" s="49"/>
      <c r="C245" s="49" t="s">
        <v>465</v>
      </c>
      <c r="D245" s="49" t="s">
        <v>466</v>
      </c>
      <c r="E245" s="49" t="s">
        <v>299</v>
      </c>
      <c r="F245" s="68">
        <v>45059</v>
      </c>
      <c r="G245" s="49" t="s">
        <v>66</v>
      </c>
      <c r="H245" s="49">
        <v>137</v>
      </c>
      <c r="I245" s="49" t="s">
        <v>598</v>
      </c>
      <c r="J245" s="409">
        <f t="shared" ref="J245:J246" si="61">F245*H245/1000</f>
        <v>6173.0829999999996</v>
      </c>
      <c r="K245" s="639">
        <f>J245/J247*K247</f>
        <v>488.68335588098552</v>
      </c>
      <c r="L245" s="413">
        <f>J245/J247*L247</f>
        <v>2.4125892500981183E-2</v>
      </c>
      <c r="M245" s="413">
        <f>J245/J247*M247</f>
        <v>2.1445237778649944E-3</v>
      </c>
      <c r="N245" s="3"/>
      <c r="O245" s="3"/>
      <c r="P245" s="3"/>
      <c r="Q245" s="3"/>
      <c r="R245" s="3"/>
      <c r="S245" s="3"/>
      <c r="T245" s="3"/>
      <c r="U245" s="3"/>
      <c r="V245" s="3"/>
      <c r="W245" s="3"/>
      <c r="X245" s="3"/>
      <c r="Y245" s="3"/>
      <c r="Z245" s="3"/>
    </row>
    <row r="246" spans="1:26" ht="15.75" customHeight="1" x14ac:dyDescent="0.25">
      <c r="A246" s="3"/>
      <c r="B246" s="49"/>
      <c r="C246" s="49"/>
      <c r="D246" s="49"/>
      <c r="E246" s="49" t="s">
        <v>200</v>
      </c>
      <c r="F246" s="68">
        <v>35607</v>
      </c>
      <c r="G246" s="49" t="s">
        <v>66</v>
      </c>
      <c r="H246" s="49">
        <v>150</v>
      </c>
      <c r="I246" s="49" t="s">
        <v>598</v>
      </c>
      <c r="J246" s="409">
        <f t="shared" si="61"/>
        <v>5341.05</v>
      </c>
      <c r="K246" s="639">
        <f>J246/J247*K247</f>
        <v>422.81664411901448</v>
      </c>
      <c r="L246" s="413">
        <f>J246/J247*L247</f>
        <v>2.0874107499018815E-2</v>
      </c>
      <c r="M246" s="413">
        <f>J246/J247*M247</f>
        <v>1.8554762221350059E-3</v>
      </c>
      <c r="N246" s="3"/>
      <c r="O246" s="3"/>
      <c r="P246" s="3"/>
      <c r="Q246" s="3"/>
      <c r="R246" s="3"/>
      <c r="S246" s="3"/>
      <c r="T246" s="3"/>
      <c r="U246" s="3"/>
      <c r="V246" s="3"/>
      <c r="W246" s="3"/>
      <c r="X246" s="3"/>
      <c r="Y246" s="3"/>
      <c r="Z246" s="3"/>
    </row>
    <row r="247" spans="1:26" ht="15.75" customHeight="1" x14ac:dyDescent="0.25">
      <c r="A247" s="3"/>
      <c r="B247" s="49"/>
      <c r="C247" s="49"/>
      <c r="D247" s="49"/>
      <c r="E247" s="49"/>
      <c r="F247" s="68"/>
      <c r="G247" s="49"/>
      <c r="H247" s="49"/>
      <c r="I247" s="49"/>
      <c r="J247" s="415">
        <f>SUM(J245:J246)</f>
        <v>11514.133</v>
      </c>
      <c r="K247" s="417">
        <v>911.5</v>
      </c>
      <c r="L247" s="417">
        <v>4.4999999999999998E-2</v>
      </c>
      <c r="M247" s="417">
        <v>4.0000000000000001E-3</v>
      </c>
      <c r="N247" s="3"/>
      <c r="O247" s="3"/>
      <c r="P247" s="3"/>
      <c r="Q247" s="3"/>
      <c r="R247" s="3"/>
      <c r="S247" s="3"/>
      <c r="T247" s="3"/>
      <c r="U247" s="3"/>
      <c r="V247" s="3"/>
      <c r="W247" s="3"/>
      <c r="X247" s="3"/>
      <c r="Y247" s="3"/>
      <c r="Z247" s="3"/>
    </row>
    <row r="248" spans="1:26" ht="15.75" customHeight="1" x14ac:dyDescent="0.25">
      <c r="A248" s="3"/>
      <c r="B248" s="49"/>
      <c r="C248" s="49" t="s">
        <v>467</v>
      </c>
      <c r="D248" s="49" t="s">
        <v>468</v>
      </c>
      <c r="E248" s="49" t="s">
        <v>299</v>
      </c>
      <c r="F248" s="68">
        <v>58124</v>
      </c>
      <c r="G248" s="49" t="s">
        <v>66</v>
      </c>
      <c r="H248" s="49">
        <v>137</v>
      </c>
      <c r="I248" s="49" t="s">
        <v>598</v>
      </c>
      <c r="J248" s="409">
        <f t="shared" ref="J248:J249" si="62">F248*H248/1000</f>
        <v>7962.9880000000003</v>
      </c>
      <c r="K248" s="639">
        <f>J248/J250*K250</f>
        <v>638.65848278562203</v>
      </c>
      <c r="L248" s="413">
        <f>J248/J250*L250</f>
        <v>3.1340185841837648E-2</v>
      </c>
      <c r="M248" s="413">
        <f>J248/J250*M250</f>
        <v>3.4065419393301795E-3</v>
      </c>
      <c r="N248" s="3"/>
      <c r="O248" s="3"/>
      <c r="P248" s="3"/>
      <c r="Q248" s="3"/>
      <c r="R248" s="3"/>
      <c r="S248" s="3"/>
      <c r="T248" s="3"/>
      <c r="U248" s="3"/>
      <c r="V248" s="3"/>
      <c r="W248" s="3"/>
      <c r="X248" s="3"/>
      <c r="Y248" s="3"/>
      <c r="Z248" s="3"/>
    </row>
    <row r="249" spans="1:26" ht="15.75" customHeight="1" x14ac:dyDescent="0.25">
      <c r="A249" s="3"/>
      <c r="B249" s="49"/>
      <c r="C249" s="49"/>
      <c r="D249" s="49"/>
      <c r="E249" s="49" t="s">
        <v>200</v>
      </c>
      <c r="F249" s="68">
        <v>24832</v>
      </c>
      <c r="G249" s="49" t="s">
        <v>66</v>
      </c>
      <c r="H249" s="49">
        <v>150</v>
      </c>
      <c r="I249" s="49" t="s">
        <v>598</v>
      </c>
      <c r="J249" s="409">
        <f t="shared" si="62"/>
        <v>3724.8</v>
      </c>
      <c r="K249" s="639">
        <f>J249/J250*K250</f>
        <v>298.74151721437795</v>
      </c>
      <c r="L249" s="413">
        <f>J249/J250*L250</f>
        <v>1.465981415816235E-2</v>
      </c>
      <c r="M249" s="413">
        <f>J249/J250*M250</f>
        <v>1.5934580606698206E-3</v>
      </c>
      <c r="N249" s="3"/>
      <c r="O249" s="3"/>
      <c r="P249" s="3"/>
      <c r="Q249" s="3"/>
      <c r="R249" s="3"/>
      <c r="S249" s="3"/>
      <c r="T249" s="3"/>
      <c r="U249" s="3"/>
      <c r="V249" s="3"/>
      <c r="W249" s="3"/>
      <c r="X249" s="3"/>
      <c r="Y249" s="3"/>
      <c r="Z249" s="3"/>
    </row>
    <row r="250" spans="1:26" ht="15.75" customHeight="1" x14ac:dyDescent="0.25">
      <c r="A250" s="3"/>
      <c r="B250" s="49"/>
      <c r="C250" s="49"/>
      <c r="D250" s="49"/>
      <c r="E250" s="49"/>
      <c r="F250" s="68"/>
      <c r="G250" s="49"/>
      <c r="H250" s="49"/>
      <c r="I250" s="49"/>
      <c r="J250" s="415">
        <f>SUM(J248:J249)</f>
        <v>11687.788</v>
      </c>
      <c r="K250" s="417">
        <v>937.4</v>
      </c>
      <c r="L250" s="417">
        <v>4.5999999999999999E-2</v>
      </c>
      <c r="M250" s="417">
        <v>5.0000000000000001E-3</v>
      </c>
      <c r="N250" s="3"/>
      <c r="O250" s="3"/>
      <c r="P250" s="3"/>
      <c r="Q250" s="3"/>
      <c r="R250" s="3"/>
      <c r="S250" s="3"/>
      <c r="T250" s="3"/>
      <c r="U250" s="3"/>
      <c r="V250" s="3"/>
      <c r="W250" s="3"/>
      <c r="X250" s="3"/>
      <c r="Y250" s="3"/>
      <c r="Z250" s="3"/>
    </row>
    <row r="251" spans="1:26" ht="15.75" customHeight="1" x14ac:dyDescent="0.25">
      <c r="A251" s="3"/>
      <c r="B251" s="49"/>
      <c r="C251" s="49"/>
      <c r="D251" s="49"/>
      <c r="E251" s="49"/>
      <c r="F251" s="68"/>
      <c r="G251" s="49"/>
      <c r="H251" s="49"/>
      <c r="I251" s="49"/>
      <c r="J251" s="49"/>
      <c r="K251" s="49"/>
      <c r="L251" s="49"/>
      <c r="M251" s="49"/>
      <c r="N251" s="3"/>
      <c r="O251" s="3"/>
      <c r="P251" s="3"/>
      <c r="Q251" s="3"/>
      <c r="R251" s="3"/>
      <c r="S251" s="3"/>
      <c r="T251" s="3"/>
      <c r="U251" s="3"/>
      <c r="V251" s="3"/>
      <c r="W251" s="3"/>
      <c r="X251" s="3"/>
      <c r="Y251" s="3"/>
      <c r="Z251" s="3"/>
    </row>
    <row r="252" spans="1:26" ht="15.75" customHeight="1" x14ac:dyDescent="0.25">
      <c r="A252" s="3"/>
      <c r="B252" s="49"/>
      <c r="C252" s="49" t="s">
        <v>470</v>
      </c>
      <c r="D252" s="49" t="s">
        <v>471</v>
      </c>
      <c r="E252" s="49" t="s">
        <v>299</v>
      </c>
      <c r="F252" s="68">
        <v>39785</v>
      </c>
      <c r="G252" s="49" t="s">
        <v>66</v>
      </c>
      <c r="H252" s="49">
        <v>137</v>
      </c>
      <c r="I252" s="49" t="s">
        <v>598</v>
      </c>
      <c r="J252" s="409">
        <f t="shared" ref="J252:J253" si="63">F252*H252/1000</f>
        <v>5450.5450000000001</v>
      </c>
      <c r="K252" s="639">
        <f>J252/J254*K254</f>
        <v>427.42779658087198</v>
      </c>
      <c r="L252" s="413">
        <f>J252/J254*L254</f>
        <v>2.1176908020690319E-2</v>
      </c>
      <c r="M252" s="413">
        <f>J252/J254*M254</f>
        <v>2.1609089817030938E-3</v>
      </c>
      <c r="N252" s="3"/>
      <c r="O252" s="3"/>
      <c r="P252" s="3"/>
      <c r="Q252" s="3"/>
      <c r="R252" s="3"/>
      <c r="S252" s="3"/>
      <c r="T252" s="3"/>
      <c r="U252" s="3"/>
      <c r="V252" s="3"/>
      <c r="W252" s="3"/>
      <c r="X252" s="3"/>
      <c r="Y252" s="3"/>
      <c r="Z252" s="3"/>
    </row>
    <row r="253" spans="1:26" ht="15.75" customHeight="1" x14ac:dyDescent="0.25">
      <c r="A253" s="3"/>
      <c r="B253" s="49"/>
      <c r="C253" s="49"/>
      <c r="D253" s="49"/>
      <c r="E253" s="49" t="s">
        <v>200</v>
      </c>
      <c r="F253" s="68">
        <v>47741</v>
      </c>
      <c r="G253" s="49" t="s">
        <v>66</v>
      </c>
      <c r="H253" s="49">
        <v>150</v>
      </c>
      <c r="I253" s="49" t="s">
        <v>598</v>
      </c>
      <c r="J253" s="409">
        <f t="shared" si="63"/>
        <v>7161.15</v>
      </c>
      <c r="K253" s="639">
        <f>J253/J254*K254</f>
        <v>561.57220341912796</v>
      </c>
      <c r="L253" s="413">
        <f>J253/J254*L254</f>
        <v>2.782309197930968E-2</v>
      </c>
      <c r="M253" s="413">
        <f>J253/J254*M254</f>
        <v>2.8390910182969058E-3</v>
      </c>
      <c r="N253" s="3"/>
      <c r="O253" s="3"/>
      <c r="P253" s="3"/>
      <c r="Q253" s="3"/>
      <c r="R253" s="3"/>
      <c r="S253" s="3"/>
      <c r="T253" s="3"/>
      <c r="U253" s="3"/>
      <c r="V253" s="3"/>
      <c r="W253" s="3"/>
      <c r="X253" s="3"/>
      <c r="Y253" s="3"/>
      <c r="Z253" s="3"/>
    </row>
    <row r="254" spans="1:26" ht="15.75" customHeight="1" x14ac:dyDescent="0.25">
      <c r="A254" s="3"/>
      <c r="B254" s="49"/>
      <c r="C254" s="49"/>
      <c r="D254" s="49"/>
      <c r="E254" s="49"/>
      <c r="F254" s="68"/>
      <c r="G254" s="49"/>
      <c r="H254" s="49"/>
      <c r="I254" s="49"/>
      <c r="J254" s="415">
        <f>SUM(J252:J253)</f>
        <v>12611.695</v>
      </c>
      <c r="K254" s="417">
        <v>989</v>
      </c>
      <c r="L254" s="417">
        <v>4.9000000000000002E-2</v>
      </c>
      <c r="M254" s="417">
        <v>5.0000000000000001E-3</v>
      </c>
      <c r="N254" s="3"/>
      <c r="O254" s="3"/>
      <c r="P254" s="3"/>
      <c r="Q254" s="3"/>
      <c r="R254" s="3"/>
      <c r="S254" s="3"/>
      <c r="T254" s="3"/>
      <c r="U254" s="3"/>
      <c r="V254" s="3"/>
      <c r="W254" s="3"/>
      <c r="X254" s="3"/>
      <c r="Y254" s="3"/>
      <c r="Z254" s="3"/>
    </row>
    <row r="255" spans="1:26" ht="15.75" customHeight="1" x14ac:dyDescent="0.25">
      <c r="A255" s="3"/>
      <c r="B255" s="49"/>
      <c r="C255" s="49"/>
      <c r="D255" s="49"/>
      <c r="E255" s="49"/>
      <c r="F255" s="68"/>
      <c r="G255" s="49"/>
      <c r="H255" s="49"/>
      <c r="I255" s="49"/>
      <c r="J255" s="49"/>
      <c r="K255" s="49"/>
      <c r="L255" s="49"/>
      <c r="M255" s="49"/>
      <c r="N255" s="3"/>
      <c r="O255" s="3"/>
      <c r="P255" s="3"/>
      <c r="Q255" s="3"/>
      <c r="R255" s="3"/>
      <c r="S255" s="3"/>
      <c r="T255" s="3"/>
      <c r="U255" s="3"/>
      <c r="V255" s="3"/>
      <c r="W255" s="3"/>
      <c r="X255" s="3"/>
      <c r="Y255" s="3"/>
      <c r="Z255" s="3"/>
    </row>
    <row r="256" spans="1:26" ht="15.75" customHeight="1" x14ac:dyDescent="0.25">
      <c r="A256" s="3"/>
      <c r="B256" s="49"/>
      <c r="C256" s="49" t="s">
        <v>473</v>
      </c>
      <c r="D256" s="49" t="s">
        <v>474</v>
      </c>
      <c r="E256" s="49" t="s">
        <v>299</v>
      </c>
      <c r="F256" s="68">
        <v>26150</v>
      </c>
      <c r="G256" s="49" t="s">
        <v>66</v>
      </c>
      <c r="H256" s="49">
        <v>137</v>
      </c>
      <c r="I256" s="49" t="s">
        <v>598</v>
      </c>
      <c r="J256" s="409">
        <f t="shared" ref="J256:J257" si="64">F256*H256/1000</f>
        <v>3582.55</v>
      </c>
      <c r="K256" s="639">
        <f>J256/J258*K258</f>
        <v>277.77711438713794</v>
      </c>
      <c r="L256" s="413">
        <f>J256/J258*L258</f>
        <v>1.3581723561544691E-2</v>
      </c>
      <c r="M256" s="413">
        <f>J256/J258*M258</f>
        <v>1.2347021419586083E-3</v>
      </c>
      <c r="N256" s="3"/>
      <c r="O256" s="3"/>
      <c r="P256" s="3"/>
      <c r="Q256" s="3"/>
      <c r="R256" s="3"/>
      <c r="S256" s="3"/>
      <c r="T256" s="3"/>
      <c r="U256" s="3"/>
      <c r="V256" s="3"/>
      <c r="W256" s="3"/>
      <c r="X256" s="3"/>
      <c r="Y256" s="3"/>
      <c r="Z256" s="3"/>
    </row>
    <row r="257" spans="1:26" ht="15.75" customHeight="1" x14ac:dyDescent="0.25">
      <c r="A257" s="3"/>
      <c r="B257" s="49"/>
      <c r="C257" s="49"/>
      <c r="D257" s="49"/>
      <c r="E257" s="49" t="s">
        <v>200</v>
      </c>
      <c r="F257" s="68">
        <v>53491</v>
      </c>
      <c r="G257" s="49" t="s">
        <v>66</v>
      </c>
      <c r="H257" s="49">
        <v>150</v>
      </c>
      <c r="I257" s="49" t="s">
        <v>598</v>
      </c>
      <c r="J257" s="409">
        <f t="shared" si="64"/>
        <v>8023.65</v>
      </c>
      <c r="K257" s="639">
        <f>J257/J258*K258</f>
        <v>622.12288561286198</v>
      </c>
      <c r="L257" s="413">
        <f>J257/J258*L258</f>
        <v>3.0418276438455301E-2</v>
      </c>
      <c r="M257" s="413">
        <f>J257/J258*M258</f>
        <v>2.7652978580413913E-3</v>
      </c>
      <c r="N257" s="3"/>
      <c r="O257" s="3"/>
      <c r="P257" s="3"/>
      <c r="Q257" s="3"/>
      <c r="R257" s="3"/>
      <c r="S257" s="3"/>
      <c r="T257" s="3"/>
      <c r="U257" s="3"/>
      <c r="V257" s="3"/>
      <c r="W257" s="3"/>
      <c r="X257" s="3"/>
      <c r="Y257" s="3"/>
      <c r="Z257" s="3"/>
    </row>
    <row r="258" spans="1:26" ht="15.75" customHeight="1" x14ac:dyDescent="0.25">
      <c r="A258" s="3"/>
      <c r="B258" s="49"/>
      <c r="C258" s="49"/>
      <c r="D258" s="49"/>
      <c r="E258" s="49"/>
      <c r="F258" s="49"/>
      <c r="G258" s="49"/>
      <c r="H258" s="49"/>
      <c r="I258" s="49"/>
      <c r="J258" s="415">
        <f>SUM(J256:J257)</f>
        <v>11606.2</v>
      </c>
      <c r="K258" s="417">
        <v>899.9</v>
      </c>
      <c r="L258" s="417">
        <v>4.3999999999999997E-2</v>
      </c>
      <c r="M258" s="417">
        <v>4.0000000000000001E-3</v>
      </c>
      <c r="N258" s="3"/>
      <c r="O258" s="3"/>
      <c r="P258" s="3"/>
      <c r="Q258" s="3"/>
      <c r="R258" s="3"/>
      <c r="S258" s="3"/>
      <c r="T258" s="3"/>
      <c r="U258" s="3"/>
      <c r="V258" s="3"/>
      <c r="W258" s="3"/>
      <c r="X258" s="3"/>
      <c r="Y258" s="3"/>
      <c r="Z258" s="3"/>
    </row>
    <row r="259" spans="1:26" ht="15.75" customHeight="1" x14ac:dyDescent="0.25">
      <c r="A259" s="3"/>
      <c r="B259" s="420"/>
      <c r="C259" s="420"/>
      <c r="D259" s="420"/>
      <c r="E259" s="420"/>
      <c r="F259" s="420"/>
      <c r="G259" s="420"/>
      <c r="H259" s="420"/>
      <c r="I259" s="420"/>
      <c r="J259" s="420"/>
      <c r="K259" s="420"/>
      <c r="L259" s="420"/>
      <c r="M259" s="420"/>
      <c r="N259" s="3"/>
      <c r="O259" s="3"/>
      <c r="P259" s="3"/>
      <c r="Q259" s="3"/>
      <c r="R259" s="3"/>
      <c r="S259" s="3"/>
      <c r="T259" s="3"/>
      <c r="U259" s="3"/>
      <c r="V259" s="3"/>
      <c r="W259" s="3"/>
      <c r="X259" s="3"/>
      <c r="Y259" s="3"/>
      <c r="Z259" s="3"/>
    </row>
    <row r="260" spans="1:26" ht="15.75" customHeight="1" x14ac:dyDescent="0.25">
      <c r="A260" s="3"/>
      <c r="B260" s="49"/>
      <c r="C260" s="49"/>
      <c r="D260" s="49"/>
      <c r="E260" s="49"/>
      <c r="F260" s="49"/>
      <c r="G260" s="49"/>
      <c r="H260" s="49"/>
      <c r="I260" s="49"/>
      <c r="J260" s="49"/>
      <c r="K260" s="49"/>
      <c r="L260" s="49"/>
      <c r="M260" s="49"/>
      <c r="N260" s="3"/>
      <c r="O260" s="3"/>
      <c r="P260" s="3"/>
      <c r="Q260" s="3"/>
      <c r="R260" s="3"/>
      <c r="S260" s="3"/>
      <c r="T260" s="3"/>
      <c r="U260" s="3"/>
      <c r="V260" s="3"/>
      <c r="W260" s="3"/>
      <c r="X260" s="3"/>
      <c r="Y260" s="3"/>
      <c r="Z260" s="3"/>
    </row>
    <row r="261" spans="1:26" ht="15.75" customHeight="1" x14ac:dyDescent="0.25">
      <c r="A261" s="3"/>
      <c r="B261" s="49" t="s">
        <v>476</v>
      </c>
      <c r="C261" s="61" t="s">
        <v>477</v>
      </c>
      <c r="D261" s="49"/>
      <c r="E261" s="49"/>
      <c r="F261" s="49"/>
      <c r="G261" s="49"/>
      <c r="H261" s="49"/>
      <c r="I261" s="49"/>
      <c r="J261" s="49"/>
      <c r="K261" s="49"/>
      <c r="L261" s="49"/>
      <c r="M261" s="49"/>
      <c r="N261" s="3"/>
      <c r="O261" s="3"/>
      <c r="P261" s="3"/>
      <c r="Q261" s="3"/>
      <c r="R261" s="3"/>
      <c r="S261" s="3"/>
      <c r="T261" s="3"/>
      <c r="U261" s="3"/>
      <c r="V261" s="3"/>
      <c r="W261" s="3"/>
      <c r="X261" s="3"/>
      <c r="Y261" s="3"/>
      <c r="Z261" s="3"/>
    </row>
    <row r="262" spans="1:26" ht="15.75" customHeight="1" x14ac:dyDescent="0.25">
      <c r="A262" s="3"/>
      <c r="B262" s="49"/>
      <c r="C262" s="49"/>
      <c r="D262" s="49"/>
      <c r="E262" s="49"/>
      <c r="F262" s="49"/>
      <c r="G262" s="49"/>
      <c r="H262" s="49"/>
      <c r="I262" s="49"/>
      <c r="J262" s="49"/>
      <c r="K262" s="49"/>
      <c r="L262" s="49"/>
      <c r="M262" s="49"/>
      <c r="N262" s="3"/>
      <c r="O262" s="3"/>
      <c r="P262" s="3"/>
      <c r="Q262" s="3"/>
      <c r="R262" s="3"/>
      <c r="S262" s="3"/>
      <c r="T262" s="3"/>
      <c r="U262" s="3"/>
      <c r="V262" s="3"/>
      <c r="W262" s="3"/>
      <c r="X262" s="3"/>
      <c r="Y262" s="3"/>
      <c r="Z262" s="3"/>
    </row>
    <row r="263" spans="1:26" ht="15.75" customHeight="1" x14ac:dyDescent="0.25">
      <c r="A263" s="3"/>
      <c r="B263" s="49"/>
      <c r="C263" s="49" t="s">
        <v>441</v>
      </c>
      <c r="D263" s="49" t="s">
        <v>478</v>
      </c>
      <c r="E263" s="49" t="s">
        <v>299</v>
      </c>
      <c r="F263" s="68">
        <v>9912</v>
      </c>
      <c r="G263" s="49" t="s">
        <v>66</v>
      </c>
      <c r="H263" s="68">
        <v>140983</v>
      </c>
      <c r="I263" s="49" t="s">
        <v>455</v>
      </c>
      <c r="J263" s="68">
        <f t="shared" ref="J263:J266" si="65">F263*H263/1000000</f>
        <v>1397.4234959999999</v>
      </c>
      <c r="K263" s="49">
        <v>110.02</v>
      </c>
      <c r="L263" s="49">
        <v>0</v>
      </c>
      <c r="M263" s="49">
        <v>0</v>
      </c>
      <c r="N263" s="3"/>
      <c r="O263" s="3"/>
      <c r="P263" s="3"/>
      <c r="Q263" s="3"/>
      <c r="R263" s="3"/>
      <c r="S263" s="3"/>
      <c r="T263" s="3"/>
      <c r="U263" s="3"/>
      <c r="V263" s="3"/>
      <c r="W263" s="3"/>
      <c r="X263" s="3"/>
      <c r="Y263" s="3"/>
      <c r="Z263" s="3"/>
    </row>
    <row r="264" spans="1:26" ht="15.75" customHeight="1" x14ac:dyDescent="0.25">
      <c r="A264" s="3"/>
      <c r="B264" s="49"/>
      <c r="C264" s="49" t="s">
        <v>443</v>
      </c>
      <c r="D264" s="49" t="s">
        <v>479</v>
      </c>
      <c r="E264" s="49" t="s">
        <v>299</v>
      </c>
      <c r="F264" s="68">
        <v>3968</v>
      </c>
      <c r="G264" s="49" t="s">
        <v>66</v>
      </c>
      <c r="H264" s="68">
        <v>140984</v>
      </c>
      <c r="I264" s="49" t="s">
        <v>455</v>
      </c>
      <c r="J264" s="68">
        <f t="shared" si="65"/>
        <v>559.42451200000005</v>
      </c>
      <c r="K264" s="49">
        <v>44.04</v>
      </c>
      <c r="L264" s="49">
        <v>0</v>
      </c>
      <c r="M264" s="49">
        <v>0</v>
      </c>
      <c r="N264" s="3"/>
      <c r="O264" s="3"/>
      <c r="P264" s="3"/>
      <c r="Q264" s="3"/>
      <c r="R264" s="3"/>
      <c r="S264" s="3"/>
      <c r="T264" s="3"/>
      <c r="U264" s="3"/>
      <c r="V264" s="3"/>
      <c r="W264" s="3"/>
      <c r="X264" s="3"/>
      <c r="Y264" s="3"/>
      <c r="Z264" s="3"/>
    </row>
    <row r="265" spans="1:26" ht="15.75" customHeight="1" x14ac:dyDescent="0.25">
      <c r="A265" s="3"/>
      <c r="B265" s="49"/>
      <c r="C265" s="49" t="s">
        <v>426</v>
      </c>
      <c r="D265" s="49" t="s">
        <v>481</v>
      </c>
      <c r="E265" s="49" t="s">
        <v>299</v>
      </c>
      <c r="F265" s="68">
        <v>5238</v>
      </c>
      <c r="G265" s="49" t="s">
        <v>66</v>
      </c>
      <c r="H265" s="68">
        <v>140987</v>
      </c>
      <c r="I265" s="49" t="s">
        <v>455</v>
      </c>
      <c r="J265" s="68">
        <f t="shared" si="65"/>
        <v>738.48990600000002</v>
      </c>
      <c r="K265" s="49">
        <v>58.14</v>
      </c>
      <c r="L265" s="49">
        <v>0</v>
      </c>
      <c r="M265" s="49">
        <v>0</v>
      </c>
      <c r="N265" s="3"/>
      <c r="O265" s="3"/>
      <c r="P265" s="3"/>
      <c r="Q265" s="3"/>
      <c r="R265" s="3"/>
      <c r="S265" s="3"/>
      <c r="T265" s="3"/>
      <c r="U265" s="3"/>
      <c r="V265" s="3"/>
      <c r="W265" s="3"/>
      <c r="X265" s="3"/>
      <c r="Y265" s="3"/>
      <c r="Z265" s="3"/>
    </row>
    <row r="266" spans="1:26" ht="15.75" customHeight="1" x14ac:dyDescent="0.25">
      <c r="A266" s="3"/>
      <c r="B266" s="49"/>
      <c r="C266" s="49" t="s">
        <v>484</v>
      </c>
      <c r="D266" s="49" t="s">
        <v>481</v>
      </c>
      <c r="E266" s="49" t="s">
        <v>299</v>
      </c>
      <c r="F266" s="68">
        <v>5198</v>
      </c>
      <c r="G266" s="49" t="s">
        <v>66</v>
      </c>
      <c r="H266" s="68">
        <v>140987</v>
      </c>
      <c r="I266" s="49" t="s">
        <v>455</v>
      </c>
      <c r="J266" s="68">
        <f t="shared" si="65"/>
        <v>732.85042599999997</v>
      </c>
      <c r="K266" s="49">
        <v>57.7</v>
      </c>
      <c r="L266" s="49">
        <v>0</v>
      </c>
      <c r="M266" s="49">
        <v>0</v>
      </c>
      <c r="N266" s="3"/>
      <c r="O266" s="3"/>
      <c r="P266" s="3"/>
      <c r="Q266" s="3"/>
      <c r="R266" s="3"/>
      <c r="S266" s="3"/>
      <c r="T266" s="3"/>
      <c r="U266" s="3"/>
      <c r="V266" s="3"/>
      <c r="W266" s="3"/>
      <c r="X266" s="3"/>
      <c r="Y266" s="3"/>
      <c r="Z266" s="3"/>
    </row>
    <row r="267" spans="1:26" ht="15.75" customHeight="1" x14ac:dyDescent="0.25">
      <c r="A267" s="3"/>
      <c r="B267" s="420"/>
      <c r="C267" s="420"/>
      <c r="D267" s="420"/>
      <c r="E267" s="420"/>
      <c r="F267" s="420"/>
      <c r="G267" s="420"/>
      <c r="H267" s="420"/>
      <c r="I267" s="420"/>
      <c r="J267" s="420"/>
      <c r="K267" s="420"/>
      <c r="L267" s="420"/>
      <c r="M267" s="420"/>
      <c r="N267" s="3"/>
      <c r="O267" s="3"/>
      <c r="P267" s="3"/>
      <c r="Q267" s="3"/>
      <c r="R267" s="3"/>
      <c r="S267" s="3"/>
      <c r="T267" s="3"/>
      <c r="U267" s="3"/>
      <c r="V267" s="3"/>
      <c r="W267" s="3"/>
      <c r="X267" s="3"/>
      <c r="Y267" s="3"/>
      <c r="Z267" s="3"/>
    </row>
    <row r="268" spans="1:26" ht="15.75" customHeight="1" x14ac:dyDescent="0.25">
      <c r="A268" s="3"/>
      <c r="B268" s="49"/>
      <c r="C268" s="49"/>
      <c r="D268" s="49"/>
      <c r="E268" s="49"/>
      <c r="F268" s="49"/>
      <c r="G268" s="49"/>
      <c r="H268" s="49"/>
      <c r="I268" s="49"/>
      <c r="J268" s="49"/>
      <c r="K268" s="49"/>
      <c r="L268" s="49"/>
      <c r="M268" s="49"/>
      <c r="N268" s="3"/>
      <c r="O268" s="3"/>
      <c r="P268" s="3"/>
      <c r="Q268" s="3"/>
      <c r="R268" s="3"/>
      <c r="S268" s="3"/>
      <c r="T268" s="3"/>
      <c r="U268" s="3"/>
      <c r="V268" s="3"/>
      <c r="W268" s="3"/>
      <c r="X268" s="3"/>
      <c r="Y268" s="3"/>
      <c r="Z268" s="3"/>
    </row>
    <row r="269" spans="1:26" ht="15.75" customHeight="1" x14ac:dyDescent="0.25">
      <c r="A269" s="3"/>
      <c r="B269" s="49" t="s">
        <v>488</v>
      </c>
      <c r="C269" s="61" t="s">
        <v>637</v>
      </c>
      <c r="D269" s="49"/>
      <c r="E269" s="49"/>
      <c r="F269" s="49"/>
      <c r="G269" s="49"/>
      <c r="H269" s="49"/>
      <c r="I269" s="49"/>
      <c r="J269" s="49"/>
      <c r="K269" s="49"/>
      <c r="L269" s="49"/>
      <c r="M269" s="49"/>
      <c r="N269" s="3"/>
      <c r="O269" s="3"/>
      <c r="P269" s="3"/>
      <c r="Q269" s="3"/>
      <c r="R269" s="3"/>
      <c r="S269" s="3"/>
      <c r="T269" s="3"/>
      <c r="U269" s="3"/>
      <c r="V269" s="3"/>
      <c r="W269" s="3"/>
      <c r="X269" s="3"/>
      <c r="Y269" s="3"/>
      <c r="Z269" s="3"/>
    </row>
    <row r="270" spans="1:26" ht="15.75" customHeight="1" x14ac:dyDescent="0.25">
      <c r="A270" s="3"/>
      <c r="B270" s="49"/>
      <c r="C270" s="49" t="s">
        <v>490</v>
      </c>
      <c r="D270" s="49" t="s">
        <v>638</v>
      </c>
      <c r="E270" s="49" t="s">
        <v>299</v>
      </c>
      <c r="F270" s="68">
        <v>10166</v>
      </c>
      <c r="G270" s="49" t="s">
        <v>66</v>
      </c>
      <c r="H270" s="68">
        <v>141494</v>
      </c>
      <c r="I270" s="49" t="s">
        <v>455</v>
      </c>
      <c r="J270" s="68">
        <f t="shared" ref="J270:J273" si="66">F270*H270/1000000</f>
        <v>1438.4280040000001</v>
      </c>
      <c r="K270" s="49">
        <v>115</v>
      </c>
      <c r="L270" s="49">
        <v>6.0000000000000001E-3</v>
      </c>
      <c r="M270" s="49">
        <v>0</v>
      </c>
      <c r="N270" s="3"/>
      <c r="O270" s="3"/>
      <c r="P270" s="3"/>
      <c r="Q270" s="3"/>
      <c r="R270" s="3"/>
      <c r="S270" s="3"/>
      <c r="T270" s="3"/>
      <c r="U270" s="3"/>
      <c r="V270" s="3"/>
      <c r="W270" s="3"/>
      <c r="X270" s="3"/>
      <c r="Y270" s="3"/>
      <c r="Z270" s="3"/>
    </row>
    <row r="271" spans="1:26" ht="15.75" customHeight="1" x14ac:dyDescent="0.25">
      <c r="A271" s="3"/>
      <c r="B271" s="49"/>
      <c r="C271" s="49" t="s">
        <v>492</v>
      </c>
      <c r="D271" s="49" t="s">
        <v>98</v>
      </c>
      <c r="E271" s="49" t="s">
        <v>299</v>
      </c>
      <c r="F271" s="68">
        <v>10078</v>
      </c>
      <c r="G271" s="49" t="s">
        <v>66</v>
      </c>
      <c r="H271" s="68">
        <v>141494</v>
      </c>
      <c r="I271" s="49" t="s">
        <v>455</v>
      </c>
      <c r="J271" s="68">
        <f t="shared" si="66"/>
        <v>1425.9765319999999</v>
      </c>
      <c r="K271" s="49">
        <v>114</v>
      </c>
      <c r="L271" s="49">
        <v>6.0000000000000001E-3</v>
      </c>
      <c r="M271" s="49">
        <v>0</v>
      </c>
      <c r="N271" s="3"/>
      <c r="O271" s="3"/>
      <c r="P271" s="3"/>
      <c r="Q271" s="3"/>
      <c r="R271" s="3"/>
      <c r="S271" s="3"/>
      <c r="T271" s="3"/>
      <c r="U271" s="3"/>
      <c r="V271" s="3"/>
      <c r="W271" s="3"/>
      <c r="X271" s="3"/>
      <c r="Y271" s="3"/>
      <c r="Z271" s="3"/>
    </row>
    <row r="272" spans="1:26" ht="15.75" customHeight="1" x14ac:dyDescent="0.25">
      <c r="A272" s="3"/>
      <c r="B272" s="49"/>
      <c r="C272" s="49" t="s">
        <v>496</v>
      </c>
      <c r="D272" s="49" t="s">
        <v>122</v>
      </c>
      <c r="E272" s="49" t="s">
        <v>299</v>
      </c>
      <c r="F272" s="68">
        <v>10166</v>
      </c>
      <c r="G272" s="49" t="s">
        <v>66</v>
      </c>
      <c r="H272" s="68">
        <v>141494</v>
      </c>
      <c r="I272" s="49" t="s">
        <v>455</v>
      </c>
      <c r="J272" s="68">
        <f t="shared" si="66"/>
        <v>1438.4280040000001</v>
      </c>
      <c r="K272" s="49">
        <v>115</v>
      </c>
      <c r="L272" s="49">
        <v>6.0000000000000001E-3</v>
      </c>
      <c r="M272" s="49">
        <v>0</v>
      </c>
      <c r="N272" s="3"/>
      <c r="O272" s="3"/>
      <c r="P272" s="3"/>
      <c r="Q272" s="3"/>
      <c r="R272" s="3"/>
      <c r="S272" s="3"/>
      <c r="T272" s="3"/>
      <c r="U272" s="3"/>
      <c r="V272" s="3"/>
      <c r="W272" s="3"/>
      <c r="X272" s="3"/>
      <c r="Y272" s="3"/>
      <c r="Z272" s="3"/>
    </row>
    <row r="273" spans="1:26" ht="15.75" customHeight="1" x14ac:dyDescent="0.25">
      <c r="A273" s="3"/>
      <c r="B273" s="49"/>
      <c r="C273" s="49" t="s">
        <v>499</v>
      </c>
      <c r="D273" s="49" t="s">
        <v>209</v>
      </c>
      <c r="E273" s="49" t="s">
        <v>299</v>
      </c>
      <c r="F273" s="68">
        <v>10166</v>
      </c>
      <c r="G273" s="49" t="s">
        <v>66</v>
      </c>
      <c r="H273" s="68">
        <v>141494</v>
      </c>
      <c r="I273" s="49" t="s">
        <v>455</v>
      </c>
      <c r="J273" s="68">
        <f t="shared" si="66"/>
        <v>1438.4280040000001</v>
      </c>
      <c r="K273" s="49">
        <v>115</v>
      </c>
      <c r="L273" s="49">
        <v>6.0000000000000001E-3</v>
      </c>
      <c r="M273" s="49">
        <v>0</v>
      </c>
      <c r="N273" s="3"/>
      <c r="O273" s="3"/>
      <c r="P273" s="3"/>
      <c r="Q273" s="3"/>
      <c r="R273" s="3"/>
      <c r="S273" s="3"/>
      <c r="T273" s="3"/>
      <c r="U273" s="3"/>
      <c r="V273" s="3"/>
      <c r="W273" s="3"/>
      <c r="X273" s="3"/>
      <c r="Y273" s="3"/>
      <c r="Z273" s="3"/>
    </row>
    <row r="274" spans="1:26" ht="15.75" customHeight="1" x14ac:dyDescent="0.25">
      <c r="A274" s="3"/>
      <c r="B274" s="91"/>
      <c r="C274" s="91"/>
      <c r="D274" s="91"/>
      <c r="E274" s="91"/>
      <c r="F274" s="91"/>
      <c r="G274" s="91"/>
      <c r="H274" s="91"/>
      <c r="I274" s="91"/>
      <c r="J274" s="91"/>
      <c r="K274" s="91"/>
      <c r="L274" s="91"/>
      <c r="M274" s="91"/>
      <c r="N274" s="3"/>
      <c r="O274" s="3"/>
      <c r="P274" s="3"/>
      <c r="Q274" s="3"/>
      <c r="R274" s="3"/>
      <c r="S274" s="3"/>
      <c r="T274" s="3"/>
      <c r="U274" s="3"/>
      <c r="V274" s="3"/>
      <c r="W274" s="3"/>
      <c r="X274" s="3"/>
      <c r="Y274" s="3"/>
      <c r="Z274" s="3"/>
    </row>
    <row r="275" spans="1:26" ht="15.75" customHeight="1" x14ac:dyDescent="0.25">
      <c r="A275" s="3"/>
      <c r="B275" s="49"/>
      <c r="C275" s="49"/>
      <c r="D275" s="49"/>
      <c r="E275" s="49"/>
      <c r="F275" s="49"/>
      <c r="G275" s="49"/>
      <c r="H275" s="49"/>
      <c r="I275" s="49"/>
      <c r="J275" s="49"/>
      <c r="K275" s="49"/>
      <c r="L275" s="49"/>
      <c r="M275" s="49"/>
      <c r="N275" s="3"/>
      <c r="O275" s="3"/>
      <c r="P275" s="3"/>
      <c r="Q275" s="3"/>
      <c r="R275" s="3"/>
      <c r="S275" s="3"/>
      <c r="T275" s="3"/>
      <c r="U275" s="3"/>
      <c r="V275" s="3"/>
      <c r="W275" s="3"/>
      <c r="X275" s="3"/>
      <c r="Y275" s="3"/>
      <c r="Z275" s="3"/>
    </row>
    <row r="276" spans="1:26" ht="15.75" customHeight="1" x14ac:dyDescent="0.25">
      <c r="A276" s="3"/>
      <c r="B276" s="49" t="s">
        <v>503</v>
      </c>
      <c r="C276" s="61" t="s">
        <v>504</v>
      </c>
      <c r="D276" s="49"/>
      <c r="E276" s="49"/>
      <c r="F276" s="49"/>
      <c r="G276" s="49"/>
      <c r="H276" s="49"/>
      <c r="I276" s="49"/>
      <c r="J276" s="49"/>
      <c r="K276" s="49"/>
      <c r="L276" s="49"/>
      <c r="M276" s="49"/>
      <c r="N276" s="3"/>
      <c r="O276" s="3"/>
      <c r="P276" s="3"/>
      <c r="Q276" s="3"/>
      <c r="R276" s="3"/>
      <c r="S276" s="3"/>
      <c r="T276" s="3"/>
      <c r="U276" s="3"/>
      <c r="V276" s="3"/>
      <c r="W276" s="3"/>
      <c r="X276" s="3"/>
      <c r="Y276" s="3"/>
      <c r="Z276" s="3"/>
    </row>
    <row r="277" spans="1:26" ht="15.75" customHeight="1" x14ac:dyDescent="0.25">
      <c r="A277" s="3"/>
      <c r="B277" s="49"/>
      <c r="C277" s="49" t="s">
        <v>505</v>
      </c>
      <c r="D277" s="49" t="s">
        <v>639</v>
      </c>
      <c r="E277" s="49" t="s">
        <v>299</v>
      </c>
      <c r="F277" s="68">
        <v>15847</v>
      </c>
      <c r="G277" s="49" t="s">
        <v>66</v>
      </c>
      <c r="H277" s="68">
        <v>137030</v>
      </c>
      <c r="I277" s="49" t="s">
        <v>455</v>
      </c>
      <c r="J277" s="68">
        <f t="shared" ref="J277:J283" si="67">F277*H277/1000000</f>
        <v>2171.5144100000002</v>
      </c>
      <c r="K277" s="49">
        <v>177.04</v>
      </c>
      <c r="L277" s="49">
        <v>0.01</v>
      </c>
      <c r="M277" s="49">
        <v>0</v>
      </c>
      <c r="N277" s="3"/>
      <c r="O277" s="3"/>
      <c r="P277" s="3"/>
      <c r="Q277" s="3"/>
      <c r="R277" s="3"/>
      <c r="S277" s="3"/>
      <c r="T277" s="3"/>
      <c r="U277" s="3"/>
      <c r="V277" s="3"/>
      <c r="W277" s="3"/>
      <c r="X277" s="3"/>
      <c r="Y277" s="3"/>
      <c r="Z277" s="3"/>
    </row>
    <row r="278" spans="1:26" ht="15.75" customHeight="1" x14ac:dyDescent="0.25">
      <c r="A278" s="3"/>
      <c r="B278" s="49"/>
      <c r="C278" s="49" t="s">
        <v>508</v>
      </c>
      <c r="D278" s="49" t="s">
        <v>640</v>
      </c>
      <c r="E278" s="49" t="s">
        <v>299</v>
      </c>
      <c r="F278" s="68">
        <v>6259</v>
      </c>
      <c r="G278" s="49" t="s">
        <v>66</v>
      </c>
      <c r="H278" s="68">
        <v>137030</v>
      </c>
      <c r="I278" s="49" t="s">
        <v>455</v>
      </c>
      <c r="J278" s="68">
        <f t="shared" si="67"/>
        <v>857.67076999999995</v>
      </c>
      <c r="K278" s="49">
        <v>69.92</v>
      </c>
      <c r="L278" s="49">
        <v>0</v>
      </c>
      <c r="M278" s="49">
        <v>0</v>
      </c>
      <c r="N278" s="3"/>
      <c r="O278" s="3"/>
      <c r="P278" s="3"/>
      <c r="Q278" s="3"/>
      <c r="R278" s="3"/>
      <c r="S278" s="3"/>
      <c r="T278" s="3"/>
      <c r="U278" s="3"/>
      <c r="V278" s="3"/>
      <c r="W278" s="3"/>
      <c r="X278" s="3"/>
      <c r="Y278" s="3"/>
      <c r="Z278" s="3"/>
    </row>
    <row r="279" spans="1:26" ht="15.75" customHeight="1" x14ac:dyDescent="0.25">
      <c r="A279" s="3"/>
      <c r="B279" s="49"/>
      <c r="C279" s="49" t="s">
        <v>302</v>
      </c>
      <c r="D279" s="49" t="s">
        <v>641</v>
      </c>
      <c r="E279" s="49" t="s">
        <v>299</v>
      </c>
      <c r="F279" s="68">
        <v>6276</v>
      </c>
      <c r="G279" s="49" t="s">
        <v>66</v>
      </c>
      <c r="H279" s="68">
        <v>137030</v>
      </c>
      <c r="I279" s="49" t="s">
        <v>455</v>
      </c>
      <c r="J279" s="68">
        <f t="shared" si="67"/>
        <v>860.00027999999998</v>
      </c>
      <c r="K279" s="49">
        <v>70.11</v>
      </c>
      <c r="L279" s="49">
        <v>0</v>
      </c>
      <c r="M279" s="49">
        <v>0</v>
      </c>
      <c r="N279" s="3"/>
      <c r="O279" s="3"/>
      <c r="P279" s="3"/>
      <c r="Q279" s="3"/>
      <c r="R279" s="3"/>
      <c r="S279" s="3"/>
      <c r="T279" s="3"/>
      <c r="U279" s="3"/>
      <c r="V279" s="3"/>
      <c r="W279" s="3"/>
      <c r="X279" s="3"/>
      <c r="Y279" s="3"/>
      <c r="Z279" s="3"/>
    </row>
    <row r="280" spans="1:26" ht="15.75" customHeight="1" x14ac:dyDescent="0.25">
      <c r="A280" s="3"/>
      <c r="B280" s="49"/>
      <c r="C280" s="49" t="s">
        <v>511</v>
      </c>
      <c r="D280" s="49" t="s">
        <v>642</v>
      </c>
      <c r="E280" s="49" t="s">
        <v>299</v>
      </c>
      <c r="F280" s="68">
        <v>15948</v>
      </c>
      <c r="G280" s="49" t="s">
        <v>66</v>
      </c>
      <c r="H280" s="68">
        <v>137030</v>
      </c>
      <c r="I280" s="49" t="s">
        <v>455</v>
      </c>
      <c r="J280" s="68">
        <f t="shared" si="67"/>
        <v>2185.3544400000001</v>
      </c>
      <c r="K280" s="49">
        <v>178.17</v>
      </c>
      <c r="L280" s="49">
        <v>0.01</v>
      </c>
      <c r="M280" s="49">
        <v>0</v>
      </c>
      <c r="N280" s="3"/>
      <c r="O280" s="3"/>
      <c r="P280" s="3"/>
      <c r="Q280" s="3"/>
      <c r="R280" s="3"/>
      <c r="S280" s="3"/>
      <c r="T280" s="3"/>
      <c r="U280" s="3"/>
      <c r="V280" s="3"/>
      <c r="W280" s="3"/>
      <c r="X280" s="3"/>
      <c r="Y280" s="3"/>
      <c r="Z280" s="3"/>
    </row>
    <row r="281" spans="1:26" ht="15.75" customHeight="1" x14ac:dyDescent="0.25">
      <c r="A281" s="3"/>
      <c r="B281" s="49"/>
      <c r="C281" s="49" t="s">
        <v>643</v>
      </c>
      <c r="D281" s="49" t="s">
        <v>644</v>
      </c>
      <c r="E281" s="49" t="s">
        <v>299</v>
      </c>
      <c r="F281" s="68">
        <v>14378</v>
      </c>
      <c r="G281" s="49" t="s">
        <v>66</v>
      </c>
      <c r="H281" s="68">
        <v>137030</v>
      </c>
      <c r="I281" s="49" t="s">
        <v>455</v>
      </c>
      <c r="J281" s="68">
        <f t="shared" si="67"/>
        <v>1970.2173399999999</v>
      </c>
      <c r="K281" s="49">
        <v>160.63</v>
      </c>
      <c r="L281" s="49">
        <v>0.01</v>
      </c>
      <c r="M281" s="49">
        <v>0</v>
      </c>
      <c r="N281" s="3"/>
      <c r="O281" s="3"/>
      <c r="P281" s="3"/>
      <c r="Q281" s="3"/>
      <c r="R281" s="3"/>
      <c r="S281" s="3"/>
      <c r="T281" s="3"/>
      <c r="U281" s="3"/>
      <c r="V281" s="3"/>
      <c r="W281" s="3"/>
      <c r="X281" s="3"/>
      <c r="Y281" s="3"/>
      <c r="Z281" s="3"/>
    </row>
    <row r="282" spans="1:26" ht="15.75" customHeight="1" x14ac:dyDescent="0.25">
      <c r="A282" s="3"/>
      <c r="B282" s="49"/>
      <c r="C282" s="49" t="s">
        <v>517</v>
      </c>
      <c r="D282" s="49" t="s">
        <v>645</v>
      </c>
      <c r="E282" s="49" t="s">
        <v>299</v>
      </c>
      <c r="F282" s="68">
        <v>12064</v>
      </c>
      <c r="G282" s="49" t="s">
        <v>66</v>
      </c>
      <c r="H282" s="68">
        <v>137030</v>
      </c>
      <c r="I282" s="49" t="s">
        <v>455</v>
      </c>
      <c r="J282" s="68">
        <f t="shared" si="67"/>
        <v>1653.1299200000001</v>
      </c>
      <c r="K282" s="49">
        <v>134.77000000000001</v>
      </c>
      <c r="L282" s="49">
        <v>0.01</v>
      </c>
      <c r="M282" s="49">
        <v>0</v>
      </c>
      <c r="N282" s="3"/>
      <c r="O282" s="3"/>
      <c r="P282" s="3"/>
      <c r="Q282" s="3"/>
      <c r="R282" s="3"/>
      <c r="S282" s="3"/>
      <c r="T282" s="3"/>
      <c r="U282" s="3"/>
      <c r="V282" s="3"/>
      <c r="W282" s="3"/>
      <c r="X282" s="3"/>
      <c r="Y282" s="3"/>
      <c r="Z282" s="3"/>
    </row>
    <row r="283" spans="1:26" ht="15.75" customHeight="1" x14ac:dyDescent="0.25">
      <c r="A283" s="3"/>
      <c r="B283" s="49"/>
      <c r="C283" s="49" t="s">
        <v>520</v>
      </c>
      <c r="D283" s="49" t="s">
        <v>646</v>
      </c>
      <c r="E283" s="49" t="s">
        <v>299</v>
      </c>
      <c r="F283" s="68">
        <v>6840</v>
      </c>
      <c r="G283" s="49" t="s">
        <v>66</v>
      </c>
      <c r="H283" s="68">
        <v>137030</v>
      </c>
      <c r="I283" s="49" t="s">
        <v>455</v>
      </c>
      <c r="J283" s="68">
        <f t="shared" si="67"/>
        <v>937.28520000000003</v>
      </c>
      <c r="K283" s="49">
        <v>76.41</v>
      </c>
      <c r="L283" s="49">
        <v>0</v>
      </c>
      <c r="M283" s="49">
        <v>0</v>
      </c>
      <c r="N283" s="3"/>
      <c r="O283" s="3"/>
      <c r="P283" s="3"/>
      <c r="Q283" s="3"/>
      <c r="R283" s="3"/>
      <c r="S283" s="3"/>
      <c r="T283" s="3"/>
      <c r="U283" s="3"/>
      <c r="V283" s="3"/>
      <c r="W283" s="3"/>
      <c r="X283" s="3"/>
      <c r="Y283" s="3"/>
      <c r="Z283" s="3"/>
    </row>
    <row r="284" spans="1:26" ht="15.75" customHeight="1" x14ac:dyDescent="0.25">
      <c r="A284" s="3"/>
      <c r="B284" s="91"/>
      <c r="C284" s="91"/>
      <c r="D284" s="91"/>
      <c r="E284" s="91"/>
      <c r="F284" s="91"/>
      <c r="G284" s="91"/>
      <c r="H284" s="91"/>
      <c r="I284" s="91"/>
      <c r="J284" s="91"/>
      <c r="K284" s="91"/>
      <c r="L284" s="91"/>
      <c r="M284" s="91"/>
      <c r="N284" s="3"/>
      <c r="O284" s="3"/>
      <c r="P284" s="3"/>
      <c r="Q284" s="3"/>
      <c r="R284" s="3"/>
      <c r="S284" s="3"/>
      <c r="T284" s="3"/>
      <c r="U284" s="3"/>
      <c r="V284" s="3"/>
      <c r="W284" s="3"/>
      <c r="X284" s="3"/>
      <c r="Y284" s="3"/>
      <c r="Z284" s="3"/>
    </row>
    <row r="285" spans="1:26" ht="15.75" customHeight="1" x14ac:dyDescent="0.25">
      <c r="A285" s="3"/>
      <c r="B285" s="49"/>
      <c r="C285" s="49"/>
      <c r="D285" s="49"/>
      <c r="E285" s="49"/>
      <c r="F285" s="49"/>
      <c r="G285" s="49"/>
      <c r="H285" s="49"/>
      <c r="I285" s="49"/>
      <c r="J285" s="49"/>
      <c r="K285" s="49"/>
      <c r="L285" s="49"/>
      <c r="M285" s="49"/>
      <c r="N285" s="3"/>
      <c r="O285" s="3"/>
      <c r="P285" s="3"/>
      <c r="Q285" s="3"/>
      <c r="R285" s="3"/>
      <c r="S285" s="3"/>
      <c r="T285" s="3"/>
      <c r="U285" s="3"/>
      <c r="V285" s="3"/>
      <c r="W285" s="3"/>
      <c r="X285" s="3"/>
      <c r="Y285" s="3"/>
      <c r="Z285" s="3"/>
    </row>
    <row r="286" spans="1:26" ht="15.75" customHeight="1" x14ac:dyDescent="0.25">
      <c r="A286" s="3"/>
      <c r="B286" s="49" t="s">
        <v>647</v>
      </c>
      <c r="C286" s="49" t="s">
        <v>648</v>
      </c>
      <c r="D286" s="49"/>
      <c r="E286" s="49" t="s">
        <v>649</v>
      </c>
      <c r="F286" s="68">
        <v>1000</v>
      </c>
      <c r="G286" s="49" t="s">
        <v>66</v>
      </c>
      <c r="H286" s="68">
        <v>91333</v>
      </c>
      <c r="I286" s="49" t="s">
        <v>455</v>
      </c>
      <c r="J286" s="68">
        <f>F286*H286/1000000</f>
        <v>91.332999999999998</v>
      </c>
      <c r="K286" s="49">
        <v>6.2</v>
      </c>
      <c r="L286" s="49">
        <v>0</v>
      </c>
      <c r="M286" s="49">
        <v>0</v>
      </c>
      <c r="N286" s="3"/>
      <c r="O286" s="3"/>
      <c r="P286" s="3"/>
      <c r="Q286" s="3"/>
      <c r="R286" s="3"/>
      <c r="S286" s="3"/>
      <c r="T286" s="3"/>
      <c r="U286" s="3"/>
      <c r="V286" s="3"/>
      <c r="W286" s="3"/>
      <c r="X286" s="3"/>
      <c r="Y286" s="3"/>
      <c r="Z286" s="3"/>
    </row>
    <row r="287" spans="1:26" ht="15.75" customHeight="1" x14ac:dyDescent="0.25">
      <c r="A287" s="3"/>
      <c r="B287" s="49"/>
      <c r="C287" s="49"/>
      <c r="D287" s="49"/>
      <c r="E287" s="49"/>
      <c r="F287" s="49"/>
      <c r="G287" s="49"/>
      <c r="H287" s="49"/>
      <c r="I287" s="49"/>
      <c r="J287" s="49"/>
      <c r="K287" s="49"/>
      <c r="L287" s="49"/>
      <c r="M287" s="49"/>
      <c r="N287" s="3"/>
      <c r="O287" s="3"/>
      <c r="P287" s="3"/>
      <c r="Q287" s="3"/>
      <c r="R287" s="3"/>
      <c r="S287" s="3"/>
      <c r="T287" s="3"/>
      <c r="U287" s="3"/>
      <c r="V287" s="3"/>
      <c r="W287" s="3"/>
      <c r="X287" s="3"/>
      <c r="Y287" s="3"/>
      <c r="Z287" s="3"/>
    </row>
    <row r="288" spans="1:26" ht="15.75" customHeight="1" x14ac:dyDescent="0.25">
      <c r="A288" s="3"/>
      <c r="B288" s="49" t="s">
        <v>650</v>
      </c>
      <c r="C288" s="49" t="s">
        <v>651</v>
      </c>
      <c r="D288" s="49"/>
      <c r="E288" s="49"/>
      <c r="F288" s="49"/>
      <c r="G288" s="49"/>
      <c r="H288" s="49"/>
      <c r="I288" s="49"/>
      <c r="J288" s="49"/>
      <c r="K288" s="49"/>
      <c r="L288" s="49"/>
      <c r="M288" s="49"/>
      <c r="N288" s="3"/>
      <c r="O288" s="3"/>
      <c r="P288" s="3"/>
      <c r="Q288" s="3"/>
      <c r="R288" s="3"/>
      <c r="S288" s="3"/>
      <c r="T288" s="3"/>
      <c r="U288" s="3"/>
      <c r="V288" s="3"/>
      <c r="W288" s="3"/>
      <c r="X288" s="3"/>
      <c r="Y288" s="3"/>
      <c r="Z288" s="3"/>
    </row>
    <row r="289" spans="1:26" ht="15.75" customHeight="1" x14ac:dyDescent="0.25">
      <c r="A289" s="3"/>
      <c r="B289" s="49"/>
      <c r="C289" s="49" t="s">
        <v>652</v>
      </c>
      <c r="D289" s="49" t="s">
        <v>653</v>
      </c>
      <c r="E289" s="49" t="s">
        <v>189</v>
      </c>
      <c r="F289" s="68">
        <v>313000000</v>
      </c>
      <c r="G289" s="49" t="s">
        <v>79</v>
      </c>
      <c r="H289" s="49">
        <v>1027</v>
      </c>
      <c r="I289" s="49" t="s">
        <v>498</v>
      </c>
      <c r="J289" s="409">
        <f>F289*H289/1000000</f>
        <v>321451</v>
      </c>
      <c r="K289" s="68">
        <v>18499</v>
      </c>
      <c r="L289" s="49">
        <v>0</v>
      </c>
      <c r="M289" s="49">
        <v>0</v>
      </c>
      <c r="N289" s="3"/>
      <c r="O289" s="3"/>
      <c r="P289" s="3"/>
      <c r="Q289" s="3"/>
      <c r="R289" s="3"/>
      <c r="S289" s="3"/>
      <c r="T289" s="3"/>
      <c r="U289" s="3"/>
      <c r="V289" s="3"/>
      <c r="W289" s="3"/>
      <c r="X289" s="3"/>
      <c r="Y289" s="3"/>
      <c r="Z289" s="3"/>
    </row>
    <row r="290" spans="1:26" ht="15.75" customHeight="1" x14ac:dyDescent="0.25">
      <c r="A290" s="3"/>
      <c r="B290" s="692"/>
      <c r="C290" s="692"/>
      <c r="D290" s="692"/>
      <c r="E290" s="692"/>
      <c r="F290" s="692"/>
      <c r="G290" s="692"/>
      <c r="H290" s="692"/>
      <c r="I290" s="692"/>
      <c r="J290" s="692"/>
      <c r="K290" s="692"/>
      <c r="L290" s="692"/>
      <c r="M290" s="692"/>
      <c r="N290" s="3"/>
      <c r="O290" s="3"/>
      <c r="P290" s="3"/>
      <c r="Q290" s="3"/>
      <c r="R290" s="3"/>
      <c r="S290" s="3"/>
      <c r="T290" s="3"/>
      <c r="U290" s="3"/>
      <c r="V290" s="3"/>
      <c r="W290" s="3"/>
      <c r="X290" s="3"/>
      <c r="Y290" s="3"/>
      <c r="Z290" s="3"/>
    </row>
    <row r="291" spans="1:26" ht="15.75" customHeight="1"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ht="15.75" customHeight="1"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ht="15.75" customHeight="1"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ht="15.75" customHeight="1"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ht="15.75" customHeight="1"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ht="15.75" customHeight="1"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ht="15.75" customHeight="1"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ht="15.75" customHeight="1"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ht="15.75" customHeight="1"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ht="15.75" customHeight="1"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ht="15.75" customHeight="1"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ht="15.75" customHeight="1"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ht="15.75" customHeight="1"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ht="15.75" customHeight="1"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ht="15.75" customHeight="1"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ht="15.75" customHeight="1"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ht="15.75" customHeight="1"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ht="15.75" customHeight="1"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ht="15.75" customHeight="1"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ht="15.75" customHeight="1"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ht="15.75" customHeight="1"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ht="15.75" customHeight="1"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ht="15.75" customHeight="1"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ht="15.75" customHeight="1"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ht="15.75" customHeight="1"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ht="15.75" customHeight="1"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ht="15.75" customHeight="1"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ht="15.75" customHeight="1"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ht="15.75" customHeight="1"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ht="15.75" customHeight="1"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ht="15.75" customHeight="1"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ht="15.75" customHeight="1"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ht="15.75" customHeight="1"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ht="15.75" customHeight="1"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ht="15.75" customHeight="1"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ht="15.75" customHeight="1"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ht="15.75" customHeight="1"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ht="15.75" customHeight="1"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ht="15.75" customHeight="1"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ht="15.75" customHeight="1"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ht="15.75" customHeight="1"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ht="15.75" customHeight="1"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ht="15.75" customHeight="1"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ht="15.75" customHeight="1"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ht="15.75" customHeight="1"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ht="15.75" customHeight="1"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ht="15.75" customHeight="1"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ht="15.75" customHeight="1"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ht="15.75" customHeight="1"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ht="15.75" customHeight="1"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ht="15.75" customHeight="1"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ht="15.75" customHeight="1"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ht="15.75" customHeight="1"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ht="15.75" customHeight="1"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ht="15.75" customHeight="1"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ht="15.75" customHeight="1"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ht="15.75" customHeight="1"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ht="15.75" customHeight="1"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ht="15.75" customHeight="1"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ht="15.75" customHeight="1"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ht="15.75" customHeight="1"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ht="15.75" customHeight="1"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ht="15.75" customHeight="1"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ht="15.75" customHeight="1"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ht="15.75" customHeight="1"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ht="15.75" customHeight="1"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ht="15.75" customHeight="1"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ht="15.75" customHeight="1"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ht="15.75" customHeight="1"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ht="15.75" customHeight="1"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ht="15.75" customHeight="1"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ht="15.75" customHeight="1"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ht="15.75" customHeight="1"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ht="15.75" customHeight="1"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ht="15.75" customHeight="1"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ht="15.75" customHeight="1"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ht="15.75" customHeight="1"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ht="15.75" customHeight="1"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ht="15.75" customHeight="1"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ht="15.75" customHeight="1"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ht="15.75" customHeight="1"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ht="15.75" customHeight="1"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ht="15.75" customHeight="1"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ht="15.75" customHeight="1"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ht="15.75" customHeight="1"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ht="15.75" customHeight="1"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ht="15.75" customHeight="1"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ht="15.75" customHeight="1"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ht="15.75" customHeight="1"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ht="15.75" customHeight="1"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ht="15.75" customHeight="1"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ht="15.75" customHeight="1"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ht="15.75" customHeight="1"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ht="15.75" customHeight="1"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ht="15.75" customHeight="1"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ht="15.75" customHeight="1"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ht="15.75" customHeight="1"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ht="15.75" customHeight="1"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ht="15.75" customHeight="1"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ht="15.75" customHeight="1"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ht="15.75" customHeight="1"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ht="15.75" customHeight="1"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ht="15.75" customHeight="1"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ht="15.75" customHeight="1"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ht="15.75" customHeight="1"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ht="15.75" customHeight="1"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ht="15.75" customHeight="1"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ht="15.75" customHeight="1"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ht="15.75" customHeight="1"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ht="15.75" customHeight="1"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ht="15.75" customHeight="1"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ht="15.75" customHeight="1"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ht="15.75" customHeight="1"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ht="15.75" customHeight="1"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ht="15.75" customHeight="1"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ht="15.75" customHeight="1"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ht="15.75" customHeight="1"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ht="15.75" customHeight="1"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ht="15.75" customHeight="1"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ht="15.75" customHeight="1"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ht="15.75" customHeight="1"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ht="15.75" customHeight="1"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ht="15.75" customHeight="1"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ht="15.75" customHeight="1"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ht="15.75" customHeight="1"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ht="15.75" customHeight="1"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ht="15.75" customHeight="1"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ht="15.75" customHeight="1"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ht="15.75" customHeight="1"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ht="15.75" customHeight="1"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ht="15.75" customHeight="1"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ht="15.75" customHeight="1"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ht="15.75" customHeight="1"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ht="15.75" customHeight="1"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ht="15.75" customHeight="1"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ht="15.75" customHeight="1"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ht="15.75" customHeight="1"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ht="15.75" customHeight="1"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ht="15.75" customHeight="1"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ht="15.75" customHeight="1"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ht="15.75" customHeight="1"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ht="15.75" customHeight="1"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ht="15.75" customHeight="1"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ht="15.75" customHeight="1"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ht="15.75" customHeight="1"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ht="15.75" customHeight="1"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ht="15.75" customHeight="1"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ht="15.75" customHeight="1"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ht="15.75" customHeight="1"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ht="15.75" customHeight="1"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ht="15.75" customHeight="1"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ht="15.75" customHeight="1"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ht="15.75" customHeight="1"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ht="15.75" customHeight="1"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ht="15.75" customHeight="1"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ht="15.75" customHeight="1"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ht="15.75" customHeight="1"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ht="15.75" customHeight="1"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ht="15.75" customHeight="1"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ht="15.75" customHeight="1"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ht="15.75" customHeight="1"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ht="15.75" customHeight="1" x14ac:dyDescent="0.2"/>
    <row r="491" spans="1:26" ht="15.75" customHeight="1" x14ac:dyDescent="0.2"/>
    <row r="492" spans="1:26" ht="15.75" customHeight="1" x14ac:dyDescent="0.2"/>
    <row r="493" spans="1:26" ht="15.75" customHeight="1" x14ac:dyDescent="0.2"/>
    <row r="494" spans="1:26" ht="15.75" customHeight="1" x14ac:dyDescent="0.2"/>
    <row r="495" spans="1:26" ht="15.75" customHeight="1" x14ac:dyDescent="0.2"/>
    <row r="496" spans="1:2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defaultColWidth="16.83203125" defaultRowHeight="15" customHeight="1" x14ac:dyDescent="0.2"/>
  <cols>
    <col min="1" max="1" width="3.1640625" customWidth="1"/>
    <col min="2" max="2" width="4.83203125" customWidth="1"/>
    <col min="3" max="3" width="15.6640625" customWidth="1"/>
    <col min="4" max="4" width="37.6640625" customWidth="1"/>
    <col min="5" max="7" width="15.33203125" customWidth="1"/>
    <col min="8" max="8" width="12" customWidth="1"/>
    <col min="9" max="9" width="14.6640625" customWidth="1"/>
    <col min="10" max="11" width="9.33203125" customWidth="1"/>
    <col min="12" max="26" width="8" customWidth="1"/>
  </cols>
  <sheetData>
    <row r="1" spans="1:26" x14ac:dyDescent="0.25">
      <c r="A1" s="3"/>
      <c r="B1" s="3"/>
      <c r="C1" s="3"/>
      <c r="D1" s="3"/>
      <c r="E1" s="3"/>
      <c r="F1" s="3"/>
      <c r="G1" s="3"/>
      <c r="H1" s="3"/>
      <c r="I1" s="3"/>
      <c r="J1" s="3"/>
      <c r="K1" s="3"/>
      <c r="L1" s="3"/>
      <c r="M1" s="3"/>
      <c r="N1" s="3"/>
      <c r="O1" s="3"/>
      <c r="P1" s="3"/>
      <c r="Q1" s="3"/>
      <c r="R1" s="3"/>
      <c r="S1" s="3"/>
      <c r="T1" s="3"/>
      <c r="U1" s="3"/>
      <c r="V1" s="3"/>
      <c r="W1" s="3"/>
      <c r="X1" s="3"/>
      <c r="Y1" s="3"/>
      <c r="Z1" s="3"/>
    </row>
    <row r="2" spans="1:26" x14ac:dyDescent="0.25">
      <c r="A2" s="3"/>
      <c r="B2" s="3"/>
      <c r="C2" s="3"/>
      <c r="D2" s="10" t="s">
        <v>4</v>
      </c>
      <c r="E2" s="3"/>
      <c r="F2" s="3"/>
      <c r="G2" s="3"/>
      <c r="H2" s="13"/>
      <c r="I2" s="13"/>
      <c r="J2" s="3"/>
      <c r="K2" s="3"/>
      <c r="L2" s="3"/>
      <c r="M2" s="3"/>
      <c r="N2" s="3"/>
      <c r="O2" s="3"/>
      <c r="P2" s="3"/>
      <c r="Q2" s="3"/>
      <c r="R2" s="3"/>
      <c r="S2" s="3"/>
      <c r="T2" s="3"/>
      <c r="U2" s="3"/>
      <c r="V2" s="3"/>
      <c r="W2" s="3"/>
      <c r="X2" s="3"/>
      <c r="Y2" s="3"/>
      <c r="Z2" s="3"/>
    </row>
    <row r="3" spans="1:26" x14ac:dyDescent="0.25">
      <c r="A3" s="3"/>
      <c r="B3" s="3"/>
      <c r="C3" s="3"/>
      <c r="D3" s="3"/>
      <c r="E3" s="3"/>
      <c r="F3" s="3"/>
      <c r="G3" s="3"/>
      <c r="H3" s="13"/>
      <c r="I3" s="13"/>
      <c r="J3" s="3"/>
      <c r="K3" s="3"/>
      <c r="L3" s="3"/>
      <c r="M3" s="3"/>
      <c r="N3" s="3"/>
      <c r="O3" s="3"/>
      <c r="P3" s="3"/>
      <c r="Q3" s="3"/>
      <c r="R3" s="3"/>
      <c r="S3" s="3"/>
      <c r="T3" s="3"/>
      <c r="U3" s="3"/>
      <c r="V3" s="3"/>
      <c r="W3" s="3"/>
      <c r="X3" s="3"/>
      <c r="Y3" s="3"/>
      <c r="Z3" s="3"/>
    </row>
    <row r="4" spans="1:26" x14ac:dyDescent="0.25">
      <c r="A4" s="3"/>
      <c r="B4" s="3"/>
      <c r="C4" s="17"/>
      <c r="D4" s="19"/>
      <c r="E4" s="2314">
        <v>2011</v>
      </c>
      <c r="F4" s="2315"/>
      <c r="G4" s="2309"/>
      <c r="H4" s="24"/>
      <c r="I4" s="26" t="s">
        <v>19</v>
      </c>
      <c r="J4" s="3"/>
      <c r="K4" s="3"/>
      <c r="L4" s="3"/>
      <c r="M4" s="3"/>
      <c r="N4" s="3"/>
      <c r="O4" s="3"/>
      <c r="P4" s="3"/>
      <c r="Q4" s="3"/>
      <c r="R4" s="3"/>
      <c r="S4" s="3"/>
      <c r="T4" s="3"/>
      <c r="U4" s="3"/>
      <c r="V4" s="3"/>
      <c r="W4" s="3"/>
      <c r="X4" s="3"/>
      <c r="Y4" s="3"/>
      <c r="Z4" s="3"/>
    </row>
    <row r="5" spans="1:26" x14ac:dyDescent="0.25">
      <c r="A5" s="3"/>
      <c r="B5" s="3"/>
      <c r="C5" s="28"/>
      <c r="D5" s="30"/>
      <c r="E5" s="36" t="s">
        <v>29</v>
      </c>
      <c r="F5" s="36" t="s">
        <v>32</v>
      </c>
      <c r="G5" s="36" t="s">
        <v>33</v>
      </c>
      <c r="H5" s="36" t="s">
        <v>34</v>
      </c>
      <c r="I5" s="36" t="s">
        <v>35</v>
      </c>
      <c r="J5" s="3"/>
      <c r="K5" s="3"/>
      <c r="L5" s="3"/>
      <c r="M5" s="3"/>
      <c r="N5" s="3"/>
      <c r="O5" s="3"/>
      <c r="P5" s="3"/>
      <c r="Q5" s="3"/>
      <c r="R5" s="3"/>
      <c r="S5" s="3"/>
      <c r="T5" s="3"/>
      <c r="U5" s="3"/>
      <c r="V5" s="3"/>
      <c r="W5" s="3"/>
      <c r="X5" s="3"/>
      <c r="Y5" s="3"/>
      <c r="Z5" s="3"/>
    </row>
    <row r="6" spans="1:26" x14ac:dyDescent="0.25">
      <c r="A6" s="3"/>
      <c r="B6" s="3"/>
      <c r="C6" s="26"/>
      <c r="D6" s="24"/>
      <c r="E6" s="42" t="s">
        <v>37</v>
      </c>
      <c r="F6" s="42" t="s">
        <v>40</v>
      </c>
      <c r="G6" s="42" t="s">
        <v>41</v>
      </c>
      <c r="H6" s="24"/>
      <c r="I6" s="24"/>
      <c r="J6" s="3"/>
      <c r="K6" s="3"/>
      <c r="L6" s="3"/>
      <c r="M6" s="3"/>
      <c r="N6" s="3"/>
      <c r="O6" s="3"/>
      <c r="P6" s="3"/>
      <c r="Q6" s="3"/>
      <c r="R6" s="3"/>
      <c r="S6" s="3"/>
      <c r="T6" s="3"/>
      <c r="U6" s="3"/>
      <c r="V6" s="3"/>
      <c r="W6" s="3"/>
      <c r="X6" s="3"/>
      <c r="Y6" s="3"/>
      <c r="Z6" s="3"/>
    </row>
    <row r="7" spans="1:26" x14ac:dyDescent="0.25">
      <c r="A7" s="3"/>
      <c r="B7" s="3"/>
      <c r="C7" s="61"/>
      <c r="D7" s="66" t="s">
        <v>62</v>
      </c>
      <c r="E7" s="68">
        <v>1039</v>
      </c>
      <c r="F7" s="68">
        <v>13373</v>
      </c>
      <c r="G7" s="68">
        <v>412</v>
      </c>
      <c r="H7" s="49"/>
      <c r="I7" s="49"/>
      <c r="J7" s="3"/>
      <c r="K7" s="3"/>
      <c r="L7" s="3"/>
      <c r="M7" s="3"/>
      <c r="N7" s="3"/>
      <c r="O7" s="3"/>
      <c r="P7" s="3"/>
      <c r="Q7" s="3"/>
      <c r="R7" s="3"/>
      <c r="S7" s="3"/>
      <c r="T7" s="3"/>
      <c r="U7" s="3"/>
      <c r="V7" s="3"/>
      <c r="W7" s="3"/>
      <c r="X7" s="3"/>
      <c r="Y7" s="3"/>
      <c r="Z7" s="3"/>
    </row>
    <row r="8" spans="1:26" x14ac:dyDescent="0.25">
      <c r="A8" s="3"/>
      <c r="B8" s="3"/>
      <c r="C8" s="49"/>
      <c r="D8" s="66" t="s">
        <v>64</v>
      </c>
      <c r="E8" s="68"/>
      <c r="F8" s="68"/>
      <c r="G8" s="68"/>
      <c r="H8" s="49"/>
      <c r="I8" s="49"/>
      <c r="J8" s="3"/>
      <c r="K8" s="3"/>
      <c r="L8" s="3"/>
      <c r="M8" s="3"/>
      <c r="N8" s="3"/>
      <c r="O8" s="3"/>
      <c r="P8" s="3"/>
      <c r="Q8" s="3"/>
      <c r="R8" s="3"/>
      <c r="S8" s="3"/>
      <c r="T8" s="3"/>
      <c r="U8" s="3"/>
      <c r="V8" s="3"/>
      <c r="W8" s="3"/>
      <c r="X8" s="3"/>
      <c r="Y8" s="3"/>
      <c r="Z8" s="3"/>
    </row>
    <row r="9" spans="1:26" x14ac:dyDescent="0.25">
      <c r="A9" s="3"/>
      <c r="B9" s="3"/>
      <c r="C9" s="80" t="s">
        <v>68</v>
      </c>
      <c r="D9" s="82" t="s">
        <v>69</v>
      </c>
      <c r="E9" s="83">
        <v>158</v>
      </c>
      <c r="F9" s="86">
        <v>1163447</v>
      </c>
      <c r="G9" s="83">
        <v>428257</v>
      </c>
      <c r="H9" s="88">
        <f>SUM(E9:G9)</f>
        <v>1591862</v>
      </c>
      <c r="I9" s="90"/>
      <c r="J9" s="3"/>
      <c r="K9" s="3"/>
      <c r="L9" s="3"/>
      <c r="M9" s="3"/>
      <c r="N9" s="3"/>
      <c r="O9" s="3"/>
      <c r="P9" s="3"/>
      <c r="Q9" s="3"/>
      <c r="R9" s="3"/>
      <c r="S9" s="3"/>
      <c r="T9" s="3"/>
      <c r="U9" s="3"/>
      <c r="V9" s="3"/>
      <c r="W9" s="3"/>
      <c r="X9" s="3"/>
      <c r="Y9" s="3"/>
      <c r="Z9" s="3"/>
    </row>
    <row r="10" spans="1:26" x14ac:dyDescent="0.25">
      <c r="A10" s="3"/>
      <c r="B10" s="3"/>
      <c r="C10" s="49"/>
      <c r="D10" s="49"/>
      <c r="E10" s="68"/>
      <c r="F10" s="68"/>
      <c r="G10" s="68"/>
      <c r="H10" s="49"/>
      <c r="I10" s="49"/>
      <c r="J10" s="3"/>
      <c r="K10" s="3"/>
      <c r="L10" s="3"/>
      <c r="M10" s="3"/>
      <c r="N10" s="3"/>
      <c r="O10" s="3"/>
      <c r="P10" s="3"/>
      <c r="Q10" s="3"/>
      <c r="R10" s="3"/>
      <c r="S10" s="3"/>
      <c r="T10" s="3"/>
      <c r="U10" s="3"/>
      <c r="V10" s="3"/>
      <c r="W10" s="3"/>
      <c r="X10" s="3"/>
      <c r="Y10" s="3"/>
      <c r="Z10" s="3"/>
    </row>
    <row r="11" spans="1:26" x14ac:dyDescent="0.25">
      <c r="A11" s="3"/>
      <c r="B11" s="3"/>
      <c r="C11" s="49"/>
      <c r="D11" s="98" t="s">
        <v>71</v>
      </c>
      <c r="E11" s="100">
        <v>3.4</v>
      </c>
      <c r="F11" s="55">
        <v>332077.59999999998</v>
      </c>
      <c r="G11" s="55">
        <v>22696.1</v>
      </c>
      <c r="H11" s="55">
        <f t="shared" ref="H11:H13" si="0">(E11+F11+G11)</f>
        <v>354777.1</v>
      </c>
      <c r="I11" s="108">
        <f t="shared" ref="I11:I13" si="1">H11*1.1023</f>
        <v>391070.79732999997</v>
      </c>
      <c r="J11" s="3"/>
      <c r="K11" s="110"/>
      <c r="L11" s="3"/>
      <c r="M11" s="3"/>
      <c r="N11" s="3"/>
      <c r="O11" s="3"/>
      <c r="P11" s="3"/>
      <c r="Q11" s="3"/>
      <c r="R11" s="3"/>
      <c r="S11" s="3"/>
      <c r="T11" s="3"/>
      <c r="U11" s="3"/>
      <c r="V11" s="3"/>
      <c r="W11" s="3"/>
      <c r="X11" s="3"/>
      <c r="Y11" s="3"/>
      <c r="Z11" s="3"/>
    </row>
    <row r="12" spans="1:26" x14ac:dyDescent="0.25">
      <c r="A12" s="3"/>
      <c r="B12" s="3"/>
      <c r="C12" s="49"/>
      <c r="D12" s="61" t="s">
        <v>74</v>
      </c>
      <c r="E12" s="115">
        <v>0</v>
      </c>
      <c r="F12" s="117">
        <v>0.03</v>
      </c>
      <c r="G12" s="117">
        <v>0.43</v>
      </c>
      <c r="H12" s="117">
        <f t="shared" si="0"/>
        <v>0.45999999999999996</v>
      </c>
      <c r="I12" s="117">
        <f t="shared" si="1"/>
        <v>0.50705800000000001</v>
      </c>
      <c r="J12" s="3"/>
      <c r="K12" s="3"/>
      <c r="L12" s="3"/>
      <c r="M12" s="3"/>
      <c r="N12" s="3"/>
      <c r="O12" s="3"/>
      <c r="P12" s="3"/>
      <c r="Q12" s="3"/>
      <c r="R12" s="3"/>
      <c r="S12" s="3"/>
      <c r="T12" s="3"/>
      <c r="U12" s="3"/>
      <c r="V12" s="3"/>
      <c r="W12" s="3"/>
      <c r="X12" s="3"/>
      <c r="Y12" s="3"/>
      <c r="Z12" s="3"/>
    </row>
    <row r="13" spans="1:26" x14ac:dyDescent="0.25">
      <c r="A13" s="3"/>
      <c r="B13" s="3"/>
      <c r="C13" s="113"/>
      <c r="D13" s="124" t="s">
        <v>82</v>
      </c>
      <c r="E13" s="127">
        <v>0</v>
      </c>
      <c r="F13" s="128">
        <v>0.13</v>
      </c>
      <c r="G13" s="130">
        <v>4.2999999999999997E-2</v>
      </c>
      <c r="H13" s="128">
        <f t="shared" si="0"/>
        <v>0.17299999999999999</v>
      </c>
      <c r="I13" s="128">
        <f t="shared" si="1"/>
        <v>0.1906979</v>
      </c>
      <c r="J13" s="3"/>
      <c r="K13" s="3"/>
      <c r="L13" s="3"/>
      <c r="M13" s="3"/>
      <c r="N13" s="3"/>
      <c r="O13" s="3"/>
      <c r="P13" s="3"/>
      <c r="Q13" s="3"/>
      <c r="R13" s="3"/>
      <c r="S13" s="3"/>
      <c r="T13" s="3"/>
      <c r="U13" s="3"/>
      <c r="V13" s="3"/>
      <c r="W13" s="3"/>
      <c r="X13" s="3"/>
      <c r="Y13" s="3"/>
      <c r="Z13" s="3"/>
    </row>
    <row r="14" spans="1:26" x14ac:dyDescent="0.25">
      <c r="A14" s="3"/>
      <c r="B14" s="3"/>
      <c r="C14" s="140"/>
      <c r="D14" s="140"/>
      <c r="E14" s="142"/>
      <c r="F14" s="142"/>
      <c r="G14" s="142"/>
      <c r="H14" s="140"/>
      <c r="I14" s="140"/>
      <c r="J14" s="3"/>
      <c r="K14" s="3"/>
      <c r="L14" s="3"/>
      <c r="M14" s="3"/>
      <c r="N14" s="3"/>
      <c r="O14" s="3"/>
      <c r="P14" s="3"/>
      <c r="Q14" s="3"/>
      <c r="R14" s="3"/>
      <c r="S14" s="3"/>
      <c r="T14" s="3"/>
      <c r="U14" s="3"/>
      <c r="V14" s="3"/>
      <c r="W14" s="3"/>
      <c r="X14" s="3"/>
      <c r="Y14" s="3"/>
      <c r="Z14" s="3"/>
    </row>
    <row r="15" spans="1:26" x14ac:dyDescent="0.25">
      <c r="A15" s="3"/>
      <c r="B15" s="3"/>
      <c r="C15" s="49"/>
      <c r="D15" s="49"/>
      <c r="E15" s="146" t="s">
        <v>29</v>
      </c>
      <c r="F15" s="146" t="s">
        <v>32</v>
      </c>
      <c r="G15" s="146" t="s">
        <v>33</v>
      </c>
      <c r="H15" s="149"/>
      <c r="I15" s="149"/>
      <c r="J15" s="3"/>
      <c r="K15" s="3"/>
      <c r="L15" s="3"/>
      <c r="M15" s="3"/>
      <c r="N15" s="3"/>
      <c r="O15" s="3"/>
      <c r="P15" s="3"/>
      <c r="Q15" s="3"/>
      <c r="R15" s="3"/>
      <c r="S15" s="3"/>
      <c r="T15" s="3"/>
      <c r="U15" s="3"/>
      <c r="V15" s="3"/>
      <c r="W15" s="3"/>
      <c r="X15" s="3"/>
      <c r="Y15" s="3"/>
      <c r="Z15" s="3"/>
    </row>
    <row r="16" spans="1:26" x14ac:dyDescent="0.25">
      <c r="A16" s="3"/>
      <c r="B16" s="3"/>
      <c r="C16" s="49"/>
      <c r="D16" s="49"/>
      <c r="E16" s="154" t="s">
        <v>37</v>
      </c>
      <c r="F16" s="154" t="s">
        <v>40</v>
      </c>
      <c r="G16" s="154" t="s">
        <v>41</v>
      </c>
      <c r="H16" s="49"/>
      <c r="I16" s="49"/>
      <c r="J16" s="3"/>
      <c r="K16" s="3"/>
      <c r="L16" s="3"/>
      <c r="M16" s="3"/>
      <c r="N16" s="3"/>
      <c r="O16" s="3"/>
      <c r="P16" s="3"/>
      <c r="Q16" s="3"/>
      <c r="R16" s="3"/>
      <c r="S16" s="3"/>
      <c r="T16" s="3"/>
      <c r="U16" s="3"/>
      <c r="V16" s="3"/>
      <c r="W16" s="3"/>
      <c r="X16" s="3"/>
      <c r="Y16" s="3"/>
      <c r="Z16" s="3"/>
    </row>
    <row r="17" spans="1:26" x14ac:dyDescent="0.25">
      <c r="A17" s="3"/>
      <c r="B17" s="3"/>
      <c r="C17" s="61"/>
      <c r="D17" s="66" t="s">
        <v>62</v>
      </c>
      <c r="E17" s="68">
        <v>538</v>
      </c>
      <c r="F17" s="68">
        <v>16027</v>
      </c>
      <c r="G17" s="68">
        <v>640</v>
      </c>
      <c r="H17" s="49"/>
      <c r="I17" s="49"/>
      <c r="J17" s="3"/>
      <c r="K17" s="3"/>
      <c r="L17" s="3"/>
      <c r="M17" s="3"/>
      <c r="N17" s="3"/>
      <c r="O17" s="3"/>
      <c r="P17" s="3"/>
      <c r="Q17" s="3"/>
      <c r="R17" s="3"/>
      <c r="S17" s="3"/>
      <c r="T17" s="3"/>
      <c r="U17" s="3"/>
      <c r="V17" s="3"/>
      <c r="W17" s="3"/>
      <c r="X17" s="3"/>
      <c r="Y17" s="3"/>
      <c r="Z17" s="3"/>
    </row>
    <row r="18" spans="1:26" x14ac:dyDescent="0.25">
      <c r="A18" s="3"/>
      <c r="B18" s="3"/>
      <c r="C18" s="49"/>
      <c r="D18" s="66" t="s">
        <v>64</v>
      </c>
      <c r="E18" s="68"/>
      <c r="F18" s="68"/>
      <c r="G18" s="68"/>
      <c r="H18" s="49"/>
      <c r="I18" s="49"/>
      <c r="J18" s="3"/>
      <c r="K18" s="3"/>
      <c r="L18" s="3"/>
      <c r="M18" s="3"/>
      <c r="N18" s="3"/>
      <c r="O18" s="3"/>
      <c r="P18" s="3"/>
      <c r="Q18" s="3"/>
      <c r="R18" s="3"/>
      <c r="S18" s="3"/>
      <c r="T18" s="3"/>
      <c r="U18" s="3"/>
      <c r="V18" s="3"/>
      <c r="W18" s="3"/>
      <c r="X18" s="3"/>
      <c r="Y18" s="3"/>
      <c r="Z18" s="3"/>
    </row>
    <row r="19" spans="1:26" x14ac:dyDescent="0.25">
      <c r="A19" s="3"/>
      <c r="B19" s="3"/>
      <c r="C19" s="156" t="s">
        <v>96</v>
      </c>
      <c r="D19" s="82" t="s">
        <v>69</v>
      </c>
      <c r="E19" s="83">
        <v>82</v>
      </c>
      <c r="F19" s="86">
        <v>1394381</v>
      </c>
      <c r="G19" s="83">
        <v>666042</v>
      </c>
      <c r="H19" s="158">
        <f>SUM(E19:G19)</f>
        <v>2060505</v>
      </c>
      <c r="I19" s="90"/>
      <c r="J19" s="3"/>
      <c r="K19" s="3"/>
      <c r="L19" s="3"/>
      <c r="M19" s="3"/>
      <c r="N19" s="3"/>
      <c r="O19" s="3"/>
      <c r="P19" s="3"/>
      <c r="Q19" s="3"/>
      <c r="R19" s="3"/>
      <c r="S19" s="3"/>
      <c r="T19" s="3"/>
      <c r="U19" s="3"/>
      <c r="V19" s="3"/>
      <c r="W19" s="3"/>
      <c r="X19" s="3"/>
      <c r="Y19" s="3"/>
      <c r="Z19" s="3"/>
    </row>
    <row r="20" spans="1:26" x14ac:dyDescent="0.25">
      <c r="A20" s="3"/>
      <c r="B20" s="3"/>
      <c r="C20" s="49"/>
      <c r="D20" s="159"/>
      <c r="E20" s="160"/>
      <c r="F20" s="162"/>
      <c r="G20" s="160"/>
      <c r="H20" s="49"/>
      <c r="I20" s="49"/>
      <c r="J20" s="3"/>
      <c r="K20" s="3"/>
      <c r="L20" s="3"/>
      <c r="M20" s="3"/>
      <c r="N20" s="3"/>
      <c r="O20" s="3"/>
      <c r="P20" s="3"/>
      <c r="Q20" s="3"/>
      <c r="R20" s="3"/>
      <c r="S20" s="3"/>
      <c r="T20" s="3"/>
      <c r="U20" s="3"/>
      <c r="V20" s="3"/>
      <c r="W20" s="3"/>
      <c r="X20" s="3"/>
      <c r="Y20" s="3"/>
      <c r="Z20" s="3"/>
    </row>
    <row r="21" spans="1:26" ht="15.75" customHeight="1" x14ac:dyDescent="0.25">
      <c r="A21" s="3"/>
      <c r="B21" s="3"/>
      <c r="C21" s="49"/>
      <c r="D21" s="98" t="s">
        <v>107</v>
      </c>
      <c r="E21" s="100">
        <v>1.8</v>
      </c>
      <c r="F21" s="55">
        <v>402051.9</v>
      </c>
      <c r="G21" s="55">
        <v>35299.599999999999</v>
      </c>
      <c r="H21" s="55">
        <f t="shared" ref="H21:H23" si="2">(E21+F21+G21)</f>
        <v>437353.3</v>
      </c>
      <c r="I21" s="108">
        <f t="shared" ref="I21:I23" si="3">H21*1.1023</f>
        <v>482094.54259000003</v>
      </c>
      <c r="J21" s="3"/>
      <c r="K21" s="3"/>
      <c r="L21" s="3"/>
      <c r="M21" s="3"/>
      <c r="N21" s="3"/>
      <c r="O21" s="3"/>
      <c r="P21" s="3"/>
      <c r="Q21" s="3"/>
      <c r="R21" s="3"/>
      <c r="S21" s="3"/>
      <c r="T21" s="3"/>
      <c r="U21" s="3"/>
      <c r="V21" s="3"/>
      <c r="W21" s="3"/>
      <c r="X21" s="3"/>
      <c r="Y21" s="3"/>
      <c r="Z21" s="3"/>
    </row>
    <row r="22" spans="1:26" ht="15.75" customHeight="1" x14ac:dyDescent="0.25">
      <c r="A22" s="3"/>
      <c r="B22" s="3"/>
      <c r="C22" s="49"/>
      <c r="D22" s="61" t="s">
        <v>113</v>
      </c>
      <c r="E22" s="117">
        <v>0</v>
      </c>
      <c r="F22" s="117">
        <v>0.03</v>
      </c>
      <c r="G22" s="117">
        <v>0.67</v>
      </c>
      <c r="H22" s="117">
        <f t="shared" si="2"/>
        <v>0.70000000000000007</v>
      </c>
      <c r="I22" s="117">
        <f t="shared" si="3"/>
        <v>0.77161000000000013</v>
      </c>
      <c r="J22" s="3"/>
      <c r="K22" s="3"/>
      <c r="L22" s="3"/>
      <c r="M22" s="3"/>
      <c r="N22" s="3"/>
      <c r="O22" s="3"/>
      <c r="P22" s="3"/>
      <c r="Q22" s="3"/>
      <c r="R22" s="3"/>
      <c r="S22" s="3"/>
      <c r="T22" s="3"/>
      <c r="U22" s="3"/>
      <c r="V22" s="3"/>
      <c r="W22" s="3"/>
      <c r="X22" s="3"/>
      <c r="Y22" s="3"/>
      <c r="Z22" s="3"/>
    </row>
    <row r="23" spans="1:26" ht="15.75" customHeight="1" x14ac:dyDescent="0.25">
      <c r="A23" s="3"/>
      <c r="B23" s="3"/>
      <c r="C23" s="113"/>
      <c r="D23" s="124" t="s">
        <v>115</v>
      </c>
      <c r="E23" s="128">
        <v>0</v>
      </c>
      <c r="F23" s="128">
        <v>0.158</v>
      </c>
      <c r="G23" s="128">
        <v>6.7000000000000004E-2</v>
      </c>
      <c r="H23" s="128">
        <f t="shared" si="2"/>
        <v>0.22500000000000001</v>
      </c>
      <c r="I23" s="128">
        <f t="shared" si="3"/>
        <v>0.24801750000000003</v>
      </c>
      <c r="J23" s="3"/>
      <c r="K23" s="3"/>
      <c r="L23" s="3"/>
      <c r="M23" s="3"/>
      <c r="N23" s="3"/>
      <c r="O23" s="3"/>
      <c r="P23" s="3"/>
      <c r="Q23" s="3"/>
      <c r="R23" s="3"/>
      <c r="S23" s="3"/>
      <c r="T23" s="3"/>
      <c r="U23" s="3"/>
      <c r="V23" s="3"/>
      <c r="W23" s="3"/>
      <c r="X23" s="3"/>
      <c r="Y23" s="3"/>
      <c r="Z23" s="3"/>
    </row>
    <row r="24" spans="1:26" ht="15.75" customHeight="1" x14ac:dyDescent="0.25">
      <c r="A24" s="3"/>
      <c r="B24" s="3"/>
      <c r="C24" s="140"/>
      <c r="D24" s="140"/>
      <c r="E24" s="142"/>
      <c r="F24" s="142"/>
      <c r="G24" s="142"/>
      <c r="H24" s="140"/>
      <c r="I24" s="140"/>
      <c r="J24" s="3"/>
      <c r="K24" s="3"/>
      <c r="L24" s="3"/>
      <c r="M24" s="3"/>
      <c r="N24" s="3"/>
      <c r="O24" s="3"/>
      <c r="P24" s="3"/>
      <c r="Q24" s="3"/>
      <c r="R24" s="3"/>
      <c r="S24" s="3"/>
      <c r="T24" s="3"/>
      <c r="U24" s="3"/>
      <c r="V24" s="3"/>
      <c r="W24" s="3"/>
      <c r="X24" s="3"/>
      <c r="Y24" s="3"/>
      <c r="Z24" s="3"/>
    </row>
    <row r="25" spans="1:26" ht="15.75" customHeight="1" x14ac:dyDescent="0.25">
      <c r="A25" s="3"/>
      <c r="B25" s="3"/>
      <c r="C25" s="49"/>
      <c r="D25" s="49"/>
      <c r="E25" s="146" t="s">
        <v>29</v>
      </c>
      <c r="F25" s="146" t="s">
        <v>32</v>
      </c>
      <c r="G25" s="146" t="s">
        <v>33</v>
      </c>
      <c r="H25" s="149"/>
      <c r="I25" s="149"/>
      <c r="J25" s="3"/>
      <c r="K25" s="3"/>
      <c r="L25" s="3"/>
      <c r="M25" s="3"/>
      <c r="N25" s="3"/>
      <c r="O25" s="3"/>
      <c r="P25" s="3"/>
      <c r="Q25" s="3"/>
      <c r="R25" s="3"/>
      <c r="S25" s="3"/>
      <c r="T25" s="3"/>
      <c r="U25" s="3"/>
      <c r="V25" s="3"/>
      <c r="W25" s="3"/>
      <c r="X25" s="3"/>
      <c r="Y25" s="3"/>
      <c r="Z25" s="3"/>
    </row>
    <row r="26" spans="1:26" ht="15.75" customHeight="1" x14ac:dyDescent="0.25">
      <c r="A26" s="3"/>
      <c r="B26" s="3"/>
      <c r="C26" s="49"/>
      <c r="D26" s="49"/>
      <c r="E26" s="154" t="s">
        <v>37</v>
      </c>
      <c r="F26" s="154" t="s">
        <v>40</v>
      </c>
      <c r="G26" s="154" t="s">
        <v>41</v>
      </c>
      <c r="H26" s="49"/>
      <c r="I26" s="49"/>
      <c r="J26" s="3"/>
      <c r="K26" s="3"/>
      <c r="L26" s="3"/>
      <c r="M26" s="3"/>
      <c r="N26" s="3"/>
      <c r="O26" s="3"/>
      <c r="P26" s="3"/>
      <c r="Q26" s="3"/>
      <c r="R26" s="3"/>
      <c r="S26" s="3"/>
      <c r="T26" s="3"/>
      <c r="U26" s="3"/>
      <c r="V26" s="3"/>
      <c r="W26" s="3"/>
      <c r="X26" s="3"/>
      <c r="Y26" s="3"/>
      <c r="Z26" s="3"/>
    </row>
    <row r="27" spans="1:26" ht="15.75" customHeight="1" x14ac:dyDescent="0.25">
      <c r="A27" s="3"/>
      <c r="B27" s="3"/>
      <c r="C27" s="61"/>
      <c r="D27" s="66" t="s">
        <v>62</v>
      </c>
      <c r="E27" s="68"/>
      <c r="F27" s="68">
        <v>11025</v>
      </c>
      <c r="G27" s="68">
        <v>818</v>
      </c>
      <c r="H27" s="49"/>
      <c r="I27" s="49"/>
      <c r="J27" s="3"/>
      <c r="K27" s="3"/>
      <c r="L27" s="3"/>
      <c r="M27" s="3"/>
      <c r="N27" s="3"/>
      <c r="O27" s="3"/>
      <c r="P27" s="3"/>
      <c r="Q27" s="3"/>
      <c r="R27" s="3"/>
      <c r="S27" s="3"/>
      <c r="T27" s="3"/>
      <c r="U27" s="3"/>
      <c r="V27" s="3"/>
      <c r="W27" s="3"/>
      <c r="X27" s="3"/>
      <c r="Y27" s="3"/>
      <c r="Z27" s="3"/>
    </row>
    <row r="28" spans="1:26" ht="15.75" customHeight="1" x14ac:dyDescent="0.25">
      <c r="A28" s="3"/>
      <c r="B28" s="3"/>
      <c r="C28" s="49"/>
      <c r="D28" s="66" t="s">
        <v>64</v>
      </c>
      <c r="E28" s="68"/>
      <c r="F28" s="68"/>
      <c r="G28" s="68"/>
      <c r="H28" s="49"/>
      <c r="I28" s="49"/>
      <c r="J28" s="3"/>
      <c r="K28" s="3"/>
      <c r="L28" s="3"/>
      <c r="M28" s="3"/>
      <c r="N28" s="3"/>
      <c r="O28" s="3"/>
      <c r="P28" s="3"/>
      <c r="Q28" s="3"/>
      <c r="R28" s="3"/>
      <c r="S28" s="3"/>
      <c r="T28" s="3"/>
      <c r="U28" s="3"/>
      <c r="V28" s="3"/>
      <c r="W28" s="3"/>
      <c r="X28" s="3"/>
      <c r="Y28" s="3"/>
      <c r="Z28" s="3"/>
    </row>
    <row r="29" spans="1:26" ht="15.75" customHeight="1" x14ac:dyDescent="0.25">
      <c r="A29" s="3"/>
      <c r="B29" s="3"/>
      <c r="C29" s="156" t="s">
        <v>126</v>
      </c>
      <c r="D29" s="82" t="s">
        <v>69</v>
      </c>
      <c r="E29" s="83"/>
      <c r="F29" s="86">
        <v>959161</v>
      </c>
      <c r="G29" s="83">
        <v>850818</v>
      </c>
      <c r="H29" s="158">
        <f>SUM(E29:G29)</f>
        <v>1809979</v>
      </c>
      <c r="I29" s="90"/>
      <c r="J29" s="3"/>
      <c r="K29" s="3"/>
      <c r="L29" s="3"/>
      <c r="M29" s="3"/>
      <c r="N29" s="3"/>
      <c r="O29" s="3"/>
      <c r="P29" s="3"/>
      <c r="Q29" s="3"/>
      <c r="R29" s="3"/>
      <c r="S29" s="3"/>
      <c r="T29" s="3"/>
      <c r="U29" s="3"/>
      <c r="V29" s="3"/>
      <c r="W29" s="3"/>
      <c r="X29" s="3"/>
      <c r="Y29" s="3"/>
      <c r="Z29" s="3"/>
    </row>
    <row r="30" spans="1:26" ht="15.75" customHeight="1" x14ac:dyDescent="0.25">
      <c r="A30" s="3"/>
      <c r="B30" s="3"/>
      <c r="C30" s="49"/>
      <c r="D30" s="159"/>
      <c r="E30" s="160"/>
      <c r="F30" s="162"/>
      <c r="G30" s="160"/>
      <c r="H30" s="49"/>
      <c r="I30" s="49"/>
      <c r="J30" s="3"/>
      <c r="K30" s="3"/>
      <c r="L30" s="3"/>
      <c r="M30" s="3"/>
      <c r="N30" s="3"/>
      <c r="O30" s="3"/>
      <c r="P30" s="3"/>
      <c r="Q30" s="3"/>
      <c r="R30" s="3"/>
      <c r="S30" s="3"/>
      <c r="T30" s="3"/>
      <c r="U30" s="3"/>
      <c r="V30" s="3"/>
      <c r="W30" s="3"/>
      <c r="X30" s="3"/>
      <c r="Y30" s="3"/>
      <c r="Z30" s="3"/>
    </row>
    <row r="31" spans="1:26" ht="15.75" customHeight="1" x14ac:dyDescent="0.25">
      <c r="A31" s="3"/>
      <c r="B31" s="3"/>
      <c r="C31" s="49"/>
      <c r="D31" s="98" t="s">
        <v>132</v>
      </c>
      <c r="E31" s="55">
        <v>0</v>
      </c>
      <c r="F31" s="55">
        <v>280034.7</v>
      </c>
      <c r="G31" s="55">
        <v>45101.2</v>
      </c>
      <c r="H31" s="55">
        <f t="shared" ref="H31:H33" si="4">(E31+F31+G31)</f>
        <v>325135.90000000002</v>
      </c>
      <c r="I31" s="108">
        <f t="shared" ref="I31:I33" si="5">H31*1.1023</f>
        <v>358397.30257000006</v>
      </c>
      <c r="J31" s="3"/>
      <c r="K31" s="3"/>
      <c r="L31" s="3"/>
      <c r="M31" s="3"/>
      <c r="N31" s="3"/>
      <c r="O31" s="3"/>
      <c r="P31" s="3"/>
      <c r="Q31" s="3"/>
      <c r="R31" s="3"/>
      <c r="S31" s="3"/>
      <c r="T31" s="3"/>
      <c r="U31" s="3"/>
      <c r="V31" s="3"/>
      <c r="W31" s="3"/>
      <c r="X31" s="3"/>
      <c r="Y31" s="3"/>
      <c r="Z31" s="3"/>
    </row>
    <row r="32" spans="1:26" ht="15.75" customHeight="1" x14ac:dyDescent="0.25">
      <c r="A32" s="3"/>
      <c r="B32" s="3"/>
      <c r="C32" s="49"/>
      <c r="D32" s="61" t="s">
        <v>138</v>
      </c>
      <c r="E32" s="117">
        <v>0</v>
      </c>
      <c r="F32" s="117">
        <v>0.02</v>
      </c>
      <c r="G32" s="117">
        <v>0.85</v>
      </c>
      <c r="H32" s="117">
        <f t="shared" si="4"/>
        <v>0.87</v>
      </c>
      <c r="I32" s="117">
        <f t="shared" si="5"/>
        <v>0.95900099999999999</v>
      </c>
      <c r="J32" s="3"/>
      <c r="K32" s="3"/>
      <c r="L32" s="3"/>
      <c r="M32" s="3"/>
      <c r="N32" s="3"/>
      <c r="O32" s="3"/>
      <c r="P32" s="3"/>
      <c r="Q32" s="3"/>
      <c r="R32" s="3"/>
      <c r="S32" s="3"/>
      <c r="T32" s="3"/>
      <c r="U32" s="3"/>
      <c r="V32" s="3"/>
      <c r="W32" s="3"/>
      <c r="X32" s="3"/>
      <c r="Y32" s="3"/>
      <c r="Z32" s="3"/>
    </row>
    <row r="33" spans="1:26" ht="15.75" customHeight="1" x14ac:dyDescent="0.25">
      <c r="A33" s="3"/>
      <c r="B33" s="3"/>
      <c r="C33" s="113"/>
      <c r="D33" s="124" t="s">
        <v>140</v>
      </c>
      <c r="E33" s="128">
        <v>0</v>
      </c>
      <c r="F33" s="128">
        <v>0.11</v>
      </c>
      <c r="G33" s="130">
        <v>8.5000000000000006E-2</v>
      </c>
      <c r="H33" s="128">
        <f t="shared" si="4"/>
        <v>0.19500000000000001</v>
      </c>
      <c r="I33" s="128">
        <f t="shared" si="5"/>
        <v>0.21494850000000001</v>
      </c>
      <c r="J33" s="3"/>
      <c r="K33" s="3"/>
      <c r="L33" s="3"/>
      <c r="M33" s="3"/>
      <c r="N33" s="3"/>
      <c r="O33" s="3"/>
      <c r="P33" s="3"/>
      <c r="Q33" s="3"/>
      <c r="R33" s="3"/>
      <c r="S33" s="3"/>
      <c r="T33" s="3"/>
      <c r="U33" s="3"/>
      <c r="V33" s="3"/>
      <c r="W33" s="3"/>
      <c r="X33" s="3"/>
      <c r="Y33" s="3"/>
      <c r="Z33" s="3"/>
    </row>
    <row r="34" spans="1:26" ht="15.75" customHeight="1" x14ac:dyDescent="0.25">
      <c r="A34" s="3"/>
      <c r="B34" s="3"/>
      <c r="C34" s="129"/>
      <c r="D34" s="129"/>
      <c r="E34" s="176"/>
      <c r="F34" s="176"/>
      <c r="G34" s="176"/>
      <c r="H34" s="177"/>
      <c r="I34" s="177"/>
      <c r="J34" s="3"/>
      <c r="K34" s="3"/>
      <c r="L34" s="3"/>
      <c r="M34" s="3"/>
      <c r="N34" s="3"/>
      <c r="O34" s="3"/>
      <c r="P34" s="3"/>
      <c r="Q34" s="3"/>
      <c r="R34" s="3"/>
      <c r="S34" s="3"/>
      <c r="T34" s="3"/>
      <c r="U34" s="3"/>
      <c r="V34" s="3"/>
      <c r="W34" s="3"/>
      <c r="X34" s="3"/>
      <c r="Y34" s="3"/>
      <c r="Z34" s="3"/>
    </row>
    <row r="35" spans="1:26" ht="15.75" customHeight="1" x14ac:dyDescent="0.25">
      <c r="A35" s="3"/>
      <c r="B35" s="3"/>
      <c r="C35" s="179"/>
      <c r="D35" s="179"/>
      <c r="E35" s="146" t="s">
        <v>29</v>
      </c>
      <c r="F35" s="146" t="s">
        <v>32</v>
      </c>
      <c r="G35" s="146" t="s">
        <v>33</v>
      </c>
      <c r="H35" s="149"/>
      <c r="I35" s="149"/>
      <c r="J35" s="3"/>
      <c r="K35" s="3"/>
      <c r="L35" s="3"/>
      <c r="M35" s="3"/>
      <c r="N35" s="3"/>
      <c r="O35" s="3"/>
      <c r="P35" s="3"/>
      <c r="Q35" s="3"/>
      <c r="R35" s="3"/>
      <c r="S35" s="3"/>
      <c r="T35" s="3"/>
      <c r="U35" s="3"/>
      <c r="V35" s="3"/>
      <c r="W35" s="3"/>
      <c r="X35" s="3"/>
      <c r="Y35" s="3"/>
      <c r="Z35" s="3"/>
    </row>
    <row r="36" spans="1:26" ht="15.75" customHeight="1" x14ac:dyDescent="0.25">
      <c r="A36" s="3"/>
      <c r="B36" s="3"/>
      <c r="C36" s="179"/>
      <c r="D36" s="179"/>
      <c r="E36" s="154" t="s">
        <v>37</v>
      </c>
      <c r="F36" s="154" t="s">
        <v>40</v>
      </c>
      <c r="G36" s="154" t="s">
        <v>41</v>
      </c>
      <c r="H36" s="49"/>
      <c r="I36" s="49"/>
      <c r="J36" s="3"/>
      <c r="K36" s="3"/>
      <c r="L36" s="3"/>
      <c r="M36" s="3"/>
      <c r="N36" s="3"/>
      <c r="O36" s="3"/>
      <c r="P36" s="3"/>
      <c r="Q36" s="3"/>
      <c r="R36" s="3"/>
      <c r="S36" s="3"/>
      <c r="T36" s="3"/>
      <c r="U36" s="3"/>
      <c r="V36" s="3"/>
      <c r="W36" s="3"/>
      <c r="X36" s="3"/>
      <c r="Y36" s="3"/>
      <c r="Z36" s="3"/>
    </row>
    <row r="37" spans="1:26" ht="15.75" customHeight="1" x14ac:dyDescent="0.25">
      <c r="A37" s="3"/>
      <c r="B37" s="3"/>
      <c r="C37" s="180"/>
      <c r="D37" s="181" t="s">
        <v>62</v>
      </c>
      <c r="E37" s="68">
        <v>2238</v>
      </c>
      <c r="F37" s="68">
        <v>6297</v>
      </c>
      <c r="G37" s="68">
        <v>388</v>
      </c>
      <c r="H37" s="49"/>
      <c r="I37" s="49"/>
      <c r="J37" s="3"/>
      <c r="K37" s="3"/>
      <c r="L37" s="3"/>
      <c r="M37" s="3"/>
      <c r="N37" s="3"/>
      <c r="O37" s="3"/>
      <c r="P37" s="3"/>
      <c r="Q37" s="3"/>
      <c r="R37" s="3"/>
      <c r="S37" s="3"/>
      <c r="T37" s="3"/>
      <c r="U37" s="3"/>
      <c r="V37" s="3"/>
      <c r="W37" s="3"/>
      <c r="X37" s="3"/>
      <c r="Y37" s="3"/>
      <c r="Z37" s="3"/>
    </row>
    <row r="38" spans="1:26" ht="15.75" customHeight="1" x14ac:dyDescent="0.25">
      <c r="A38" s="3"/>
      <c r="B38" s="3"/>
      <c r="C38" s="179"/>
      <c r="D38" s="181" t="s">
        <v>64</v>
      </c>
      <c r="E38" s="68"/>
      <c r="F38" s="68"/>
      <c r="G38" s="68"/>
      <c r="H38" s="49"/>
      <c r="I38" s="49"/>
      <c r="J38" s="3"/>
      <c r="K38" s="3"/>
      <c r="L38" s="3"/>
      <c r="M38" s="3"/>
      <c r="N38" s="3"/>
      <c r="O38" s="3"/>
      <c r="P38" s="3"/>
      <c r="Q38" s="3"/>
      <c r="R38" s="3"/>
      <c r="S38" s="3"/>
      <c r="T38" s="3"/>
      <c r="U38" s="3"/>
      <c r="V38" s="3"/>
      <c r="W38" s="3"/>
      <c r="X38" s="3"/>
      <c r="Y38" s="3"/>
      <c r="Z38" s="3"/>
    </row>
    <row r="39" spans="1:26" ht="15.75" customHeight="1" x14ac:dyDescent="0.25">
      <c r="A39" s="3"/>
      <c r="B39" s="3"/>
      <c r="C39" s="25" t="s">
        <v>154</v>
      </c>
      <c r="D39" s="182" t="s">
        <v>69</v>
      </c>
      <c r="E39" s="83">
        <v>340</v>
      </c>
      <c r="F39" s="86">
        <v>547854</v>
      </c>
      <c r="G39" s="83">
        <v>403783</v>
      </c>
      <c r="H39" s="158">
        <f>SUM(E39:G39)</f>
        <v>951977</v>
      </c>
      <c r="I39" s="90"/>
      <c r="J39" s="3"/>
      <c r="K39" s="3"/>
      <c r="L39" s="3"/>
      <c r="M39" s="3"/>
      <c r="N39" s="3"/>
      <c r="O39" s="3"/>
      <c r="P39" s="3"/>
      <c r="Q39" s="3"/>
      <c r="R39" s="3"/>
      <c r="S39" s="3"/>
      <c r="T39" s="3"/>
      <c r="U39" s="3"/>
      <c r="V39" s="3"/>
      <c r="W39" s="3"/>
      <c r="X39" s="3"/>
      <c r="Y39" s="3"/>
      <c r="Z39" s="3"/>
    </row>
    <row r="40" spans="1:26" ht="15.75" customHeight="1" x14ac:dyDescent="0.25">
      <c r="A40" s="3"/>
      <c r="B40" s="3"/>
      <c r="C40" s="179"/>
      <c r="D40" s="183"/>
      <c r="E40" s="160"/>
      <c r="F40" s="162"/>
      <c r="G40" s="160"/>
      <c r="H40" s="49"/>
      <c r="I40" s="49"/>
      <c r="J40" s="3"/>
      <c r="K40" s="3"/>
      <c r="L40" s="3"/>
      <c r="M40" s="3"/>
      <c r="N40" s="3"/>
      <c r="O40" s="3"/>
      <c r="P40" s="3"/>
      <c r="Q40" s="3"/>
      <c r="R40" s="3"/>
      <c r="S40" s="3"/>
      <c r="T40" s="3"/>
      <c r="U40" s="3"/>
      <c r="V40" s="3"/>
      <c r="W40" s="3"/>
      <c r="X40" s="3"/>
      <c r="Y40" s="3"/>
      <c r="Z40" s="3"/>
    </row>
    <row r="41" spans="1:26" ht="15.75" customHeight="1" x14ac:dyDescent="0.25">
      <c r="A41" s="3"/>
      <c r="B41" s="3"/>
      <c r="C41" s="179"/>
      <c r="D41" s="186" t="s">
        <v>161</v>
      </c>
      <c r="E41" s="100">
        <v>12.5</v>
      </c>
      <c r="F41" s="55">
        <v>156972.9</v>
      </c>
      <c r="G41" s="55">
        <v>21414.5</v>
      </c>
      <c r="H41" s="55">
        <f t="shared" ref="H41:H43" si="6">(E41+F41+G41)</f>
        <v>178399.9</v>
      </c>
      <c r="I41" s="188">
        <f t="shared" ref="I41:I43" si="7">H41*1.1023</f>
        <v>196650.20977000002</v>
      </c>
      <c r="J41" s="3"/>
      <c r="K41" s="3"/>
      <c r="L41" s="3"/>
      <c r="M41" s="3"/>
      <c r="N41" s="3"/>
      <c r="O41" s="3"/>
      <c r="P41" s="3"/>
      <c r="Q41" s="3"/>
      <c r="R41" s="3"/>
      <c r="S41" s="3"/>
      <c r="T41" s="3"/>
      <c r="U41" s="3"/>
      <c r="V41" s="3"/>
      <c r="W41" s="3"/>
      <c r="X41" s="3"/>
      <c r="Y41" s="3"/>
      <c r="Z41" s="3"/>
    </row>
    <row r="42" spans="1:26" ht="15.75" customHeight="1" x14ac:dyDescent="0.25">
      <c r="A42" s="3"/>
      <c r="B42" s="3"/>
      <c r="C42" s="179"/>
      <c r="D42" s="180" t="s">
        <v>163</v>
      </c>
      <c r="E42" s="68">
        <v>0</v>
      </c>
      <c r="F42" s="190">
        <v>0.01</v>
      </c>
      <c r="G42" s="190">
        <v>0.4</v>
      </c>
      <c r="H42" s="117">
        <f t="shared" si="6"/>
        <v>0.41000000000000003</v>
      </c>
      <c r="I42" s="117">
        <f t="shared" si="7"/>
        <v>0.45194300000000004</v>
      </c>
      <c r="J42" s="3"/>
      <c r="K42" s="3"/>
      <c r="L42" s="3"/>
      <c r="M42" s="3"/>
      <c r="N42" s="3"/>
      <c r="O42" s="3"/>
      <c r="P42" s="3"/>
      <c r="Q42" s="3"/>
      <c r="R42" s="3"/>
      <c r="S42" s="3"/>
      <c r="T42" s="3"/>
      <c r="U42" s="3"/>
      <c r="V42" s="3"/>
      <c r="W42" s="3"/>
      <c r="X42" s="3"/>
      <c r="Y42" s="3"/>
      <c r="Z42" s="3"/>
    </row>
    <row r="43" spans="1:26" ht="15.75" customHeight="1" x14ac:dyDescent="0.25">
      <c r="A43" s="3"/>
      <c r="B43" s="3"/>
      <c r="C43" s="179"/>
      <c r="D43" s="180" t="s">
        <v>165</v>
      </c>
      <c r="E43" s="68">
        <v>0</v>
      </c>
      <c r="F43" s="190">
        <v>6.2E-2</v>
      </c>
      <c r="G43" s="190">
        <v>0.04</v>
      </c>
      <c r="H43" s="117">
        <f t="shared" si="6"/>
        <v>0.10200000000000001</v>
      </c>
      <c r="I43" s="117">
        <f t="shared" si="7"/>
        <v>0.11243460000000001</v>
      </c>
      <c r="J43" s="3"/>
      <c r="K43" s="3"/>
      <c r="L43" s="3"/>
      <c r="M43" s="3"/>
      <c r="N43" s="3"/>
      <c r="O43" s="3"/>
      <c r="P43" s="3"/>
      <c r="Q43" s="3"/>
      <c r="R43" s="3"/>
      <c r="S43" s="3"/>
      <c r="T43" s="3"/>
      <c r="U43" s="3"/>
      <c r="V43" s="3"/>
      <c r="W43" s="3"/>
      <c r="X43" s="3"/>
      <c r="Y43" s="3"/>
      <c r="Z43" s="3"/>
    </row>
    <row r="44" spans="1:26" ht="15.75" customHeight="1" x14ac:dyDescent="0.25">
      <c r="A44" s="3"/>
      <c r="B44" s="3"/>
      <c r="C44" s="31"/>
      <c r="D44" s="31"/>
      <c r="E44" s="192"/>
      <c r="F44" s="192"/>
      <c r="G44" s="192"/>
      <c r="H44" s="193"/>
      <c r="I44" s="193"/>
      <c r="J44" s="3"/>
      <c r="K44" s="3"/>
      <c r="L44" s="3"/>
      <c r="M44" s="3"/>
      <c r="N44" s="3"/>
      <c r="O44" s="3"/>
      <c r="P44" s="3"/>
      <c r="Q44" s="3"/>
      <c r="R44" s="3"/>
      <c r="S44" s="3"/>
      <c r="T44" s="3"/>
      <c r="U44" s="3"/>
      <c r="V44" s="3"/>
      <c r="W44" s="3"/>
      <c r="X44" s="3"/>
      <c r="Y44" s="3"/>
      <c r="Z44" s="3"/>
    </row>
    <row r="45" spans="1:26" ht="15.75" customHeight="1" x14ac:dyDescent="0.25">
      <c r="A45" s="3"/>
      <c r="B45" s="3"/>
      <c r="C45" s="3"/>
      <c r="D45" s="3"/>
      <c r="E45" s="170"/>
      <c r="F45" s="170"/>
      <c r="G45" s="170"/>
      <c r="H45" s="170"/>
      <c r="I45" s="170"/>
      <c r="J45" s="3"/>
      <c r="K45" s="3"/>
      <c r="L45" s="3"/>
      <c r="M45" s="3"/>
      <c r="N45" s="3"/>
      <c r="O45" s="3"/>
      <c r="P45" s="3"/>
      <c r="Q45" s="3"/>
      <c r="R45" s="3"/>
      <c r="S45" s="3"/>
      <c r="T45" s="3"/>
      <c r="U45" s="3"/>
      <c r="V45" s="3"/>
      <c r="W45" s="3"/>
      <c r="X45" s="3"/>
      <c r="Y45" s="3"/>
      <c r="Z45" s="3"/>
    </row>
    <row r="46" spans="1:26" ht="15.75" customHeight="1" x14ac:dyDescent="0.25">
      <c r="A46" s="3"/>
      <c r="B46" s="3"/>
      <c r="C46" s="194"/>
      <c r="D46" s="195"/>
      <c r="E46" s="196" t="s">
        <v>29</v>
      </c>
      <c r="F46" s="196" t="s">
        <v>32</v>
      </c>
      <c r="G46" s="196" t="s">
        <v>33</v>
      </c>
      <c r="H46" s="197"/>
      <c r="I46" s="198"/>
      <c r="J46" s="3"/>
      <c r="K46" s="3"/>
      <c r="L46" s="3"/>
      <c r="M46" s="3"/>
      <c r="N46" s="3"/>
      <c r="O46" s="3"/>
      <c r="P46" s="3"/>
      <c r="Q46" s="3"/>
      <c r="R46" s="3"/>
      <c r="S46" s="3"/>
      <c r="T46" s="3"/>
      <c r="U46" s="3"/>
      <c r="V46" s="3"/>
      <c r="W46" s="3"/>
      <c r="X46" s="3"/>
      <c r="Y46" s="3"/>
      <c r="Z46" s="3"/>
    </row>
    <row r="47" spans="1:26" ht="15.75" customHeight="1" x14ac:dyDescent="0.25">
      <c r="A47" s="3"/>
      <c r="B47" s="3"/>
      <c r="C47" s="201"/>
      <c r="D47" s="58" t="s">
        <v>171</v>
      </c>
      <c r="E47" s="204" t="s">
        <v>37</v>
      </c>
      <c r="F47" s="204" t="s">
        <v>40</v>
      </c>
      <c r="G47" s="204" t="s">
        <v>41</v>
      </c>
      <c r="H47" s="81"/>
      <c r="I47" s="206"/>
      <c r="J47" s="3"/>
      <c r="K47" s="3"/>
      <c r="L47" s="3"/>
      <c r="M47" s="3"/>
      <c r="N47" s="3"/>
      <c r="O47" s="3"/>
      <c r="P47" s="3"/>
      <c r="Q47" s="3"/>
      <c r="R47" s="3"/>
      <c r="S47" s="3"/>
      <c r="T47" s="3"/>
      <c r="U47" s="3"/>
      <c r="V47" s="3"/>
      <c r="W47" s="3"/>
      <c r="X47" s="3"/>
      <c r="Y47" s="3"/>
      <c r="Z47" s="3"/>
    </row>
    <row r="48" spans="1:26" ht="15.75" customHeight="1" x14ac:dyDescent="0.25">
      <c r="A48" s="3"/>
      <c r="B48" s="3"/>
      <c r="C48" s="209"/>
      <c r="D48" s="210"/>
      <c r="E48" s="212">
        <f t="shared" ref="E48:G48" si="8">E7+E17+E27+E37</f>
        <v>3815</v>
      </c>
      <c r="F48" s="212">
        <f t="shared" si="8"/>
        <v>46722</v>
      </c>
      <c r="G48" s="212">
        <f t="shared" si="8"/>
        <v>2258</v>
      </c>
      <c r="H48" s="210"/>
      <c r="I48" s="215"/>
      <c r="J48" s="3"/>
      <c r="K48" s="3"/>
      <c r="L48" s="3"/>
      <c r="M48" s="3"/>
      <c r="N48" s="3"/>
      <c r="O48" s="3"/>
      <c r="P48" s="3"/>
      <c r="Q48" s="3"/>
      <c r="R48" s="3"/>
      <c r="S48" s="3"/>
      <c r="T48" s="3"/>
      <c r="U48" s="3"/>
      <c r="V48" s="3"/>
      <c r="W48" s="3"/>
      <c r="X48" s="3"/>
      <c r="Y48" s="3"/>
      <c r="Z48" s="3"/>
    </row>
    <row r="49" spans="1:26" ht="15.75" customHeight="1" x14ac:dyDescent="0.25">
      <c r="A49" s="3"/>
      <c r="B49" s="3"/>
      <c r="C49" s="3"/>
      <c r="D49" s="3"/>
      <c r="E49" s="170"/>
      <c r="F49" s="170"/>
      <c r="G49" s="170"/>
      <c r="H49" s="3"/>
      <c r="I49" s="3"/>
      <c r="J49" s="3"/>
      <c r="K49" s="3"/>
      <c r="L49" s="3"/>
      <c r="M49" s="3"/>
      <c r="N49" s="3"/>
      <c r="O49" s="3"/>
      <c r="P49" s="3"/>
      <c r="Q49" s="3"/>
      <c r="R49" s="3"/>
      <c r="S49" s="3"/>
      <c r="T49" s="3"/>
      <c r="U49" s="3"/>
      <c r="V49" s="3"/>
      <c r="W49" s="3"/>
      <c r="X49" s="3"/>
      <c r="Y49" s="3"/>
      <c r="Z49" s="3"/>
    </row>
    <row r="50" spans="1:26" ht="15.75" customHeight="1" x14ac:dyDescent="0.25">
      <c r="A50" s="3"/>
      <c r="B50" s="3"/>
      <c r="C50" s="3"/>
      <c r="D50" s="3"/>
      <c r="E50" s="170"/>
      <c r="F50" s="170"/>
      <c r="G50" s="170"/>
      <c r="H50" s="3"/>
      <c r="I50" s="3"/>
      <c r="J50" s="3"/>
      <c r="K50" s="3"/>
      <c r="L50" s="3"/>
      <c r="M50" s="3"/>
      <c r="N50" s="3"/>
      <c r="O50" s="3"/>
      <c r="P50" s="3"/>
      <c r="Q50" s="3"/>
      <c r="R50" s="3"/>
      <c r="S50" s="3"/>
      <c r="T50" s="3"/>
      <c r="U50" s="3"/>
      <c r="V50" s="3"/>
      <c r="W50" s="3"/>
      <c r="X50" s="3"/>
      <c r="Y50" s="3"/>
      <c r="Z50" s="3"/>
    </row>
    <row r="51" spans="1:26" ht="15.75" customHeight="1" x14ac:dyDescent="0.25">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x14ac:dyDescent="0.25">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x14ac:dyDescent="0.25">
      <c r="A53" s="3"/>
      <c r="B53" s="3"/>
      <c r="C53" s="227"/>
      <c r="D53" s="228" t="s">
        <v>180</v>
      </c>
      <c r="E53" s="228" t="s">
        <v>181</v>
      </c>
      <c r="F53" s="228" t="s">
        <v>183</v>
      </c>
      <c r="G53" s="229" t="s">
        <v>184</v>
      </c>
      <c r="H53" s="230"/>
      <c r="I53" s="2312" t="s">
        <v>1</v>
      </c>
      <c r="J53" s="2313"/>
      <c r="K53" s="3"/>
      <c r="L53" s="3"/>
      <c r="M53" s="3"/>
      <c r="N53" s="3"/>
      <c r="O53" s="3"/>
      <c r="P53" s="3"/>
      <c r="Q53" s="3"/>
      <c r="R53" s="3"/>
      <c r="S53" s="3"/>
      <c r="T53" s="3"/>
      <c r="U53" s="3"/>
      <c r="V53" s="3"/>
      <c r="W53" s="3"/>
      <c r="X53" s="3"/>
      <c r="Y53" s="3"/>
      <c r="Z53" s="3"/>
    </row>
    <row r="54" spans="1:26" ht="15.75" customHeight="1" x14ac:dyDescent="0.25">
      <c r="A54" s="3"/>
      <c r="B54" s="3"/>
      <c r="C54" s="232"/>
      <c r="D54" s="233"/>
      <c r="E54" s="233" t="s">
        <v>35</v>
      </c>
      <c r="F54" s="233" t="s">
        <v>185</v>
      </c>
      <c r="G54" s="234" t="s">
        <v>186</v>
      </c>
      <c r="H54" s="230"/>
      <c r="I54" s="236"/>
      <c r="J54" s="236"/>
      <c r="K54" s="3"/>
      <c r="L54" s="3"/>
      <c r="M54" s="3"/>
      <c r="N54" s="3"/>
      <c r="O54" s="3"/>
      <c r="P54" s="3"/>
      <c r="Q54" s="3"/>
      <c r="R54" s="3"/>
      <c r="S54" s="3"/>
      <c r="T54" s="3"/>
      <c r="U54" s="3"/>
      <c r="V54" s="3"/>
      <c r="W54" s="3"/>
      <c r="X54" s="3"/>
      <c r="Y54" s="3"/>
      <c r="Z54" s="3"/>
    </row>
    <row r="55" spans="1:26" ht="15.75" customHeight="1" x14ac:dyDescent="0.25">
      <c r="A55" s="3"/>
      <c r="B55" s="3"/>
      <c r="C55" s="237"/>
      <c r="D55" s="238"/>
      <c r="E55" s="238"/>
      <c r="F55" s="238"/>
      <c r="G55" s="240"/>
      <c r="H55" s="230"/>
      <c r="I55" s="241" t="s">
        <v>188</v>
      </c>
      <c r="J55" s="243">
        <f>Summary!E4</f>
        <v>1</v>
      </c>
      <c r="K55" s="3"/>
      <c r="L55" s="3"/>
      <c r="M55" s="3"/>
      <c r="N55" s="3"/>
      <c r="O55" s="3"/>
      <c r="P55" s="3"/>
      <c r="Q55" s="3"/>
      <c r="R55" s="3"/>
      <c r="S55" s="3"/>
      <c r="T55" s="3"/>
      <c r="U55" s="3"/>
      <c r="V55" s="3"/>
      <c r="W55" s="3"/>
      <c r="X55" s="3"/>
      <c r="Y55" s="3"/>
      <c r="Z55" s="3"/>
    </row>
    <row r="56" spans="1:26" ht="15.75" customHeight="1" x14ac:dyDescent="0.25">
      <c r="A56" s="3"/>
      <c r="B56" s="3"/>
      <c r="C56" s="244" t="s">
        <v>53</v>
      </c>
      <c r="D56" s="68">
        <f t="shared" ref="D56:G56" si="9">0</f>
        <v>0</v>
      </c>
      <c r="E56" s="68">
        <f t="shared" si="9"/>
        <v>0</v>
      </c>
      <c r="F56" s="68">
        <f t="shared" si="9"/>
        <v>0</v>
      </c>
      <c r="G56" s="245">
        <f t="shared" si="9"/>
        <v>0</v>
      </c>
      <c r="H56" s="246"/>
      <c r="I56" s="241" t="s">
        <v>192</v>
      </c>
      <c r="J56" s="243">
        <f>Summary!E5</f>
        <v>27.9</v>
      </c>
      <c r="K56" s="3"/>
      <c r="L56" s="3"/>
      <c r="M56" s="3"/>
      <c r="N56" s="3"/>
      <c r="O56" s="3"/>
      <c r="P56" s="3"/>
      <c r="Q56" s="3"/>
      <c r="R56" s="3"/>
      <c r="S56" s="3"/>
      <c r="T56" s="3"/>
      <c r="U56" s="3"/>
      <c r="V56" s="3"/>
      <c r="W56" s="3"/>
      <c r="X56" s="3"/>
      <c r="Y56" s="3"/>
      <c r="Z56" s="3"/>
    </row>
    <row r="57" spans="1:26" ht="15.75" customHeight="1" x14ac:dyDescent="0.25">
      <c r="A57" s="3"/>
      <c r="B57" s="3"/>
      <c r="C57" s="244"/>
      <c r="D57" s="49"/>
      <c r="E57" s="49"/>
      <c r="F57" s="68"/>
      <c r="G57" s="245"/>
      <c r="H57" s="246"/>
      <c r="I57" s="241" t="s">
        <v>194</v>
      </c>
      <c r="J57" s="243">
        <f>Summary!E6</f>
        <v>273</v>
      </c>
      <c r="K57" s="3"/>
      <c r="L57" s="3"/>
      <c r="M57" s="3"/>
      <c r="N57" s="3"/>
      <c r="O57" s="3"/>
      <c r="P57" s="3"/>
      <c r="Q57" s="3"/>
      <c r="R57" s="3"/>
      <c r="S57" s="3"/>
      <c r="T57" s="3"/>
      <c r="U57" s="3"/>
      <c r="V57" s="3"/>
      <c r="W57" s="3"/>
      <c r="X57" s="3"/>
      <c r="Y57" s="3"/>
      <c r="Z57" s="3"/>
    </row>
    <row r="58" spans="1:26" ht="15.75" customHeight="1" x14ac:dyDescent="0.25">
      <c r="A58" s="3"/>
      <c r="B58" s="3"/>
      <c r="C58" s="244" t="s">
        <v>179</v>
      </c>
      <c r="D58" s="68">
        <f>E9+E19+E29+E39</f>
        <v>580</v>
      </c>
      <c r="E58" s="68">
        <f>F58*1.1023</f>
        <v>19.51071</v>
      </c>
      <c r="F58" s="68">
        <f>E11+E21+E31+E41</f>
        <v>17.7</v>
      </c>
      <c r="G58" s="245">
        <f>F58/1000000</f>
        <v>1.77E-5</v>
      </c>
      <c r="H58" s="246"/>
      <c r="I58" s="241" t="s">
        <v>197</v>
      </c>
      <c r="J58" s="243">
        <f>Summary!E7</f>
        <v>24300</v>
      </c>
      <c r="K58" s="3"/>
      <c r="L58" s="3"/>
      <c r="M58" s="3"/>
      <c r="N58" s="3"/>
      <c r="O58" s="3"/>
      <c r="P58" s="3"/>
      <c r="Q58" s="3"/>
      <c r="R58" s="3"/>
      <c r="S58" s="3"/>
      <c r="T58" s="3"/>
      <c r="U58" s="3"/>
      <c r="V58" s="3"/>
      <c r="W58" s="3"/>
      <c r="X58" s="3"/>
      <c r="Y58" s="3"/>
      <c r="Z58" s="3"/>
    </row>
    <row r="59" spans="1:26" ht="15.75" customHeight="1" x14ac:dyDescent="0.25">
      <c r="A59" s="3"/>
      <c r="B59" s="3"/>
      <c r="C59" s="244"/>
      <c r="D59" s="49"/>
      <c r="E59" s="49"/>
      <c r="F59" s="68"/>
      <c r="G59" s="245"/>
      <c r="H59" s="246"/>
      <c r="I59" s="241"/>
      <c r="J59" s="243"/>
      <c r="K59" s="3"/>
      <c r="L59" s="3"/>
      <c r="M59" s="3"/>
      <c r="N59" s="3"/>
      <c r="O59" s="3"/>
      <c r="P59" s="3"/>
      <c r="Q59" s="3"/>
      <c r="R59" s="3"/>
      <c r="S59" s="3"/>
      <c r="T59" s="3"/>
      <c r="U59" s="3"/>
      <c r="V59" s="3"/>
      <c r="W59" s="3"/>
      <c r="X59" s="3"/>
      <c r="Y59" s="3"/>
      <c r="Z59" s="3"/>
    </row>
    <row r="60" spans="1:26" ht="15.75" customHeight="1" x14ac:dyDescent="0.25">
      <c r="A60" s="3"/>
      <c r="B60" s="3"/>
      <c r="C60" s="244" t="s">
        <v>77</v>
      </c>
      <c r="D60" s="68">
        <f>F9+G9+F19+G19+F29+G29+F39+G39</f>
        <v>6413743</v>
      </c>
      <c r="E60" s="68">
        <f>F60*1.1023</f>
        <v>1428193.3415499998</v>
      </c>
      <c r="F60" s="68">
        <f>F11+G11+F21+G21+F31+G31+F41+G41</f>
        <v>1295648.4999999998</v>
      </c>
      <c r="G60" s="245">
        <f>F60/1000000</f>
        <v>1.2956484999999998</v>
      </c>
      <c r="H60" s="246"/>
      <c r="I60" s="170"/>
      <c r="J60" s="3"/>
      <c r="K60" s="3"/>
      <c r="L60" s="3"/>
      <c r="M60" s="3"/>
      <c r="N60" s="3"/>
      <c r="O60" s="3"/>
      <c r="P60" s="3"/>
      <c r="Q60" s="3"/>
      <c r="R60" s="3"/>
      <c r="S60" s="3"/>
      <c r="T60" s="3"/>
      <c r="U60" s="3"/>
      <c r="V60" s="3"/>
      <c r="W60" s="3"/>
      <c r="X60" s="3"/>
      <c r="Y60" s="3"/>
      <c r="Z60" s="3"/>
    </row>
    <row r="61" spans="1:26" ht="15.75" customHeight="1" x14ac:dyDescent="0.25">
      <c r="A61" s="3"/>
      <c r="B61" s="3"/>
      <c r="C61" s="257"/>
      <c r="D61" s="259"/>
      <c r="E61" s="259"/>
      <c r="F61" s="260"/>
      <c r="G61" s="261"/>
      <c r="H61" s="262"/>
      <c r="I61" s="3"/>
      <c r="J61" s="3"/>
      <c r="K61" s="3"/>
      <c r="L61" s="3"/>
      <c r="M61" s="3"/>
      <c r="N61" s="3"/>
      <c r="O61" s="3"/>
      <c r="P61" s="3"/>
      <c r="Q61" s="3"/>
      <c r="R61" s="3"/>
      <c r="S61" s="3"/>
      <c r="T61" s="3"/>
      <c r="U61" s="3"/>
      <c r="V61" s="3"/>
      <c r="W61" s="3"/>
      <c r="X61" s="3"/>
      <c r="Y61" s="3"/>
      <c r="Z61" s="3"/>
    </row>
    <row r="62" spans="1:26" ht="15.75" customHeight="1" x14ac:dyDescent="0.25">
      <c r="A62" s="3"/>
      <c r="B62" s="3"/>
      <c r="C62" s="264" t="s">
        <v>205</v>
      </c>
      <c r="D62" s="267">
        <f>SUM(D56:D61)</f>
        <v>6414323</v>
      </c>
      <c r="E62" s="267">
        <f t="shared" ref="E62:F62" si="10">E56+E58+E60</f>
        <v>1428212.8522599998</v>
      </c>
      <c r="F62" s="272">
        <f t="shared" si="10"/>
        <v>1295666.1999999997</v>
      </c>
      <c r="G62" s="273">
        <f>F62/1000000</f>
        <v>1.2956661999999997</v>
      </c>
      <c r="H62" s="275"/>
      <c r="I62" s="3"/>
      <c r="J62" s="3"/>
      <c r="K62" s="3"/>
      <c r="L62" s="3"/>
      <c r="M62" s="3"/>
      <c r="N62" s="3"/>
      <c r="O62" s="3"/>
      <c r="P62" s="3"/>
      <c r="Q62" s="3"/>
      <c r="R62" s="3"/>
      <c r="S62" s="3"/>
      <c r="T62" s="3"/>
      <c r="U62" s="3"/>
      <c r="V62" s="3"/>
      <c r="W62" s="3"/>
      <c r="X62" s="3"/>
      <c r="Y62" s="3"/>
      <c r="Z62" s="3"/>
    </row>
    <row r="63" spans="1:26" ht="15.75" customHeight="1" x14ac:dyDescent="0.25">
      <c r="A63" s="3"/>
      <c r="B63" s="3"/>
      <c r="C63" s="265"/>
      <c r="D63" s="266"/>
      <c r="E63" s="266"/>
      <c r="F63" s="266"/>
      <c r="G63" s="277"/>
      <c r="H63" s="278"/>
      <c r="I63" s="3"/>
      <c r="J63" s="3"/>
      <c r="K63" s="3"/>
      <c r="L63" s="3"/>
      <c r="M63" s="3"/>
      <c r="N63" s="3"/>
      <c r="O63" s="3"/>
      <c r="P63" s="3"/>
      <c r="Q63" s="3"/>
      <c r="R63" s="3"/>
      <c r="S63" s="3"/>
      <c r="T63" s="3"/>
      <c r="U63" s="3"/>
      <c r="V63" s="3"/>
      <c r="W63" s="3"/>
      <c r="X63" s="3"/>
      <c r="Y63" s="3"/>
      <c r="Z63" s="3"/>
    </row>
    <row r="64" spans="1:26" ht="15.75" customHeight="1" x14ac:dyDescent="0.25">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x14ac:dyDescent="0.25">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x14ac:dyDescent="0.25">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x14ac:dyDescent="0.25">
      <c r="A67" s="3"/>
      <c r="B67" s="3"/>
      <c r="C67" s="227"/>
      <c r="D67" s="284" t="s">
        <v>180</v>
      </c>
      <c r="E67" s="228" t="s">
        <v>216</v>
      </c>
      <c r="F67" s="228" t="s">
        <v>217</v>
      </c>
      <c r="G67" s="229" t="s">
        <v>218</v>
      </c>
      <c r="H67" s="3"/>
      <c r="I67" s="3"/>
      <c r="J67" s="3"/>
      <c r="K67" s="3"/>
      <c r="L67" s="3"/>
      <c r="M67" s="3"/>
      <c r="N67" s="3"/>
      <c r="O67" s="3"/>
      <c r="P67" s="3"/>
      <c r="Q67" s="3"/>
      <c r="R67" s="3"/>
      <c r="S67" s="3"/>
      <c r="T67" s="3"/>
      <c r="U67" s="3"/>
      <c r="V67" s="3"/>
      <c r="W67" s="3"/>
      <c r="X67" s="3"/>
      <c r="Y67" s="3"/>
      <c r="Z67" s="3"/>
    </row>
    <row r="68" spans="1:26" ht="15.75" customHeight="1" x14ac:dyDescent="0.25">
      <c r="A68" s="3"/>
      <c r="B68" s="3"/>
      <c r="C68" s="288"/>
      <c r="D68" s="290"/>
      <c r="E68" s="233" t="s">
        <v>35</v>
      </c>
      <c r="F68" s="233" t="s">
        <v>185</v>
      </c>
      <c r="G68" s="234" t="s">
        <v>186</v>
      </c>
      <c r="H68" s="3"/>
      <c r="I68" s="3"/>
      <c r="J68" s="3"/>
      <c r="K68" s="3"/>
      <c r="L68" s="3"/>
      <c r="M68" s="3"/>
      <c r="N68" s="3"/>
      <c r="O68" s="3"/>
      <c r="P68" s="3"/>
      <c r="Q68" s="3"/>
      <c r="R68" s="3"/>
      <c r="S68" s="3"/>
      <c r="T68" s="3"/>
      <c r="U68" s="3"/>
      <c r="V68" s="3"/>
      <c r="W68" s="3"/>
      <c r="X68" s="3"/>
      <c r="Y68" s="3"/>
      <c r="Z68" s="3"/>
    </row>
    <row r="69" spans="1:26" ht="15.75" customHeight="1" x14ac:dyDescent="0.25">
      <c r="A69" s="3"/>
      <c r="B69" s="3"/>
      <c r="C69" s="237"/>
      <c r="D69" s="238"/>
      <c r="E69" s="238"/>
      <c r="F69" s="238"/>
      <c r="G69" s="240"/>
      <c r="H69" s="3"/>
      <c r="I69" s="3"/>
      <c r="J69" s="3"/>
      <c r="K69" s="3"/>
      <c r="L69" s="3"/>
      <c r="M69" s="3"/>
      <c r="N69" s="3"/>
      <c r="O69" s="3"/>
      <c r="P69" s="3"/>
      <c r="Q69" s="3"/>
      <c r="R69" s="3"/>
      <c r="S69" s="3"/>
      <c r="T69" s="3"/>
      <c r="U69" s="3"/>
      <c r="V69" s="3"/>
      <c r="W69" s="3"/>
      <c r="X69" s="3"/>
      <c r="Y69" s="3"/>
      <c r="Z69" s="3"/>
    </row>
    <row r="70" spans="1:26" ht="15.75" customHeight="1" x14ac:dyDescent="0.25">
      <c r="A70" s="3"/>
      <c r="B70" s="3"/>
      <c r="C70" s="244" t="s">
        <v>53</v>
      </c>
      <c r="D70" s="68">
        <v>0</v>
      </c>
      <c r="E70" s="68">
        <f t="shared" ref="E70:G70" si="11">0</f>
        <v>0</v>
      </c>
      <c r="F70" s="117">
        <f t="shared" si="11"/>
        <v>0</v>
      </c>
      <c r="G70" s="245">
        <f t="shared" si="11"/>
        <v>0</v>
      </c>
      <c r="H70" s="3"/>
      <c r="I70" s="3"/>
      <c r="J70" s="3"/>
      <c r="K70" s="3"/>
      <c r="L70" s="3"/>
      <c r="M70" s="3"/>
      <c r="N70" s="3"/>
      <c r="O70" s="3"/>
      <c r="P70" s="3"/>
      <c r="Q70" s="3"/>
      <c r="R70" s="3"/>
      <c r="S70" s="3"/>
      <c r="T70" s="3"/>
      <c r="U70" s="3"/>
      <c r="V70" s="3"/>
      <c r="W70" s="3"/>
      <c r="X70" s="3"/>
      <c r="Y70" s="3"/>
      <c r="Z70" s="3"/>
    </row>
    <row r="71" spans="1:26" ht="15.75" customHeight="1" x14ac:dyDescent="0.25">
      <c r="A71" s="3"/>
      <c r="B71" s="3"/>
      <c r="C71" s="244"/>
      <c r="D71" s="49"/>
      <c r="E71" s="49"/>
      <c r="F71" s="117"/>
      <c r="G71" s="245"/>
      <c r="H71" s="3"/>
      <c r="I71" s="3"/>
      <c r="J71" s="3"/>
      <c r="K71" s="3"/>
      <c r="L71" s="3"/>
      <c r="M71" s="3"/>
      <c r="N71" s="3"/>
      <c r="O71" s="3"/>
      <c r="P71" s="3"/>
      <c r="Q71" s="3"/>
      <c r="R71" s="3"/>
      <c r="S71" s="3"/>
      <c r="T71" s="3"/>
      <c r="U71" s="3"/>
      <c r="V71" s="3"/>
      <c r="W71" s="3"/>
      <c r="X71" s="3"/>
      <c r="Y71" s="3"/>
      <c r="Z71" s="3"/>
    </row>
    <row r="72" spans="1:26" ht="15.75" customHeight="1" x14ac:dyDescent="0.25">
      <c r="A72" s="3"/>
      <c r="B72" s="3"/>
      <c r="C72" s="244" t="s">
        <v>179</v>
      </c>
      <c r="D72" s="68">
        <v>580</v>
      </c>
      <c r="E72" s="68">
        <f>F72*1.1023</f>
        <v>0</v>
      </c>
      <c r="F72" s="117">
        <f>E12+E22+E32+E42</f>
        <v>0</v>
      </c>
      <c r="G72" s="245">
        <f>(F72/1000000)*$J$56</f>
        <v>0</v>
      </c>
      <c r="H72" s="3"/>
      <c r="I72" s="3"/>
      <c r="J72" s="3"/>
      <c r="K72" s="3"/>
      <c r="L72" s="3"/>
      <c r="M72" s="3"/>
      <c r="N72" s="3"/>
      <c r="O72" s="3"/>
      <c r="P72" s="3"/>
      <c r="Q72" s="3"/>
      <c r="R72" s="3"/>
      <c r="S72" s="3"/>
      <c r="T72" s="3"/>
      <c r="U72" s="3"/>
      <c r="V72" s="3"/>
      <c r="W72" s="3"/>
      <c r="X72" s="3"/>
      <c r="Y72" s="3"/>
      <c r="Z72" s="3"/>
    </row>
    <row r="73" spans="1:26" ht="15.75" customHeight="1" x14ac:dyDescent="0.25">
      <c r="A73" s="3"/>
      <c r="B73" s="3"/>
      <c r="C73" s="244"/>
      <c r="D73" s="49"/>
      <c r="E73" s="49"/>
      <c r="F73" s="68"/>
      <c r="G73" s="245"/>
      <c r="H73" s="3"/>
      <c r="I73" s="3"/>
      <c r="J73" s="3"/>
      <c r="K73" s="3"/>
      <c r="L73" s="3"/>
      <c r="M73" s="3"/>
      <c r="N73" s="3"/>
      <c r="O73" s="3"/>
      <c r="P73" s="3"/>
      <c r="Q73" s="3"/>
      <c r="R73" s="3"/>
      <c r="S73" s="3"/>
      <c r="T73" s="3"/>
      <c r="U73" s="3"/>
      <c r="V73" s="3"/>
      <c r="W73" s="3"/>
      <c r="X73" s="3"/>
      <c r="Y73" s="3"/>
      <c r="Z73" s="3"/>
    </row>
    <row r="74" spans="1:26" ht="15.75" customHeight="1" x14ac:dyDescent="0.25">
      <c r="A74" s="3"/>
      <c r="B74" s="3"/>
      <c r="C74" s="244" t="s">
        <v>77</v>
      </c>
      <c r="D74" s="68">
        <v>6413743</v>
      </c>
      <c r="E74" s="190">
        <f>F74*1.1023</f>
        <v>2.6896119999999994</v>
      </c>
      <c r="F74" s="190">
        <f>G12+F12+G22+F22+G32+F32+G42+F42</f>
        <v>2.4399999999999995</v>
      </c>
      <c r="G74" s="245">
        <f>(F74/1000000)*$J$56</f>
        <v>6.8075999999999976E-5</v>
      </c>
      <c r="H74" s="3"/>
      <c r="I74" s="3"/>
      <c r="J74" s="3"/>
      <c r="K74" s="3"/>
      <c r="L74" s="3"/>
      <c r="M74" s="3"/>
      <c r="N74" s="3"/>
      <c r="O74" s="3"/>
      <c r="P74" s="3"/>
      <c r="Q74" s="3"/>
      <c r="R74" s="3"/>
      <c r="S74" s="3"/>
      <c r="T74" s="3"/>
      <c r="U74" s="3"/>
      <c r="V74" s="3"/>
      <c r="W74" s="3"/>
      <c r="X74" s="3"/>
      <c r="Y74" s="3"/>
      <c r="Z74" s="3"/>
    </row>
    <row r="75" spans="1:26" ht="15.75" customHeight="1" x14ac:dyDescent="0.25">
      <c r="A75" s="3"/>
      <c r="B75" s="3"/>
      <c r="C75" s="257"/>
      <c r="D75" s="259"/>
      <c r="E75" s="259"/>
      <c r="F75" s="260"/>
      <c r="G75" s="261"/>
      <c r="H75" s="3"/>
      <c r="I75" s="3"/>
      <c r="J75" s="3"/>
      <c r="K75" s="3"/>
      <c r="L75" s="3"/>
      <c r="M75" s="3"/>
      <c r="N75" s="3"/>
      <c r="O75" s="3"/>
      <c r="P75" s="3"/>
      <c r="Q75" s="3"/>
      <c r="R75" s="3"/>
      <c r="S75" s="3"/>
      <c r="T75" s="3"/>
      <c r="U75" s="3"/>
      <c r="V75" s="3"/>
      <c r="W75" s="3"/>
      <c r="X75" s="3"/>
      <c r="Y75" s="3"/>
      <c r="Z75" s="3"/>
    </row>
    <row r="76" spans="1:26" ht="15.75" customHeight="1" x14ac:dyDescent="0.25">
      <c r="A76" s="3"/>
      <c r="B76" s="3"/>
      <c r="C76" s="306" t="s">
        <v>205</v>
      </c>
      <c r="D76" s="307">
        <v>6414323</v>
      </c>
      <c r="E76" s="309">
        <f>E70+E72+E74</f>
        <v>2.6896119999999994</v>
      </c>
      <c r="F76" s="312">
        <f>E76*0.9072</f>
        <v>2.4400160063999996</v>
      </c>
      <c r="G76" s="314">
        <f>(F76/1000000)*$J$56</f>
        <v>6.8076446578559983E-5</v>
      </c>
      <c r="H76" s="3"/>
      <c r="I76" s="3"/>
      <c r="J76" s="3"/>
      <c r="K76" s="3"/>
      <c r="L76" s="3"/>
      <c r="M76" s="3"/>
      <c r="N76" s="3"/>
      <c r="O76" s="3"/>
      <c r="P76" s="3"/>
      <c r="Q76" s="3"/>
      <c r="R76" s="3"/>
      <c r="S76" s="3"/>
      <c r="T76" s="3"/>
      <c r="U76" s="3"/>
      <c r="V76" s="3"/>
      <c r="W76" s="3"/>
      <c r="X76" s="3"/>
      <c r="Y76" s="3"/>
      <c r="Z76" s="3"/>
    </row>
    <row r="77" spans="1:26" ht="15.75" customHeight="1" x14ac:dyDescent="0.25">
      <c r="A77" s="3"/>
      <c r="B77" s="3"/>
      <c r="C77" s="318"/>
      <c r="D77" s="319"/>
      <c r="E77" s="319"/>
      <c r="F77" s="319"/>
      <c r="G77" s="320"/>
      <c r="H77" s="3"/>
      <c r="I77" s="3"/>
      <c r="J77" s="3"/>
      <c r="K77" s="3"/>
      <c r="L77" s="3"/>
      <c r="M77" s="3"/>
      <c r="N77" s="3"/>
      <c r="O77" s="3"/>
      <c r="P77" s="3"/>
      <c r="Q77" s="3"/>
      <c r="R77" s="3"/>
      <c r="S77" s="3"/>
      <c r="T77" s="3"/>
      <c r="U77" s="3"/>
      <c r="V77" s="3"/>
      <c r="W77" s="3"/>
      <c r="X77" s="3"/>
      <c r="Y77" s="3"/>
      <c r="Z77" s="3"/>
    </row>
    <row r="78" spans="1:26" ht="15.75" customHeight="1" x14ac:dyDescent="0.2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2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25">
      <c r="A80" s="3"/>
      <c r="B80" s="3"/>
      <c r="C80" s="227"/>
      <c r="D80" s="284" t="s">
        <v>180</v>
      </c>
      <c r="E80" s="228" t="s">
        <v>240</v>
      </c>
      <c r="F80" s="228" t="s">
        <v>241</v>
      </c>
      <c r="G80" s="229" t="s">
        <v>242</v>
      </c>
      <c r="H80" s="3"/>
      <c r="I80" s="3"/>
      <c r="J80" s="3"/>
      <c r="K80" s="3"/>
      <c r="L80" s="3"/>
      <c r="M80" s="3"/>
      <c r="N80" s="3"/>
      <c r="O80" s="3"/>
      <c r="P80" s="3"/>
      <c r="Q80" s="3"/>
      <c r="R80" s="3"/>
      <c r="S80" s="3"/>
      <c r="T80" s="3"/>
      <c r="U80" s="3"/>
      <c r="V80" s="3"/>
      <c r="W80" s="3"/>
      <c r="X80" s="3"/>
      <c r="Y80" s="3"/>
      <c r="Z80" s="3"/>
    </row>
    <row r="81" spans="1:26" ht="15.75" customHeight="1" x14ac:dyDescent="0.25">
      <c r="A81" s="3"/>
      <c r="B81" s="3"/>
      <c r="C81" s="232"/>
      <c r="D81" s="233"/>
      <c r="E81" s="233" t="s">
        <v>35</v>
      </c>
      <c r="F81" s="233" t="s">
        <v>185</v>
      </c>
      <c r="G81" s="234" t="s">
        <v>186</v>
      </c>
      <c r="H81" s="3"/>
      <c r="I81" s="3"/>
      <c r="J81" s="3"/>
      <c r="K81" s="3"/>
      <c r="L81" s="3"/>
      <c r="M81" s="3"/>
      <c r="N81" s="3"/>
      <c r="O81" s="3"/>
      <c r="P81" s="3"/>
      <c r="Q81" s="3"/>
      <c r="R81" s="3"/>
      <c r="S81" s="3"/>
      <c r="T81" s="3"/>
      <c r="U81" s="3"/>
      <c r="V81" s="3"/>
      <c r="W81" s="3"/>
      <c r="X81" s="3"/>
      <c r="Y81" s="3"/>
      <c r="Z81" s="3"/>
    </row>
    <row r="82" spans="1:26" ht="15.75" customHeight="1" x14ac:dyDescent="0.25">
      <c r="A82" s="3"/>
      <c r="B82" s="3"/>
      <c r="C82" s="237"/>
      <c r="D82" s="238"/>
      <c r="E82" s="238"/>
      <c r="F82" s="238"/>
      <c r="G82" s="240"/>
      <c r="H82" s="3"/>
      <c r="I82" s="3"/>
      <c r="J82" s="3"/>
      <c r="K82" s="3"/>
      <c r="L82" s="3"/>
      <c r="M82" s="3"/>
      <c r="N82" s="3"/>
      <c r="O82" s="3"/>
      <c r="P82" s="3"/>
      <c r="Q82" s="3"/>
      <c r="R82" s="3"/>
      <c r="S82" s="3"/>
      <c r="T82" s="3"/>
      <c r="U82" s="3"/>
      <c r="V82" s="3"/>
      <c r="W82" s="3"/>
      <c r="X82" s="3"/>
      <c r="Y82" s="3"/>
      <c r="Z82" s="3"/>
    </row>
    <row r="83" spans="1:26" ht="15.75" customHeight="1" x14ac:dyDescent="0.25">
      <c r="A83" s="3"/>
      <c r="B83" s="3"/>
      <c r="C83" s="244" t="s">
        <v>53</v>
      </c>
      <c r="D83" s="68">
        <v>0</v>
      </c>
      <c r="E83" s="68">
        <f t="shared" ref="E83:G83" si="12">0</f>
        <v>0</v>
      </c>
      <c r="F83" s="68">
        <f t="shared" si="12"/>
        <v>0</v>
      </c>
      <c r="G83" s="245">
        <f t="shared" si="12"/>
        <v>0</v>
      </c>
      <c r="H83" s="3"/>
      <c r="I83" s="3"/>
      <c r="J83" s="3"/>
      <c r="K83" s="3"/>
      <c r="L83" s="3"/>
      <c r="M83" s="3"/>
      <c r="N83" s="3"/>
      <c r="O83" s="3"/>
      <c r="P83" s="3"/>
      <c r="Q83" s="3"/>
      <c r="R83" s="3"/>
      <c r="S83" s="3"/>
      <c r="T83" s="3"/>
      <c r="U83" s="3"/>
      <c r="V83" s="3"/>
      <c r="W83" s="3"/>
      <c r="X83" s="3"/>
      <c r="Y83" s="3"/>
      <c r="Z83" s="3"/>
    </row>
    <row r="84" spans="1:26" ht="15.75" customHeight="1" x14ac:dyDescent="0.25">
      <c r="A84" s="3"/>
      <c r="B84" s="3"/>
      <c r="C84" s="244"/>
      <c r="D84" s="49"/>
      <c r="E84" s="49"/>
      <c r="F84" s="68"/>
      <c r="G84" s="245"/>
      <c r="H84" s="3"/>
      <c r="I84" s="3"/>
      <c r="J84" s="3"/>
      <c r="K84" s="3"/>
      <c r="L84" s="3"/>
      <c r="M84" s="3"/>
      <c r="N84" s="3"/>
      <c r="O84" s="3"/>
      <c r="P84" s="3"/>
      <c r="Q84" s="3"/>
      <c r="R84" s="3"/>
      <c r="S84" s="3"/>
      <c r="T84" s="3"/>
      <c r="U84" s="3"/>
      <c r="V84" s="3"/>
      <c r="W84" s="3"/>
      <c r="X84" s="3"/>
      <c r="Y84" s="3"/>
      <c r="Z84" s="3"/>
    </row>
    <row r="85" spans="1:26" ht="15.75" customHeight="1" x14ac:dyDescent="0.25">
      <c r="A85" s="3"/>
      <c r="B85" s="3"/>
      <c r="C85" s="244" t="s">
        <v>179</v>
      </c>
      <c r="D85" s="68">
        <v>580</v>
      </c>
      <c r="E85" s="68">
        <f>F85*1.1023</f>
        <v>0</v>
      </c>
      <c r="F85" s="68">
        <f>E13+E23+E33+E43</f>
        <v>0</v>
      </c>
      <c r="G85" s="245">
        <f>(F85/1000000)*$J$57</f>
        <v>0</v>
      </c>
      <c r="H85" s="3"/>
      <c r="I85" s="3"/>
      <c r="J85" s="3"/>
      <c r="K85" s="3"/>
      <c r="L85" s="3"/>
      <c r="M85" s="3"/>
      <c r="N85" s="3"/>
      <c r="O85" s="3"/>
      <c r="P85" s="3"/>
      <c r="Q85" s="3"/>
      <c r="R85" s="3"/>
      <c r="S85" s="3"/>
      <c r="T85" s="3"/>
      <c r="U85" s="3"/>
      <c r="V85" s="3"/>
      <c r="W85" s="3"/>
      <c r="X85" s="3"/>
      <c r="Y85" s="3"/>
      <c r="Z85" s="3"/>
    </row>
    <row r="86" spans="1:26" ht="15.75" customHeight="1" x14ac:dyDescent="0.25">
      <c r="A86" s="3"/>
      <c r="B86" s="3"/>
      <c r="C86" s="244"/>
      <c r="D86" s="49"/>
      <c r="E86" s="49"/>
      <c r="F86" s="68"/>
      <c r="G86" s="245"/>
      <c r="H86" s="3"/>
      <c r="I86" s="3"/>
      <c r="J86" s="3"/>
      <c r="K86" s="3"/>
      <c r="L86" s="3"/>
      <c r="M86" s="3"/>
      <c r="N86" s="3"/>
      <c r="O86" s="3"/>
      <c r="P86" s="3"/>
      <c r="Q86" s="3"/>
      <c r="R86" s="3"/>
      <c r="S86" s="3"/>
      <c r="T86" s="3"/>
      <c r="U86" s="3"/>
      <c r="V86" s="3"/>
      <c r="W86" s="3"/>
      <c r="X86" s="3"/>
      <c r="Y86" s="3"/>
      <c r="Z86" s="3"/>
    </row>
    <row r="87" spans="1:26" ht="15.75" customHeight="1" x14ac:dyDescent="0.25">
      <c r="A87" s="3"/>
      <c r="B87" s="3"/>
      <c r="C87" s="244" t="s">
        <v>77</v>
      </c>
      <c r="D87" s="68">
        <v>6413743</v>
      </c>
      <c r="E87" s="331">
        <f>F87*1.1023</f>
        <v>0.76609850000000013</v>
      </c>
      <c r="F87" s="331">
        <f>G13+F13+G23+F23+G33+F33+G43+F43</f>
        <v>0.69500000000000006</v>
      </c>
      <c r="G87" s="245">
        <f>(F87/1000000)*$J$57</f>
        <v>1.8973500000000001E-4</v>
      </c>
      <c r="H87" s="3"/>
      <c r="I87" s="3"/>
      <c r="J87" s="3"/>
      <c r="K87" s="3"/>
      <c r="L87" s="3"/>
      <c r="M87" s="3"/>
      <c r="N87" s="3"/>
      <c r="O87" s="3"/>
      <c r="P87" s="3"/>
      <c r="Q87" s="3"/>
      <c r="R87" s="3"/>
      <c r="S87" s="3"/>
      <c r="T87" s="3"/>
      <c r="U87" s="3"/>
      <c r="V87" s="3"/>
      <c r="W87" s="3"/>
      <c r="X87" s="3"/>
      <c r="Y87" s="3"/>
      <c r="Z87" s="3"/>
    </row>
    <row r="88" spans="1:26" ht="15.75" customHeight="1" x14ac:dyDescent="0.25">
      <c r="A88" s="3"/>
      <c r="B88" s="3"/>
      <c r="C88" s="257"/>
      <c r="D88" s="259"/>
      <c r="E88" s="259"/>
      <c r="F88" s="260"/>
      <c r="G88" s="261"/>
      <c r="H88" s="3"/>
      <c r="I88" s="3"/>
      <c r="J88" s="3"/>
      <c r="K88" s="3"/>
      <c r="L88" s="3"/>
      <c r="M88" s="3"/>
      <c r="N88" s="3"/>
      <c r="O88" s="3"/>
      <c r="P88" s="3"/>
      <c r="Q88" s="3"/>
      <c r="R88" s="3"/>
      <c r="S88" s="3"/>
      <c r="T88" s="3"/>
      <c r="U88" s="3"/>
      <c r="V88" s="3"/>
      <c r="W88" s="3"/>
      <c r="X88" s="3"/>
      <c r="Y88" s="3"/>
      <c r="Z88" s="3"/>
    </row>
    <row r="89" spans="1:26" ht="15.75" customHeight="1" x14ac:dyDescent="0.25">
      <c r="A89" s="3"/>
      <c r="B89" s="3"/>
      <c r="C89" s="334" t="s">
        <v>205</v>
      </c>
      <c r="D89" s="335">
        <v>6414323</v>
      </c>
      <c r="E89" s="336">
        <f>E83+E85+E87</f>
        <v>0.76609850000000013</v>
      </c>
      <c r="F89" s="336">
        <f>E89*0.9072</f>
        <v>0.69500455920000015</v>
      </c>
      <c r="G89" s="337">
        <f>(F89/1000000)*$J$57</f>
        <v>1.8973624466160006E-4</v>
      </c>
      <c r="H89" s="3"/>
      <c r="I89" s="3"/>
      <c r="J89" s="3"/>
      <c r="K89" s="3"/>
      <c r="L89" s="3"/>
      <c r="M89" s="3"/>
      <c r="N89" s="3"/>
      <c r="O89" s="3"/>
      <c r="P89" s="3"/>
      <c r="Q89" s="3"/>
      <c r="R89" s="3"/>
      <c r="S89" s="3"/>
      <c r="T89" s="3"/>
      <c r="U89" s="3"/>
      <c r="V89" s="3"/>
      <c r="W89" s="3"/>
      <c r="X89" s="3"/>
      <c r="Y89" s="3"/>
      <c r="Z89" s="3"/>
    </row>
    <row r="90" spans="1:26" ht="15.75" customHeight="1" x14ac:dyDescent="0.25">
      <c r="A90" s="3"/>
      <c r="B90" s="3"/>
      <c r="C90" s="265"/>
      <c r="D90" s="266"/>
      <c r="E90" s="266"/>
      <c r="F90" s="266"/>
      <c r="G90" s="277"/>
      <c r="H90" s="3"/>
      <c r="I90" s="3"/>
      <c r="J90" s="3"/>
      <c r="K90" s="3"/>
      <c r="L90" s="3"/>
      <c r="M90" s="3"/>
      <c r="N90" s="3"/>
      <c r="O90" s="3"/>
      <c r="P90" s="3"/>
      <c r="Q90" s="3"/>
      <c r="R90" s="3"/>
      <c r="S90" s="3"/>
      <c r="T90" s="3"/>
      <c r="U90" s="3"/>
      <c r="V90" s="3"/>
      <c r="W90" s="3"/>
      <c r="X90" s="3"/>
      <c r="Y90" s="3"/>
      <c r="Z90" s="3"/>
    </row>
    <row r="91" spans="1:26" ht="15.75" customHeight="1" x14ac:dyDescent="0.2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2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2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2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2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2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2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2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2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2"/>
    <row r="291" spans="1:26" ht="15.75" customHeight="1" x14ac:dyDescent="0.2"/>
    <row r="292" spans="1:26" ht="15.75" customHeight="1" x14ac:dyDescent="0.2"/>
    <row r="293" spans="1:26" ht="15.75" customHeight="1" x14ac:dyDescent="0.2"/>
    <row r="294" spans="1:26" ht="15.75" customHeight="1" x14ac:dyDescent="0.2"/>
    <row r="295" spans="1:26" ht="15.75" customHeight="1" x14ac:dyDescent="0.2"/>
    <row r="296" spans="1:26" ht="15.75" customHeight="1" x14ac:dyDescent="0.2"/>
    <row r="297" spans="1:26" ht="15.75" customHeight="1" x14ac:dyDescent="0.2"/>
    <row r="298" spans="1:26" ht="15.75" customHeight="1" x14ac:dyDescent="0.2"/>
    <row r="299" spans="1:26" ht="15.75" customHeight="1" x14ac:dyDescent="0.2"/>
    <row r="300" spans="1:26" ht="15.75" customHeight="1" x14ac:dyDescent="0.2"/>
    <row r="301" spans="1:26" ht="15.75" customHeight="1" x14ac:dyDescent="0.2"/>
    <row r="302" spans="1:26" ht="15.75" customHeight="1" x14ac:dyDescent="0.2"/>
    <row r="303" spans="1:26" ht="15.75" customHeight="1" x14ac:dyDescent="0.2"/>
    <row r="304" spans="1:26"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2">
    <mergeCell ref="E4:G4"/>
    <mergeCell ref="I53:J53"/>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workbookViewId="0"/>
  </sheetViews>
  <sheetFormatPr defaultColWidth="16.83203125" defaultRowHeight="15" customHeight="1" x14ac:dyDescent="0.2"/>
  <cols>
    <col min="1" max="1" width="9.33203125" customWidth="1"/>
    <col min="2" max="2" width="11.6640625" customWidth="1"/>
    <col min="3" max="3" width="33.33203125" customWidth="1"/>
    <col min="4" max="4" width="13.6640625" customWidth="1"/>
    <col min="5" max="7" width="15.33203125" customWidth="1"/>
    <col min="8" max="8" width="17.1640625" customWidth="1"/>
    <col min="9" max="9" width="12" customWidth="1"/>
    <col min="10" max="10" width="11.6640625" customWidth="1"/>
    <col min="11" max="11" width="11.1640625" customWidth="1"/>
    <col min="12" max="13" width="9.33203125" customWidth="1"/>
    <col min="14" max="26" width="8" customWidth="1"/>
  </cols>
  <sheetData>
    <row r="1" spans="1:26" x14ac:dyDescent="0.25">
      <c r="A1" s="3"/>
      <c r="B1" s="3"/>
      <c r="C1" s="3"/>
      <c r="D1" s="3"/>
      <c r="E1" s="3"/>
      <c r="F1" s="3"/>
      <c r="G1" s="3"/>
      <c r="H1" s="3"/>
      <c r="I1" s="3"/>
      <c r="J1" s="3"/>
      <c r="K1" s="3"/>
      <c r="L1" s="3"/>
      <c r="M1" s="3"/>
      <c r="N1" s="3"/>
      <c r="O1" s="3"/>
      <c r="P1" s="3"/>
      <c r="Q1" s="3"/>
      <c r="R1" s="3"/>
      <c r="S1" s="3"/>
      <c r="T1" s="3"/>
      <c r="U1" s="3"/>
      <c r="V1" s="3"/>
      <c r="W1" s="3"/>
      <c r="X1" s="3"/>
      <c r="Y1" s="3"/>
      <c r="Z1" s="3"/>
    </row>
    <row r="2" spans="1:26" x14ac:dyDescent="0.25">
      <c r="A2" s="3"/>
      <c r="B2" s="3"/>
      <c r="C2" s="3"/>
      <c r="D2" s="3"/>
      <c r="E2" s="3"/>
      <c r="F2" s="3"/>
      <c r="G2" s="3"/>
      <c r="H2" s="3"/>
      <c r="I2" s="3"/>
      <c r="J2" s="3"/>
      <c r="K2" s="3"/>
      <c r="L2" s="3"/>
      <c r="M2" s="3"/>
      <c r="N2" s="3"/>
      <c r="O2" s="3"/>
      <c r="P2" s="3"/>
      <c r="Q2" s="3"/>
      <c r="R2" s="3"/>
      <c r="S2" s="3"/>
      <c r="T2" s="3"/>
      <c r="U2" s="3"/>
      <c r="V2" s="3"/>
      <c r="W2" s="3"/>
      <c r="X2" s="3"/>
      <c r="Y2" s="3"/>
      <c r="Z2" s="3"/>
    </row>
    <row r="3" spans="1:26" x14ac:dyDescent="0.25">
      <c r="A3" s="3"/>
      <c r="B3" s="3"/>
      <c r="C3" s="3"/>
      <c r="D3" s="3"/>
      <c r="E3" s="3"/>
      <c r="F3" s="3"/>
      <c r="G3" s="2316" t="s">
        <v>527</v>
      </c>
      <c r="H3" s="2317"/>
      <c r="I3" s="2317"/>
      <c r="J3" s="2317"/>
      <c r="K3" s="60"/>
      <c r="L3" s="3"/>
      <c r="M3" s="3"/>
      <c r="N3" s="3"/>
      <c r="O3" s="3"/>
      <c r="P3" s="3"/>
      <c r="Q3" s="3"/>
      <c r="R3" s="3"/>
      <c r="S3" s="3"/>
      <c r="T3" s="3"/>
      <c r="U3" s="3"/>
      <c r="V3" s="3"/>
      <c r="W3" s="3"/>
      <c r="X3" s="3"/>
      <c r="Y3" s="3"/>
      <c r="Z3" s="3"/>
    </row>
    <row r="4" spans="1:26" x14ac:dyDescent="0.25">
      <c r="A4" s="3"/>
      <c r="B4" s="3"/>
      <c r="C4" s="465" t="s">
        <v>528</v>
      </c>
      <c r="D4" s="3"/>
      <c r="E4" s="3"/>
      <c r="F4" s="466" t="s">
        <v>530</v>
      </c>
      <c r="G4" s="467" t="s">
        <v>531</v>
      </c>
      <c r="H4" s="467" t="s">
        <v>531</v>
      </c>
      <c r="I4" s="467" t="s">
        <v>531</v>
      </c>
      <c r="J4" s="467" t="s">
        <v>531</v>
      </c>
      <c r="K4" s="469" t="s">
        <v>531</v>
      </c>
      <c r="L4" s="3"/>
      <c r="M4" s="3"/>
      <c r="N4" s="3"/>
      <c r="O4" s="3"/>
      <c r="P4" s="3"/>
      <c r="Q4" s="3"/>
      <c r="R4" s="3"/>
      <c r="S4" s="3"/>
      <c r="T4" s="3"/>
      <c r="U4" s="3"/>
      <c r="V4" s="3"/>
      <c r="W4" s="3"/>
      <c r="X4" s="3"/>
      <c r="Y4" s="3"/>
      <c r="Z4" s="3"/>
    </row>
    <row r="5" spans="1:26" x14ac:dyDescent="0.25">
      <c r="A5" s="3"/>
      <c r="B5" s="3"/>
      <c r="C5" s="13"/>
      <c r="D5" s="3"/>
      <c r="E5" s="3"/>
      <c r="F5" s="470" t="s">
        <v>533</v>
      </c>
      <c r="G5" s="204">
        <v>1.0999999999999999E-2</v>
      </c>
      <c r="H5" s="204">
        <v>3.0000000000000001E-3</v>
      </c>
      <c r="I5" s="204">
        <v>3.0000000000000001E-3</v>
      </c>
      <c r="J5" s="204">
        <v>1E-3</v>
      </c>
      <c r="K5" s="472">
        <v>3.2000000000000001E-2</v>
      </c>
      <c r="L5" s="3"/>
      <c r="M5" s="3"/>
      <c r="N5" s="3"/>
      <c r="O5" s="3"/>
      <c r="P5" s="3"/>
      <c r="Q5" s="3"/>
      <c r="R5" s="3"/>
      <c r="S5" s="3"/>
      <c r="T5" s="3"/>
      <c r="U5" s="3"/>
      <c r="V5" s="3"/>
      <c r="W5" s="3"/>
      <c r="X5" s="3"/>
      <c r="Y5" s="3"/>
      <c r="Z5" s="3"/>
    </row>
    <row r="6" spans="1:26" x14ac:dyDescent="0.25">
      <c r="A6" s="3"/>
      <c r="B6" s="3"/>
      <c r="C6" s="13"/>
      <c r="D6" s="3"/>
      <c r="E6" s="3"/>
      <c r="F6" s="470" t="s">
        <v>534</v>
      </c>
      <c r="G6" s="204">
        <v>1.6000000000000001E-3</v>
      </c>
      <c r="H6" s="204">
        <v>5.9999999999999995E-4</v>
      </c>
      <c r="I6" s="204">
        <v>6.0000000000000001E-3</v>
      </c>
      <c r="J6" s="204">
        <v>1E-3</v>
      </c>
      <c r="K6" s="474">
        <v>4.1999999999999997E-3</v>
      </c>
      <c r="L6" s="3"/>
      <c r="M6" s="3"/>
      <c r="N6" s="3"/>
      <c r="O6" s="3"/>
      <c r="P6" s="3"/>
      <c r="Q6" s="3"/>
      <c r="R6" s="3"/>
      <c r="S6" s="3"/>
      <c r="T6" s="3"/>
      <c r="U6" s="3"/>
      <c r="V6" s="3"/>
      <c r="W6" s="3"/>
      <c r="X6" s="3"/>
      <c r="Y6" s="3"/>
      <c r="Z6" s="3"/>
    </row>
    <row r="7" spans="1:26" x14ac:dyDescent="0.25">
      <c r="A7" s="3"/>
      <c r="B7" s="3"/>
      <c r="C7" s="3"/>
      <c r="D7" s="3"/>
      <c r="E7" s="3"/>
      <c r="F7" s="209"/>
      <c r="G7" s="477" t="s">
        <v>53</v>
      </c>
      <c r="H7" s="477" t="s">
        <v>537</v>
      </c>
      <c r="I7" s="477" t="s">
        <v>538</v>
      </c>
      <c r="J7" s="477" t="s">
        <v>189</v>
      </c>
      <c r="K7" s="479" t="s">
        <v>195</v>
      </c>
      <c r="L7" s="3"/>
      <c r="M7" s="3"/>
      <c r="N7" s="3"/>
      <c r="O7" s="3"/>
      <c r="P7" s="3"/>
      <c r="Q7" s="3"/>
      <c r="R7" s="3"/>
      <c r="S7" s="3"/>
      <c r="T7" s="3"/>
      <c r="U7" s="3"/>
      <c r="V7" s="3"/>
      <c r="W7" s="3"/>
      <c r="X7" s="3"/>
      <c r="Y7" s="3"/>
      <c r="Z7" s="3"/>
    </row>
    <row r="8" spans="1:26" x14ac:dyDescent="0.25">
      <c r="A8" s="3"/>
      <c r="B8" s="3"/>
      <c r="C8" s="3"/>
      <c r="D8" s="3"/>
      <c r="E8" s="3"/>
      <c r="F8" s="3"/>
      <c r="G8" s="13"/>
      <c r="H8" s="13"/>
      <c r="I8" s="13"/>
      <c r="J8" s="13"/>
      <c r="K8" s="13"/>
      <c r="L8" s="3"/>
      <c r="M8" s="3"/>
      <c r="N8" s="3"/>
      <c r="O8" s="3"/>
      <c r="P8" s="3"/>
      <c r="Q8" s="3"/>
      <c r="R8" s="3"/>
      <c r="S8" s="3"/>
      <c r="T8" s="3"/>
      <c r="U8" s="3"/>
      <c r="V8" s="3"/>
      <c r="W8" s="3"/>
      <c r="X8" s="3"/>
      <c r="Y8" s="3"/>
      <c r="Z8" s="3"/>
    </row>
    <row r="9" spans="1:26" x14ac:dyDescent="0.25">
      <c r="A9" s="3"/>
      <c r="B9" s="3"/>
      <c r="C9" s="3"/>
      <c r="D9" s="3"/>
      <c r="E9" s="3"/>
      <c r="F9" s="3"/>
      <c r="G9" s="3"/>
      <c r="H9" s="3"/>
      <c r="I9" s="3"/>
      <c r="J9" s="3"/>
      <c r="K9" s="3"/>
      <c r="L9" s="3"/>
      <c r="M9" s="3"/>
      <c r="N9" s="3"/>
      <c r="O9" s="3"/>
      <c r="P9" s="3"/>
      <c r="Q9" s="3"/>
      <c r="R9" s="3"/>
      <c r="S9" s="3"/>
      <c r="T9" s="3"/>
      <c r="U9" s="3"/>
      <c r="V9" s="3"/>
      <c r="W9" s="3"/>
      <c r="X9" s="3"/>
      <c r="Y9" s="3"/>
      <c r="Z9" s="3"/>
    </row>
    <row r="10" spans="1:26" x14ac:dyDescent="0.25">
      <c r="A10" s="3"/>
      <c r="B10" s="17"/>
      <c r="C10" s="19"/>
      <c r="D10" s="2314">
        <v>2011</v>
      </c>
      <c r="E10" s="2315"/>
      <c r="F10" s="2315"/>
      <c r="G10" s="2315"/>
      <c r="H10" s="2309"/>
      <c r="I10" s="485" t="s">
        <v>205</v>
      </c>
      <c r="J10" s="26" t="s">
        <v>540</v>
      </c>
      <c r="K10" s="487" t="s">
        <v>541</v>
      </c>
      <c r="L10" s="3"/>
      <c r="M10" s="3"/>
      <c r="N10" s="3"/>
      <c r="O10" s="3"/>
      <c r="P10" s="3"/>
      <c r="Q10" s="3"/>
      <c r="R10" s="3"/>
      <c r="S10" s="3"/>
      <c r="T10" s="3"/>
      <c r="U10" s="3"/>
      <c r="V10" s="3"/>
      <c r="W10" s="3"/>
      <c r="X10" s="3"/>
      <c r="Y10" s="3"/>
      <c r="Z10" s="3"/>
    </row>
    <row r="11" spans="1:26" x14ac:dyDescent="0.25">
      <c r="A11" s="3"/>
      <c r="B11" s="28"/>
      <c r="C11" s="30"/>
      <c r="D11" s="146" t="s">
        <v>53</v>
      </c>
      <c r="E11" s="146" t="s">
        <v>542</v>
      </c>
      <c r="F11" s="146" t="s">
        <v>543</v>
      </c>
      <c r="G11" s="491" t="s">
        <v>195</v>
      </c>
      <c r="H11" s="491" t="s">
        <v>33</v>
      </c>
      <c r="I11" s="154"/>
      <c r="J11" s="49"/>
      <c r="K11" s="495"/>
      <c r="L11" s="3"/>
      <c r="M11" s="3"/>
      <c r="N11" s="3"/>
      <c r="O11" s="3"/>
      <c r="P11" s="3"/>
      <c r="Q11" s="3"/>
      <c r="R11" s="3"/>
      <c r="S11" s="3"/>
      <c r="T11" s="3"/>
      <c r="U11" s="3"/>
      <c r="V11" s="3"/>
      <c r="W11" s="3"/>
      <c r="X11" s="3"/>
      <c r="Y11" s="3"/>
      <c r="Z11" s="3"/>
    </row>
    <row r="12" spans="1:26" x14ac:dyDescent="0.25">
      <c r="A12" s="3"/>
      <c r="B12" s="497"/>
      <c r="C12" s="498"/>
      <c r="D12" s="500" t="s">
        <v>25</v>
      </c>
      <c r="E12" s="500" t="s">
        <v>37</v>
      </c>
      <c r="F12" s="500" t="s">
        <v>37</v>
      </c>
      <c r="G12" s="501" t="s">
        <v>25</v>
      </c>
      <c r="H12" s="501" t="s">
        <v>41</v>
      </c>
      <c r="I12" s="500"/>
      <c r="J12" s="500"/>
      <c r="K12" s="501"/>
      <c r="L12" s="3"/>
      <c r="M12" s="3"/>
      <c r="N12" s="3"/>
      <c r="O12" s="3"/>
      <c r="P12" s="3"/>
      <c r="Q12" s="3"/>
      <c r="R12" s="3"/>
      <c r="S12" s="3"/>
      <c r="T12" s="3"/>
      <c r="U12" s="3"/>
      <c r="V12" s="3"/>
      <c r="W12" s="3"/>
      <c r="X12" s="3"/>
      <c r="Y12" s="3"/>
      <c r="Z12" s="3"/>
    </row>
    <row r="13" spans="1:26" x14ac:dyDescent="0.25">
      <c r="A13" s="3"/>
      <c r="B13" s="507"/>
      <c r="C13" s="509"/>
      <c r="D13" s="140"/>
      <c r="E13" s="140"/>
      <c r="F13" s="140"/>
      <c r="G13" s="511"/>
      <c r="H13" s="140"/>
      <c r="I13" s="140"/>
      <c r="J13" s="140"/>
      <c r="K13" s="511"/>
      <c r="L13" s="3"/>
      <c r="M13" s="3"/>
      <c r="N13" s="3"/>
      <c r="O13" s="3"/>
      <c r="P13" s="3"/>
      <c r="Q13" s="3"/>
      <c r="R13" s="3"/>
      <c r="S13" s="3"/>
      <c r="T13" s="3"/>
      <c r="U13" s="3"/>
      <c r="V13" s="3"/>
      <c r="W13" s="3"/>
      <c r="X13" s="3"/>
      <c r="Y13" s="3"/>
      <c r="Z13" s="3"/>
    </row>
    <row r="14" spans="1:26" x14ac:dyDescent="0.25">
      <c r="A14" s="3"/>
      <c r="B14" s="515"/>
      <c r="C14" s="516" t="s">
        <v>62</v>
      </c>
      <c r="D14" s="517">
        <v>425900</v>
      </c>
      <c r="E14" s="517">
        <v>47886</v>
      </c>
      <c r="F14" s="517">
        <v>487145</v>
      </c>
      <c r="G14" s="519">
        <v>5518</v>
      </c>
      <c r="H14" s="517">
        <v>196372000</v>
      </c>
      <c r="I14" s="521"/>
      <c r="J14" s="517"/>
      <c r="K14" s="519"/>
      <c r="L14" s="3"/>
      <c r="M14" s="3"/>
      <c r="N14" s="3"/>
      <c r="O14" s="3"/>
      <c r="P14" s="3"/>
      <c r="Q14" s="3"/>
      <c r="R14" s="3"/>
      <c r="S14" s="3"/>
      <c r="T14" s="3"/>
      <c r="U14" s="3"/>
      <c r="V14" s="3"/>
      <c r="W14" s="3"/>
      <c r="X14" s="3"/>
      <c r="Y14" s="3"/>
      <c r="Z14" s="3"/>
    </row>
    <row r="15" spans="1:26" x14ac:dyDescent="0.25">
      <c r="A15" s="3"/>
      <c r="B15" s="523"/>
      <c r="C15" s="516" t="s">
        <v>64</v>
      </c>
      <c r="D15" s="517">
        <v>10862</v>
      </c>
      <c r="E15" s="517">
        <v>141324</v>
      </c>
      <c r="F15" s="517">
        <v>140001</v>
      </c>
      <c r="G15" s="519">
        <v>4643</v>
      </c>
      <c r="H15" s="517">
        <v>1053</v>
      </c>
      <c r="I15" s="521"/>
      <c r="J15" s="517"/>
      <c r="K15" s="519"/>
      <c r="L15" s="3"/>
      <c r="M15" s="3"/>
      <c r="N15" s="3"/>
      <c r="O15" s="3"/>
      <c r="P15" s="3"/>
      <c r="Q15" s="3"/>
      <c r="R15" s="3"/>
      <c r="S15" s="3"/>
      <c r="T15" s="3"/>
      <c r="U15" s="3"/>
      <c r="V15" s="3"/>
      <c r="W15" s="3"/>
      <c r="X15" s="3"/>
      <c r="Y15" s="3"/>
      <c r="Z15" s="3"/>
    </row>
    <row r="16" spans="1:26" x14ac:dyDescent="0.25">
      <c r="A16" s="3"/>
      <c r="B16" s="524"/>
      <c r="C16" s="526" t="s">
        <v>69</v>
      </c>
      <c r="D16" s="528">
        <f>+D14*D15*2000/1000000</f>
        <v>9252251.5999999996</v>
      </c>
      <c r="E16" s="530">
        <f t="shared" ref="E16:F16" si="0">+E14*E15/1000000</f>
        <v>6767.4410639999996</v>
      </c>
      <c r="F16" s="530">
        <f t="shared" si="0"/>
        <v>68200.787144999995</v>
      </c>
      <c r="G16" s="528">
        <f>+G14*G15*2000/1000000</f>
        <v>51240.148000000001</v>
      </c>
      <c r="H16" s="530">
        <f>+H14*H15/1000000</f>
        <v>206779.71599999999</v>
      </c>
      <c r="I16" s="530">
        <f>SUM(D16:H16)</f>
        <v>9585239.6922089998</v>
      </c>
      <c r="J16" s="537"/>
      <c r="K16" s="538"/>
      <c r="L16" s="3"/>
      <c r="M16" s="3"/>
      <c r="N16" s="3"/>
      <c r="O16" s="3"/>
      <c r="P16" s="3"/>
      <c r="Q16" s="3"/>
      <c r="R16" s="3"/>
      <c r="S16" s="3"/>
      <c r="T16" s="3"/>
      <c r="U16" s="3"/>
      <c r="V16" s="3"/>
      <c r="W16" s="3"/>
      <c r="X16" s="3"/>
      <c r="Y16" s="3"/>
      <c r="Z16" s="3"/>
    </row>
    <row r="17" spans="1:26" x14ac:dyDescent="0.25">
      <c r="A17" s="3"/>
      <c r="B17" s="28"/>
      <c r="C17" s="17"/>
      <c r="D17" s="539"/>
      <c r="E17" s="539"/>
      <c r="F17" s="539"/>
      <c r="G17" s="540"/>
      <c r="H17" s="539"/>
      <c r="I17" s="539"/>
      <c r="J17" s="539"/>
      <c r="K17" s="540"/>
      <c r="L17" s="3"/>
      <c r="M17" s="3"/>
      <c r="N17" s="3"/>
      <c r="O17" s="3"/>
      <c r="P17" s="3"/>
      <c r="Q17" s="3"/>
      <c r="R17" s="3"/>
      <c r="S17" s="3"/>
      <c r="T17" s="3"/>
      <c r="U17" s="3"/>
      <c r="V17" s="3"/>
      <c r="W17" s="3"/>
      <c r="X17" s="3"/>
      <c r="Y17" s="3"/>
      <c r="Z17" s="3"/>
    </row>
    <row r="18" spans="1:26" x14ac:dyDescent="0.25">
      <c r="A18" s="3"/>
      <c r="B18" s="28"/>
      <c r="C18" s="98" t="s">
        <v>557</v>
      </c>
      <c r="D18" s="108">
        <f t="shared" ref="D18:D20" si="1">(+D$16/I$16)*K18</f>
        <v>358790.14861814311</v>
      </c>
      <c r="E18" s="55">
        <f t="shared" ref="E18:E20" si="2">(+E$16/I$16)*K18</f>
        <v>262.43246401957811</v>
      </c>
      <c r="F18" s="55">
        <f t="shared" ref="F18:F20" si="3">(+F$16/I$16)*K18</f>
        <v>2644.7368287767804</v>
      </c>
      <c r="G18" s="55">
        <f t="shared" ref="G18:G20" si="4">(+G$16/I$16)*K18</f>
        <v>1987.0255491253226</v>
      </c>
      <c r="H18" s="55">
        <f t="shared" ref="H18:H20" si="5">(+H$16/I$16)*K18</f>
        <v>8018.6454327352503</v>
      </c>
      <c r="I18" s="59">
        <v>962604</v>
      </c>
      <c r="J18" s="547">
        <v>0.38614320000000002</v>
      </c>
      <c r="K18" s="550">
        <f t="shared" ref="K18:K20" si="6">I18*J18</f>
        <v>371702.9888928</v>
      </c>
      <c r="L18" s="3"/>
      <c r="M18" s="3"/>
      <c r="N18" s="3"/>
      <c r="O18" s="3"/>
      <c r="P18" s="3"/>
      <c r="Q18" s="3"/>
      <c r="R18" s="3"/>
      <c r="S18" s="3"/>
      <c r="T18" s="3"/>
      <c r="U18" s="3"/>
      <c r="V18" s="3"/>
      <c r="W18" s="3"/>
      <c r="X18" s="3"/>
      <c r="Y18" s="3"/>
      <c r="Z18" s="3"/>
    </row>
    <row r="19" spans="1:26" x14ac:dyDescent="0.25">
      <c r="A19" s="3"/>
      <c r="B19" s="553" t="s">
        <v>566</v>
      </c>
      <c r="C19" s="490" t="s">
        <v>567</v>
      </c>
      <c r="D19" s="190">
        <f t="shared" si="1"/>
        <v>42.647821993851842</v>
      </c>
      <c r="E19" s="190">
        <f t="shared" si="2"/>
        <v>3.1194203781850817E-2</v>
      </c>
      <c r="F19" s="190">
        <f t="shared" si="3"/>
        <v>0.31436834575494449</v>
      </c>
      <c r="G19" s="190">
        <f t="shared" si="4"/>
        <v>0.23618907108434267</v>
      </c>
      <c r="H19" s="190">
        <f t="shared" si="5"/>
        <v>0.95314145152594387</v>
      </c>
      <c r="I19" s="117">
        <v>114.42054415563686</v>
      </c>
      <c r="J19" s="558">
        <v>0.38614320000000002</v>
      </c>
      <c r="K19" s="559">
        <f t="shared" si="6"/>
        <v>44.18271506599892</v>
      </c>
      <c r="L19" s="3"/>
      <c r="M19" s="3"/>
      <c r="N19" s="3"/>
      <c r="O19" s="3"/>
      <c r="P19" s="3"/>
      <c r="Q19" s="3"/>
      <c r="R19" s="3"/>
      <c r="S19" s="3"/>
      <c r="T19" s="3"/>
      <c r="U19" s="3"/>
      <c r="V19" s="3"/>
      <c r="W19" s="3"/>
      <c r="X19" s="3"/>
      <c r="Y19" s="3"/>
      <c r="Z19" s="3"/>
    </row>
    <row r="20" spans="1:26" x14ac:dyDescent="0.25">
      <c r="A20" s="3"/>
      <c r="B20" s="497"/>
      <c r="C20" s="560" t="s">
        <v>570</v>
      </c>
      <c r="D20" s="118">
        <f t="shared" si="1"/>
        <v>6.2790134768140602</v>
      </c>
      <c r="E20" s="128">
        <f t="shared" si="2"/>
        <v>4.5927040769622911E-3</v>
      </c>
      <c r="F20" s="128">
        <f t="shared" si="3"/>
        <v>4.6284264644595494E-2</v>
      </c>
      <c r="G20" s="128">
        <f t="shared" si="4"/>
        <v>3.4773976514640717E-2</v>
      </c>
      <c r="H20" s="128">
        <f t="shared" si="5"/>
        <v>0.14033044923851659</v>
      </c>
      <c r="I20" s="561">
        <v>16.846068689773055</v>
      </c>
      <c r="J20" s="562">
        <v>0.38614320000000002</v>
      </c>
      <c r="K20" s="563">
        <f t="shared" si="6"/>
        <v>6.5049948712887753</v>
      </c>
      <c r="L20" s="3"/>
      <c r="M20" s="3"/>
      <c r="N20" s="3"/>
      <c r="O20" s="3"/>
      <c r="P20" s="3"/>
      <c r="Q20" s="3"/>
      <c r="R20" s="3"/>
      <c r="S20" s="3"/>
      <c r="T20" s="3"/>
      <c r="U20" s="3"/>
      <c r="V20" s="3"/>
      <c r="W20" s="3"/>
      <c r="X20" s="3"/>
      <c r="Y20" s="3"/>
      <c r="Z20" s="3"/>
    </row>
    <row r="21" spans="1:26" ht="15.75" customHeight="1" x14ac:dyDescent="0.25">
      <c r="A21" s="3"/>
      <c r="B21" s="28"/>
      <c r="C21" s="28"/>
      <c r="D21" s="313"/>
      <c r="E21" s="313"/>
      <c r="F21" s="313"/>
      <c r="G21" s="313"/>
      <c r="H21" s="313"/>
      <c r="I21" s="313"/>
      <c r="J21" s="313"/>
      <c r="K21" s="565"/>
      <c r="L21" s="3"/>
      <c r="M21" s="3"/>
      <c r="N21" s="3"/>
      <c r="O21" s="3"/>
      <c r="P21" s="3"/>
      <c r="Q21" s="3"/>
      <c r="R21" s="3"/>
      <c r="S21" s="3"/>
      <c r="T21" s="3"/>
      <c r="U21" s="3"/>
      <c r="V21" s="3"/>
      <c r="W21" s="3"/>
      <c r="X21" s="3"/>
      <c r="Y21" s="3"/>
      <c r="Z21" s="3"/>
    </row>
    <row r="22" spans="1:26" ht="15.75" customHeight="1" x14ac:dyDescent="0.25">
      <c r="A22" s="3"/>
      <c r="B22" s="567"/>
      <c r="C22" s="570" t="s">
        <v>571</v>
      </c>
      <c r="D22" s="55">
        <f t="shared" ref="D22:D24" si="7">(+D$16/I$16)*K22</f>
        <v>559374.05211575888</v>
      </c>
      <c r="E22" s="55">
        <f t="shared" ref="E22:E24" si="8">(+E$16/I$16)*K22</f>
        <v>409.14699405972294</v>
      </c>
      <c r="F22" s="55">
        <f t="shared" ref="F22:F24" si="9">(+F$16/I$16)*K22</f>
        <v>4123.2936924005617</v>
      </c>
      <c r="G22" s="55">
        <f t="shared" ref="G22:G24" si="10">(+G$16/I$16)*K22</f>
        <v>3097.884758967341</v>
      </c>
      <c r="H22" s="55">
        <f t="shared" ref="H22:H24" si="11">(+H$16/I$16)*K22</f>
        <v>12501.51991481358</v>
      </c>
      <c r="I22" s="59">
        <v>962604</v>
      </c>
      <c r="J22" s="547">
        <v>0.60201899999999997</v>
      </c>
      <c r="K22" s="550">
        <f t="shared" ref="K22:K24" si="12">I22*J22</f>
        <v>579505.89747600001</v>
      </c>
      <c r="L22" s="3"/>
      <c r="M22" s="3"/>
      <c r="N22" s="3"/>
      <c r="O22" s="3"/>
      <c r="P22" s="3"/>
      <c r="Q22" s="3"/>
      <c r="R22" s="3"/>
      <c r="S22" s="3"/>
      <c r="T22" s="3"/>
      <c r="U22" s="3"/>
      <c r="V22" s="3"/>
      <c r="W22" s="3"/>
      <c r="X22" s="3"/>
      <c r="Y22" s="3"/>
      <c r="Z22" s="3"/>
    </row>
    <row r="23" spans="1:26" ht="15.75" customHeight="1" x14ac:dyDescent="0.25">
      <c r="A23" s="3"/>
      <c r="B23" s="553" t="s">
        <v>577</v>
      </c>
      <c r="C23" s="490" t="s">
        <v>578</v>
      </c>
      <c r="D23" s="190">
        <f t="shared" si="7"/>
        <v>66.490356813007949</v>
      </c>
      <c r="E23" s="190">
        <f t="shared" si="8"/>
        <v>4.8633520845494743E-2</v>
      </c>
      <c r="F23" s="190">
        <f t="shared" si="9"/>
        <v>0.49011795920022916</v>
      </c>
      <c r="G23" s="190">
        <f t="shared" si="10"/>
        <v>0.36823206620011667</v>
      </c>
      <c r="H23" s="190">
        <f t="shared" si="11"/>
        <v>1.486001212778568</v>
      </c>
      <c r="I23" s="117">
        <v>114.42054415563686</v>
      </c>
      <c r="J23" s="558">
        <v>0.60201899999999997</v>
      </c>
      <c r="K23" s="559">
        <f t="shared" si="12"/>
        <v>68.88334157203235</v>
      </c>
      <c r="L23" s="3"/>
      <c r="M23" s="3"/>
      <c r="N23" s="3"/>
      <c r="O23" s="3"/>
      <c r="P23" s="3"/>
      <c r="Q23" s="3"/>
      <c r="R23" s="3"/>
      <c r="S23" s="3"/>
      <c r="T23" s="3"/>
      <c r="U23" s="3"/>
      <c r="V23" s="3"/>
      <c r="W23" s="3"/>
      <c r="X23" s="3"/>
      <c r="Y23" s="3"/>
      <c r="Z23" s="3"/>
    </row>
    <row r="24" spans="1:26" ht="15.75" customHeight="1" x14ac:dyDescent="0.25">
      <c r="A24" s="3"/>
      <c r="B24" s="497"/>
      <c r="C24" s="560" t="s">
        <v>581</v>
      </c>
      <c r="D24" s="118">
        <f t="shared" si="7"/>
        <v>9.7893357031746859</v>
      </c>
      <c r="E24" s="128">
        <f t="shared" si="8"/>
        <v>7.1602843600735719E-3</v>
      </c>
      <c r="F24" s="128">
        <f t="shared" si="9"/>
        <v>7.2159775744010862E-2</v>
      </c>
      <c r="G24" s="128">
        <f t="shared" si="10"/>
        <v>5.4214588182227449E-2</v>
      </c>
      <c r="H24" s="128">
        <f t="shared" si="11"/>
        <v>0.21878307508748701</v>
      </c>
      <c r="I24" s="561">
        <v>16.846068689773055</v>
      </c>
      <c r="J24" s="562">
        <v>0.60201899999999997</v>
      </c>
      <c r="K24" s="563">
        <f t="shared" si="12"/>
        <v>10.141653426548485</v>
      </c>
      <c r="L24" s="3"/>
      <c r="M24" s="3"/>
      <c r="N24" s="3"/>
      <c r="O24" s="3"/>
      <c r="P24" s="3"/>
      <c r="Q24" s="3"/>
      <c r="R24" s="3"/>
      <c r="S24" s="3"/>
      <c r="T24" s="3"/>
      <c r="U24" s="3"/>
      <c r="V24" s="3"/>
      <c r="W24" s="3"/>
      <c r="X24" s="3"/>
      <c r="Y24" s="3"/>
      <c r="Z24" s="3"/>
    </row>
    <row r="25" spans="1:26" ht="15.75" customHeight="1" x14ac:dyDescent="0.25">
      <c r="A25" s="3"/>
      <c r="B25" s="28"/>
      <c r="C25" s="28"/>
      <c r="D25" s="313"/>
      <c r="E25" s="313"/>
      <c r="F25" s="313"/>
      <c r="G25" s="313"/>
      <c r="H25" s="313"/>
      <c r="I25" s="313"/>
      <c r="J25" s="313"/>
      <c r="K25" s="565"/>
      <c r="L25" s="3"/>
      <c r="M25" s="3"/>
      <c r="N25" s="3"/>
      <c r="O25" s="3"/>
      <c r="P25" s="3"/>
      <c r="Q25" s="3"/>
      <c r="R25" s="3"/>
      <c r="S25" s="3"/>
      <c r="T25" s="3"/>
      <c r="U25" s="3"/>
      <c r="V25" s="3"/>
      <c r="W25" s="3"/>
      <c r="X25" s="3"/>
      <c r="Y25" s="3"/>
      <c r="Z25" s="3"/>
    </row>
    <row r="26" spans="1:26" ht="15.75" customHeight="1" x14ac:dyDescent="0.25">
      <c r="A26" s="3"/>
      <c r="B26" s="17"/>
      <c r="C26" s="581" t="s">
        <v>589</v>
      </c>
      <c r="D26" s="582">
        <f t="shared" ref="D26:D28" si="13">(+D$16/I$16)*K26</f>
        <v>11001.295269834647</v>
      </c>
      <c r="E26" s="582">
        <f t="shared" ref="E26:E28" si="14">(+E$16/I$16)*K26</f>
        <v>8.0467566798840551</v>
      </c>
      <c r="F26" s="582">
        <f t="shared" ref="F26:F28" si="15">(+F$16/I$16)*K26</f>
        <v>81.093449406119475</v>
      </c>
      <c r="G26" s="582">
        <f t="shared" ref="G26:G28" si="16">(+G$16/I$16)*K26</f>
        <v>60.926574653247343</v>
      </c>
      <c r="H26" s="582">
        <f t="shared" ref="H26:H28" si="17">(+H$16/I$16)*K26</f>
        <v>245.86930942610246</v>
      </c>
      <c r="I26" s="584">
        <v>962604</v>
      </c>
      <c r="J26" s="585">
        <v>1.184E-2</v>
      </c>
      <c r="K26" s="586">
        <f t="shared" ref="K26:K28" si="18">I26*J26</f>
        <v>11397.23136</v>
      </c>
      <c r="L26" s="3"/>
      <c r="M26" s="170"/>
      <c r="N26" s="3"/>
      <c r="O26" s="3"/>
      <c r="P26" s="3"/>
      <c r="Q26" s="3"/>
      <c r="R26" s="3"/>
      <c r="S26" s="3"/>
      <c r="T26" s="3"/>
      <c r="U26" s="3"/>
      <c r="V26" s="3"/>
      <c r="W26" s="3"/>
      <c r="X26" s="3"/>
      <c r="Y26" s="3"/>
      <c r="Z26" s="3"/>
    </row>
    <row r="27" spans="1:26" ht="15.75" customHeight="1" x14ac:dyDescent="0.25">
      <c r="A27" s="3"/>
      <c r="B27" s="553" t="s">
        <v>596</v>
      </c>
      <c r="C27" s="588" t="s">
        <v>597</v>
      </c>
      <c r="D27" s="590">
        <f t="shared" si="13"/>
        <v>1.3076760445534346</v>
      </c>
      <c r="E27" s="590">
        <f t="shared" si="14"/>
        <v>9.5648291301546589E-4</v>
      </c>
      <c r="F27" s="590">
        <f t="shared" si="15"/>
        <v>9.6392250691933537E-3</v>
      </c>
      <c r="G27" s="590">
        <f t="shared" si="16"/>
        <v>7.2420765188629943E-3</v>
      </c>
      <c r="H27" s="590">
        <f t="shared" si="17"/>
        <v>2.9225413748234268E-2</v>
      </c>
      <c r="I27" s="444">
        <v>114.42054415563686</v>
      </c>
      <c r="J27" s="596">
        <v>1.184E-2</v>
      </c>
      <c r="K27" s="599">
        <f t="shared" si="18"/>
        <v>1.3547392428027405</v>
      </c>
      <c r="L27" s="3"/>
      <c r="M27" s="3"/>
      <c r="N27" s="3"/>
      <c r="O27" s="3"/>
      <c r="P27" s="3"/>
      <c r="Q27" s="3"/>
      <c r="R27" s="3"/>
      <c r="S27" s="3"/>
      <c r="T27" s="3"/>
      <c r="U27" s="3"/>
      <c r="V27" s="3"/>
      <c r="W27" s="3"/>
      <c r="X27" s="3"/>
      <c r="Y27" s="3"/>
      <c r="Z27" s="3"/>
    </row>
    <row r="28" spans="1:26" ht="15.75" customHeight="1" x14ac:dyDescent="0.25">
      <c r="A28" s="3"/>
      <c r="B28" s="497"/>
      <c r="C28" s="601" t="s">
        <v>599</v>
      </c>
      <c r="D28" s="383">
        <f t="shared" si="13"/>
        <v>0.19252836658907491</v>
      </c>
      <c r="E28" s="603">
        <f t="shared" si="14"/>
        <v>1.408224106270252E-4</v>
      </c>
      <c r="F28" s="603">
        <f t="shared" si="15"/>
        <v>1.4191773761444216E-3</v>
      </c>
      <c r="G28" s="603">
        <f t="shared" si="16"/>
        <v>1.0662466202521399E-3</v>
      </c>
      <c r="H28" s="603">
        <f t="shared" si="17"/>
        <v>4.3028402908144858E-3</v>
      </c>
      <c r="I28" s="604">
        <v>16.846068689773055</v>
      </c>
      <c r="J28" s="605">
        <v>1.184E-2</v>
      </c>
      <c r="K28" s="606">
        <f t="shared" si="18"/>
        <v>0.19945745328691297</v>
      </c>
      <c r="L28" s="3"/>
      <c r="M28" s="3"/>
      <c r="N28" s="3"/>
      <c r="O28" s="3"/>
      <c r="P28" s="3"/>
      <c r="Q28" s="3"/>
      <c r="R28" s="3"/>
      <c r="S28" s="3"/>
      <c r="T28" s="3"/>
      <c r="U28" s="3"/>
      <c r="V28" s="3"/>
      <c r="W28" s="3"/>
      <c r="X28" s="3"/>
      <c r="Y28" s="3"/>
      <c r="Z28" s="3"/>
    </row>
    <row r="29" spans="1:26" ht="15.75" customHeight="1" x14ac:dyDescent="0.25">
      <c r="A29" s="3"/>
      <c r="B29" s="607"/>
      <c r="C29" s="608"/>
      <c r="D29" s="610"/>
      <c r="E29" s="610"/>
      <c r="F29" s="610"/>
      <c r="G29" s="610"/>
      <c r="H29" s="610"/>
      <c r="I29" s="610"/>
      <c r="J29" s="610"/>
      <c r="K29" s="611"/>
      <c r="L29" s="3"/>
      <c r="M29" s="3"/>
      <c r="N29" s="3"/>
      <c r="O29" s="3"/>
      <c r="P29" s="3"/>
      <c r="Q29" s="3"/>
      <c r="R29" s="3"/>
      <c r="S29" s="3"/>
      <c r="T29" s="3"/>
      <c r="U29" s="3"/>
      <c r="V29" s="3"/>
      <c r="W29" s="3"/>
      <c r="X29" s="3"/>
      <c r="Y29" s="3"/>
      <c r="Z29" s="3"/>
    </row>
    <row r="30" spans="1:26" ht="15.75" customHeight="1" x14ac:dyDescent="0.25">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5.75" customHeight="1" x14ac:dyDescent="0.25">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5.75" customHeight="1" x14ac:dyDescent="0.25">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5.75" customHeight="1" x14ac:dyDescent="0.25">
      <c r="A33" s="3"/>
      <c r="B33" s="3"/>
      <c r="C33" s="227"/>
      <c r="D33" s="228" t="s">
        <v>180</v>
      </c>
      <c r="E33" s="228" t="s">
        <v>609</v>
      </c>
      <c r="F33" s="228" t="s">
        <v>610</v>
      </c>
      <c r="G33" s="284" t="s">
        <v>611</v>
      </c>
      <c r="H33" s="230"/>
      <c r="I33" s="2312" t="s">
        <v>1</v>
      </c>
      <c r="J33" s="2313"/>
      <c r="K33" s="3"/>
      <c r="L33" s="3"/>
      <c r="M33" s="3"/>
      <c r="N33" s="3"/>
      <c r="O33" s="3"/>
      <c r="P33" s="3"/>
      <c r="Q33" s="3"/>
      <c r="R33" s="3"/>
      <c r="S33" s="3"/>
      <c r="T33" s="3"/>
      <c r="U33" s="3"/>
      <c r="V33" s="3"/>
      <c r="W33" s="3"/>
      <c r="X33" s="3"/>
      <c r="Y33" s="3"/>
      <c r="Z33" s="3"/>
    </row>
    <row r="34" spans="1:26" ht="15.75" customHeight="1" x14ac:dyDescent="0.25">
      <c r="A34" s="3"/>
      <c r="B34" s="3"/>
      <c r="C34" s="288"/>
      <c r="D34" s="233"/>
      <c r="E34" s="233" t="s">
        <v>35</v>
      </c>
      <c r="F34" s="233" t="s">
        <v>185</v>
      </c>
      <c r="G34" s="290" t="s">
        <v>186</v>
      </c>
      <c r="H34" s="230"/>
      <c r="I34" s="236"/>
      <c r="J34" s="236"/>
      <c r="K34" s="3"/>
      <c r="L34" s="3"/>
      <c r="M34" s="3"/>
      <c r="N34" s="3"/>
      <c r="O34" s="3"/>
      <c r="P34" s="3"/>
      <c r="Q34" s="3"/>
      <c r="R34" s="3"/>
      <c r="S34" s="3"/>
      <c r="T34" s="3"/>
      <c r="U34" s="3"/>
      <c r="V34" s="3"/>
      <c r="W34" s="3"/>
      <c r="X34" s="3"/>
      <c r="Y34" s="3"/>
      <c r="Z34" s="3"/>
    </row>
    <row r="35" spans="1:26" ht="15.75" customHeight="1" x14ac:dyDescent="0.25">
      <c r="A35" s="3"/>
      <c r="B35" s="3"/>
      <c r="C35" s="237"/>
      <c r="D35" s="618"/>
      <c r="E35" s="618"/>
      <c r="F35" s="618"/>
      <c r="G35" s="618"/>
      <c r="H35" s="230"/>
      <c r="I35" s="241" t="s">
        <v>188</v>
      </c>
      <c r="J35" s="243">
        <f>Summary!E4</f>
        <v>1</v>
      </c>
      <c r="K35" s="3"/>
      <c r="L35" s="3"/>
      <c r="M35" s="3"/>
      <c r="N35" s="3"/>
      <c r="O35" s="3"/>
      <c r="P35" s="3"/>
      <c r="Q35" s="3"/>
      <c r="R35" s="3"/>
      <c r="S35" s="3"/>
      <c r="T35" s="3"/>
      <c r="U35" s="3"/>
      <c r="V35" s="3"/>
      <c r="W35" s="3"/>
      <c r="X35" s="3"/>
      <c r="Y35" s="3"/>
      <c r="Z35" s="3"/>
    </row>
    <row r="36" spans="1:26" ht="15.75" customHeight="1" x14ac:dyDescent="0.25">
      <c r="A36" s="3"/>
      <c r="B36" s="3"/>
      <c r="C36" s="623" t="s">
        <v>53</v>
      </c>
      <c r="D36" s="624">
        <f>+D16+G16</f>
        <v>9303491.7479999997</v>
      </c>
      <c r="E36" s="624">
        <f>+D18+G18+D22+G22+D26+G26</f>
        <v>934311.33288648259</v>
      </c>
      <c r="F36" s="624">
        <f>E36*0.90718474</f>
        <v>847592.98360367725</v>
      </c>
      <c r="G36" s="626">
        <f>F36/1000000</f>
        <v>0.8475929836036773</v>
      </c>
      <c r="H36" s="627"/>
      <c r="I36" s="241" t="s">
        <v>192</v>
      </c>
      <c r="J36" s="243">
        <f>Summary!E5</f>
        <v>27.9</v>
      </c>
      <c r="K36" s="3"/>
      <c r="L36" s="3"/>
      <c r="M36" s="3"/>
      <c r="N36" s="3"/>
      <c r="O36" s="3"/>
      <c r="P36" s="3"/>
      <c r="Q36" s="3"/>
      <c r="R36" s="3"/>
      <c r="S36" s="3"/>
      <c r="T36" s="3"/>
      <c r="U36" s="3"/>
      <c r="V36" s="3"/>
      <c r="W36" s="3"/>
      <c r="X36" s="3"/>
      <c r="Y36" s="3"/>
      <c r="Z36" s="3"/>
    </row>
    <row r="37" spans="1:26" ht="15.75" customHeight="1" x14ac:dyDescent="0.25">
      <c r="A37" s="3"/>
      <c r="B37" s="3"/>
      <c r="C37" s="623"/>
      <c r="D37" s="81"/>
      <c r="E37" s="81"/>
      <c r="F37" s="624"/>
      <c r="G37" s="626"/>
      <c r="H37" s="627"/>
      <c r="I37" s="241" t="s">
        <v>194</v>
      </c>
      <c r="J37" s="243">
        <f>Summary!E6</f>
        <v>273</v>
      </c>
      <c r="K37" s="3"/>
      <c r="L37" s="3"/>
      <c r="M37" s="3"/>
      <c r="N37" s="3"/>
      <c r="O37" s="3"/>
      <c r="P37" s="3"/>
      <c r="Q37" s="3"/>
      <c r="R37" s="3"/>
      <c r="S37" s="3"/>
      <c r="T37" s="3"/>
      <c r="U37" s="3"/>
      <c r="V37" s="3"/>
      <c r="W37" s="3"/>
      <c r="X37" s="3"/>
      <c r="Y37" s="3"/>
      <c r="Z37" s="3"/>
    </row>
    <row r="38" spans="1:26" ht="15.75" customHeight="1" x14ac:dyDescent="0.25">
      <c r="A38" s="3"/>
      <c r="B38" s="3"/>
      <c r="C38" s="623" t="s">
        <v>179</v>
      </c>
      <c r="D38" s="624">
        <f>+E16+F16</f>
        <v>74968.228208999994</v>
      </c>
      <c r="E38" s="624">
        <f>+E18+F18+E22+F22+E26+F26</f>
        <v>7528.7501853426475</v>
      </c>
      <c r="F38" s="624">
        <f>E38*0.90718474</f>
        <v>6829.9672794150219</v>
      </c>
      <c r="G38" s="626">
        <f>F38/1000000</f>
        <v>6.8299672794150217E-3</v>
      </c>
      <c r="H38" s="627"/>
      <c r="I38" s="241" t="s">
        <v>197</v>
      </c>
      <c r="J38" s="243">
        <f>Summary!E7</f>
        <v>24300</v>
      </c>
      <c r="K38" s="3"/>
      <c r="L38" s="3"/>
      <c r="M38" s="3"/>
      <c r="N38" s="3"/>
      <c r="O38" s="3"/>
      <c r="P38" s="3"/>
      <c r="Q38" s="3"/>
      <c r="R38" s="3"/>
      <c r="S38" s="3"/>
      <c r="T38" s="3"/>
      <c r="U38" s="3"/>
      <c r="V38" s="3"/>
      <c r="W38" s="3"/>
      <c r="X38" s="3"/>
      <c r="Y38" s="3"/>
      <c r="Z38" s="3"/>
    </row>
    <row r="39" spans="1:26" ht="15.75" customHeight="1" x14ac:dyDescent="0.25">
      <c r="A39" s="3"/>
      <c r="B39" s="3"/>
      <c r="C39" s="623"/>
      <c r="D39" s="81"/>
      <c r="E39" s="81"/>
      <c r="F39" s="624"/>
      <c r="G39" s="626"/>
      <c r="H39" s="627"/>
      <c r="I39" s="241"/>
      <c r="J39" s="243"/>
      <c r="K39" s="3"/>
      <c r="L39" s="3"/>
      <c r="M39" s="3"/>
      <c r="N39" s="3"/>
      <c r="O39" s="3"/>
      <c r="P39" s="3"/>
      <c r="Q39" s="3"/>
      <c r="R39" s="3"/>
      <c r="S39" s="3"/>
      <c r="T39" s="3"/>
      <c r="U39" s="3"/>
      <c r="V39" s="3"/>
      <c r="W39" s="3"/>
      <c r="X39" s="3"/>
      <c r="Y39" s="3"/>
      <c r="Z39" s="3"/>
    </row>
    <row r="40" spans="1:26" ht="15.75" customHeight="1" x14ac:dyDescent="0.25">
      <c r="A40" s="3"/>
      <c r="B40" s="3"/>
      <c r="C40" s="623" t="s">
        <v>77</v>
      </c>
      <c r="D40" s="624">
        <f>+H16</f>
        <v>206779.71599999999</v>
      </c>
      <c r="E40" s="624">
        <f>+H18+H22+H26</f>
        <v>20766.034656974934</v>
      </c>
      <c r="F40" s="624">
        <f>E40*0.90718474</f>
        <v>18838.629751118795</v>
      </c>
      <c r="G40" s="626">
        <f>F40/1000000</f>
        <v>1.8838629751118795E-2</v>
      </c>
      <c r="H40" s="627"/>
      <c r="I40" s="3"/>
      <c r="J40" s="3"/>
      <c r="K40" s="3"/>
      <c r="L40" s="3"/>
      <c r="M40" s="3"/>
      <c r="N40" s="3"/>
      <c r="O40" s="3"/>
      <c r="P40" s="3"/>
      <c r="Q40" s="3"/>
      <c r="R40" s="3"/>
      <c r="S40" s="3"/>
      <c r="T40" s="3"/>
      <c r="U40" s="3"/>
      <c r="V40" s="3"/>
      <c r="W40" s="3"/>
      <c r="X40" s="3"/>
      <c r="Y40" s="3"/>
      <c r="Z40" s="3"/>
    </row>
    <row r="41" spans="1:26" ht="15.75" customHeight="1" x14ac:dyDescent="0.25">
      <c r="A41" s="3"/>
      <c r="B41" s="3"/>
      <c r="C41" s="631"/>
      <c r="D41" s="633"/>
      <c r="E41" s="633"/>
      <c r="F41" s="635"/>
      <c r="G41" s="637"/>
      <c r="H41" s="262"/>
      <c r="I41" s="3"/>
      <c r="J41" s="3"/>
      <c r="K41" s="3"/>
      <c r="L41" s="3"/>
      <c r="M41" s="3"/>
      <c r="N41" s="3"/>
      <c r="O41" s="3"/>
      <c r="P41" s="3"/>
      <c r="Q41" s="3"/>
      <c r="R41" s="3"/>
      <c r="S41" s="3"/>
      <c r="T41" s="3"/>
      <c r="U41" s="3"/>
      <c r="V41" s="3"/>
      <c r="W41" s="3"/>
      <c r="X41" s="3"/>
      <c r="Y41" s="3"/>
      <c r="Z41" s="3"/>
    </row>
    <row r="42" spans="1:26" ht="15.75" customHeight="1" x14ac:dyDescent="0.25">
      <c r="A42" s="3"/>
      <c r="B42" s="3"/>
      <c r="C42" s="638" t="s">
        <v>205</v>
      </c>
      <c r="D42" s="272">
        <f t="shared" ref="D42:G42" si="19">SUM(D36:D41)</f>
        <v>9585239.6922089998</v>
      </c>
      <c r="E42" s="272">
        <f t="shared" si="19"/>
        <v>962606.11772880016</v>
      </c>
      <c r="F42" s="272">
        <f t="shared" si="19"/>
        <v>873261.58063421107</v>
      </c>
      <c r="G42" s="640">
        <f t="shared" si="19"/>
        <v>0.87326158063421111</v>
      </c>
      <c r="H42" s="641"/>
      <c r="I42" s="3"/>
      <c r="J42" s="3"/>
      <c r="K42" s="3"/>
      <c r="L42" s="3"/>
      <c r="M42" s="3"/>
      <c r="N42" s="3"/>
      <c r="O42" s="3"/>
      <c r="P42" s="3"/>
      <c r="Q42" s="3"/>
      <c r="R42" s="3"/>
      <c r="S42" s="3"/>
      <c r="T42" s="3"/>
      <c r="U42" s="3"/>
      <c r="V42" s="3"/>
      <c r="W42" s="3"/>
      <c r="X42" s="3"/>
      <c r="Y42" s="3"/>
      <c r="Z42" s="3"/>
    </row>
    <row r="43" spans="1:26" ht="15.75" customHeight="1" x14ac:dyDescent="0.25">
      <c r="A43" s="3"/>
      <c r="B43" s="3"/>
      <c r="C43" s="265"/>
      <c r="D43" s="266"/>
      <c r="E43" s="266"/>
      <c r="F43" s="266"/>
      <c r="G43" s="643"/>
      <c r="H43" s="278"/>
      <c r="I43" s="3"/>
      <c r="J43" s="3"/>
      <c r="K43" s="3"/>
      <c r="L43" s="3"/>
      <c r="M43" s="3"/>
      <c r="N43" s="3"/>
      <c r="O43" s="3"/>
      <c r="P43" s="3"/>
      <c r="Q43" s="3"/>
      <c r="R43" s="3"/>
      <c r="S43" s="3"/>
      <c r="T43" s="3"/>
      <c r="U43" s="3"/>
      <c r="V43" s="3"/>
      <c r="W43" s="3"/>
      <c r="X43" s="3"/>
      <c r="Y43" s="3"/>
      <c r="Z43" s="3"/>
    </row>
    <row r="44" spans="1:26" ht="15.75" customHeight="1" x14ac:dyDescent="0.25">
      <c r="A44" s="3"/>
      <c r="B44" s="3"/>
      <c r="C44" s="3"/>
      <c r="D44" s="3"/>
      <c r="E44" s="3"/>
      <c r="F44" s="3"/>
      <c r="G44" s="645"/>
      <c r="H44" s="3"/>
      <c r="I44" s="3"/>
      <c r="J44" s="3"/>
      <c r="K44" s="3"/>
      <c r="L44" s="3"/>
      <c r="M44" s="3"/>
      <c r="N44" s="3"/>
      <c r="O44" s="3"/>
      <c r="P44" s="3"/>
      <c r="Q44" s="3"/>
      <c r="R44" s="3"/>
      <c r="S44" s="3"/>
      <c r="T44" s="3"/>
      <c r="U44" s="3"/>
      <c r="V44" s="3"/>
      <c r="W44" s="3"/>
      <c r="X44" s="3"/>
      <c r="Y44" s="3"/>
      <c r="Z44" s="3"/>
    </row>
    <row r="45" spans="1:26" ht="15.75" customHeight="1" x14ac:dyDescent="0.25">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x14ac:dyDescent="0.25">
      <c r="A46" s="3"/>
      <c r="B46" s="3"/>
      <c r="C46" s="3"/>
      <c r="D46" s="3"/>
      <c r="E46" s="3"/>
      <c r="F46" s="3"/>
      <c r="G46" s="532"/>
      <c r="H46" s="3"/>
      <c r="I46" s="3"/>
      <c r="J46" s="3"/>
      <c r="K46" s="3"/>
      <c r="L46" s="3"/>
      <c r="M46" s="3"/>
      <c r="N46" s="3"/>
      <c r="O46" s="3"/>
      <c r="P46" s="3"/>
      <c r="Q46" s="3"/>
      <c r="R46" s="3"/>
      <c r="S46" s="3"/>
      <c r="T46" s="3"/>
      <c r="U46" s="3"/>
      <c r="V46" s="3"/>
      <c r="W46" s="3"/>
      <c r="X46" s="3"/>
      <c r="Y46" s="3"/>
      <c r="Z46" s="3"/>
    </row>
    <row r="47" spans="1:26" ht="15.75" customHeight="1" x14ac:dyDescent="0.25">
      <c r="A47" s="3"/>
      <c r="B47" s="3"/>
      <c r="C47" s="227"/>
      <c r="D47" s="228" t="s">
        <v>180</v>
      </c>
      <c r="E47" s="228" t="s">
        <v>622</v>
      </c>
      <c r="F47" s="228" t="s">
        <v>623</v>
      </c>
      <c r="G47" s="284" t="s">
        <v>624</v>
      </c>
      <c r="H47" s="230"/>
      <c r="I47" s="3"/>
      <c r="J47" s="3"/>
      <c r="K47" s="3"/>
      <c r="L47" s="3"/>
      <c r="M47" s="3"/>
      <c r="N47" s="3"/>
      <c r="O47" s="3"/>
      <c r="P47" s="3"/>
      <c r="Q47" s="3"/>
      <c r="R47" s="3"/>
      <c r="S47" s="3"/>
      <c r="T47" s="3"/>
      <c r="U47" s="3"/>
      <c r="V47" s="3"/>
      <c r="W47" s="3"/>
      <c r="X47" s="3"/>
      <c r="Y47" s="3"/>
      <c r="Z47" s="3"/>
    </row>
    <row r="48" spans="1:26" ht="15.75" customHeight="1" x14ac:dyDescent="0.25">
      <c r="A48" s="3"/>
      <c r="B48" s="3"/>
      <c r="C48" s="288"/>
      <c r="D48" s="233"/>
      <c r="E48" s="233" t="s">
        <v>35</v>
      </c>
      <c r="F48" s="233" t="s">
        <v>185</v>
      </c>
      <c r="G48" s="290" t="s">
        <v>625</v>
      </c>
      <c r="H48" s="230"/>
      <c r="I48" s="3"/>
      <c r="J48" s="3"/>
      <c r="K48" s="3"/>
      <c r="L48" s="3"/>
      <c r="M48" s="3"/>
      <c r="N48" s="3"/>
      <c r="O48" s="3"/>
      <c r="P48" s="3"/>
      <c r="Q48" s="3"/>
      <c r="R48" s="3"/>
      <c r="S48" s="3"/>
      <c r="T48" s="3"/>
      <c r="U48" s="3"/>
      <c r="V48" s="3"/>
      <c r="W48" s="3"/>
      <c r="X48" s="3"/>
      <c r="Y48" s="3"/>
      <c r="Z48" s="3"/>
    </row>
    <row r="49" spans="1:26" ht="15.75" customHeight="1" x14ac:dyDescent="0.25">
      <c r="A49" s="3"/>
      <c r="B49" s="3"/>
      <c r="C49" s="237"/>
      <c r="D49" s="618"/>
      <c r="E49" s="618"/>
      <c r="F49" s="618"/>
      <c r="G49" s="618"/>
      <c r="H49" s="230"/>
      <c r="I49" s="3"/>
      <c r="J49" s="3"/>
      <c r="K49" s="3"/>
      <c r="L49" s="3"/>
      <c r="M49" s="3"/>
      <c r="N49" s="3"/>
      <c r="O49" s="3"/>
      <c r="P49" s="3"/>
      <c r="Q49" s="3"/>
      <c r="R49" s="3"/>
      <c r="S49" s="3"/>
      <c r="T49" s="3"/>
      <c r="U49" s="3"/>
      <c r="V49" s="3"/>
      <c r="W49" s="3"/>
      <c r="X49" s="3"/>
      <c r="Y49" s="3"/>
      <c r="Z49" s="3"/>
    </row>
    <row r="50" spans="1:26" ht="15.75" customHeight="1" x14ac:dyDescent="0.25">
      <c r="A50" s="3"/>
      <c r="B50" s="3"/>
      <c r="C50" s="623" t="s">
        <v>53</v>
      </c>
      <c r="D50" s="624">
        <f>+D16+G16</f>
        <v>9303491.7479999997</v>
      </c>
      <c r="E50" s="648">
        <f>+D19+G19+D23+G23+D27+G27</f>
        <v>111.05751806521656</v>
      </c>
      <c r="F50" s="648">
        <f>E50*0.90718474</f>
        <v>100.74968565103879</v>
      </c>
      <c r="G50" s="652">
        <f>(+F50*$J$36)/1000000</f>
        <v>2.810916229663982E-3</v>
      </c>
      <c r="H50" s="246"/>
      <c r="I50" s="3"/>
      <c r="J50" s="3"/>
      <c r="K50" s="3"/>
      <c r="L50" s="3"/>
      <c r="M50" s="3"/>
      <c r="N50" s="3"/>
      <c r="O50" s="3"/>
      <c r="P50" s="3"/>
      <c r="Q50" s="3"/>
      <c r="R50" s="3"/>
      <c r="S50" s="3"/>
      <c r="T50" s="3"/>
      <c r="U50" s="3"/>
      <c r="V50" s="3"/>
      <c r="W50" s="3"/>
      <c r="X50" s="3"/>
      <c r="Y50" s="3"/>
      <c r="Z50" s="3"/>
    </row>
    <row r="51" spans="1:26" ht="15.75" customHeight="1" x14ac:dyDescent="0.25">
      <c r="A51" s="3"/>
      <c r="B51" s="3"/>
      <c r="C51" s="623"/>
      <c r="D51" s="81"/>
      <c r="E51" s="81"/>
      <c r="F51" s="624"/>
      <c r="G51" s="652"/>
      <c r="H51" s="246"/>
      <c r="I51" s="3"/>
      <c r="J51" s="3"/>
      <c r="K51" s="3"/>
      <c r="L51" s="3"/>
      <c r="M51" s="3"/>
      <c r="N51" s="3"/>
      <c r="O51" s="3"/>
      <c r="P51" s="3"/>
      <c r="Q51" s="3"/>
      <c r="R51" s="3"/>
      <c r="S51" s="3"/>
      <c r="T51" s="3"/>
      <c r="U51" s="3"/>
      <c r="V51" s="3"/>
      <c r="W51" s="3"/>
      <c r="X51" s="3"/>
      <c r="Y51" s="3"/>
      <c r="Z51" s="3"/>
    </row>
    <row r="52" spans="1:26" ht="15.75" customHeight="1" x14ac:dyDescent="0.25">
      <c r="A52" s="3"/>
      <c r="B52" s="3"/>
      <c r="C52" s="623" t="s">
        <v>179</v>
      </c>
      <c r="D52" s="624">
        <f>+E16+F16</f>
        <v>74968.228208999994</v>
      </c>
      <c r="E52" s="654">
        <f>+E19+F19+E23+F23+E27+F27</f>
        <v>0.89490973756472803</v>
      </c>
      <c r="F52" s="654">
        <f>E52*0.90718474</f>
        <v>0.81184845759612612</v>
      </c>
      <c r="G52" s="652">
        <f>(+F52*$J$36)/1000000</f>
        <v>2.2650571966931918E-5</v>
      </c>
      <c r="H52" s="246"/>
      <c r="I52" s="3"/>
      <c r="J52" s="3"/>
      <c r="K52" s="3"/>
      <c r="L52" s="3"/>
      <c r="M52" s="3"/>
      <c r="N52" s="3"/>
      <c r="O52" s="3"/>
      <c r="P52" s="3"/>
      <c r="Q52" s="3"/>
      <c r="R52" s="3"/>
      <c r="S52" s="3"/>
      <c r="T52" s="3"/>
      <c r="U52" s="3"/>
      <c r="V52" s="3"/>
      <c r="W52" s="3"/>
      <c r="X52" s="3"/>
      <c r="Y52" s="3"/>
      <c r="Z52" s="3"/>
    </row>
    <row r="53" spans="1:26" ht="15.75" customHeight="1" x14ac:dyDescent="0.25">
      <c r="A53" s="3"/>
      <c r="B53" s="3"/>
      <c r="C53" s="623"/>
      <c r="D53" s="81"/>
      <c r="E53" s="81"/>
      <c r="F53" s="654"/>
      <c r="G53" s="652"/>
      <c r="H53" s="246"/>
      <c r="I53" s="3"/>
      <c r="J53" s="3"/>
      <c r="K53" s="3"/>
      <c r="L53" s="3"/>
      <c r="M53" s="3"/>
      <c r="N53" s="3"/>
      <c r="O53" s="3"/>
      <c r="P53" s="3"/>
      <c r="Q53" s="3"/>
      <c r="R53" s="3"/>
      <c r="S53" s="3"/>
      <c r="T53" s="3"/>
      <c r="U53" s="3"/>
      <c r="V53" s="3"/>
      <c r="W53" s="3"/>
      <c r="X53" s="3"/>
      <c r="Y53" s="3"/>
      <c r="Z53" s="3"/>
    </row>
    <row r="54" spans="1:26" ht="15.75" customHeight="1" x14ac:dyDescent="0.25">
      <c r="A54" s="3"/>
      <c r="B54" s="3"/>
      <c r="C54" s="623" t="s">
        <v>77</v>
      </c>
      <c r="D54" s="624">
        <f>+H16</f>
        <v>206779.71599999999</v>
      </c>
      <c r="E54" s="654">
        <f>+H19+H23+H27</f>
        <v>2.4683680780527459</v>
      </c>
      <c r="F54" s="654">
        <f>E54*0.90718474</f>
        <v>2.2392658531125802</v>
      </c>
      <c r="G54" s="652">
        <f>(+F54*$J$36)/1000000</f>
        <v>6.2475517301840985E-5</v>
      </c>
      <c r="H54" s="246"/>
      <c r="I54" s="3"/>
      <c r="J54" s="3"/>
      <c r="K54" s="3"/>
      <c r="L54" s="3"/>
      <c r="M54" s="3"/>
      <c r="N54" s="3"/>
      <c r="O54" s="3"/>
      <c r="P54" s="3"/>
      <c r="Q54" s="3"/>
      <c r="R54" s="3"/>
      <c r="S54" s="3"/>
      <c r="T54" s="3"/>
      <c r="U54" s="3"/>
      <c r="V54" s="3"/>
      <c r="W54" s="3"/>
      <c r="X54" s="3"/>
      <c r="Y54" s="3"/>
      <c r="Z54" s="3"/>
    </row>
    <row r="55" spans="1:26" ht="15.75" customHeight="1" x14ac:dyDescent="0.25">
      <c r="A55" s="3"/>
      <c r="B55" s="3"/>
      <c r="C55" s="631"/>
      <c r="D55" s="633"/>
      <c r="E55" s="633"/>
      <c r="F55" s="635"/>
      <c r="G55" s="659"/>
      <c r="H55" s="262"/>
      <c r="I55" s="3"/>
      <c r="J55" s="3"/>
      <c r="K55" s="3"/>
      <c r="L55" s="3"/>
      <c r="M55" s="3"/>
      <c r="N55" s="3"/>
      <c r="O55" s="3"/>
      <c r="P55" s="3"/>
      <c r="Q55" s="3"/>
      <c r="R55" s="3"/>
      <c r="S55" s="3"/>
      <c r="T55" s="3"/>
      <c r="U55" s="3"/>
      <c r="V55" s="3"/>
      <c r="W55" s="3"/>
      <c r="X55" s="3"/>
      <c r="Y55" s="3"/>
      <c r="Z55" s="3"/>
    </row>
    <row r="56" spans="1:26" ht="15.75" customHeight="1" x14ac:dyDescent="0.25">
      <c r="A56" s="3"/>
      <c r="B56" s="3"/>
      <c r="C56" s="660" t="s">
        <v>205</v>
      </c>
      <c r="D56" s="661"/>
      <c r="E56" s="663">
        <f t="shared" ref="E56:G56" si="20">SUM(E50:E55)</f>
        <v>114.42079588083404</v>
      </c>
      <c r="F56" s="661">
        <f t="shared" si="20"/>
        <v>103.8007999617475</v>
      </c>
      <c r="G56" s="664">
        <f t="shared" si="20"/>
        <v>2.8960423189327549E-3</v>
      </c>
      <c r="H56" s="262"/>
      <c r="I56" s="3"/>
      <c r="J56" s="3"/>
      <c r="K56" s="3"/>
      <c r="L56" s="3"/>
      <c r="M56" s="3"/>
      <c r="N56" s="3"/>
      <c r="O56" s="3"/>
      <c r="P56" s="3"/>
      <c r="Q56" s="3"/>
      <c r="R56" s="3"/>
      <c r="S56" s="3"/>
      <c r="T56" s="3"/>
      <c r="U56" s="3"/>
      <c r="V56" s="3"/>
      <c r="W56" s="3"/>
      <c r="X56" s="3"/>
      <c r="Y56" s="3"/>
      <c r="Z56" s="3"/>
    </row>
    <row r="57" spans="1:26" ht="15.75" customHeight="1" x14ac:dyDescent="0.25">
      <c r="A57" s="3"/>
      <c r="B57" s="3"/>
      <c r="C57" s="265"/>
      <c r="D57" s="266"/>
      <c r="E57" s="266"/>
      <c r="F57" s="266"/>
      <c r="G57" s="643"/>
      <c r="H57" s="278"/>
      <c r="I57" s="3"/>
      <c r="J57" s="3"/>
      <c r="K57" s="3"/>
      <c r="L57" s="3"/>
      <c r="M57" s="3"/>
      <c r="N57" s="3"/>
      <c r="O57" s="3"/>
      <c r="P57" s="3"/>
      <c r="Q57" s="3"/>
      <c r="R57" s="3"/>
      <c r="S57" s="3"/>
      <c r="T57" s="3"/>
      <c r="U57" s="3"/>
      <c r="V57" s="3"/>
      <c r="W57" s="3"/>
      <c r="X57" s="3"/>
      <c r="Y57" s="3"/>
      <c r="Z57" s="3"/>
    </row>
    <row r="58" spans="1:26" ht="15.75" customHeight="1" x14ac:dyDescent="0.25">
      <c r="A58" s="3"/>
      <c r="B58" s="3"/>
      <c r="C58" s="3"/>
      <c r="D58" s="3"/>
      <c r="E58" s="3"/>
      <c r="F58" s="3"/>
      <c r="G58" s="645"/>
      <c r="H58" s="3"/>
      <c r="I58" s="3"/>
      <c r="J58" s="3"/>
      <c r="K58" s="3"/>
      <c r="L58" s="3"/>
      <c r="M58" s="3"/>
      <c r="N58" s="3"/>
      <c r="O58" s="3"/>
      <c r="P58" s="3"/>
      <c r="Q58" s="3"/>
      <c r="R58" s="3"/>
      <c r="S58" s="3"/>
      <c r="T58" s="3"/>
      <c r="U58" s="3"/>
      <c r="V58" s="3"/>
      <c r="W58" s="3"/>
      <c r="X58" s="3"/>
      <c r="Y58" s="3"/>
      <c r="Z58" s="3"/>
    </row>
    <row r="59" spans="1:26" ht="15.75" customHeight="1" x14ac:dyDescent="0.25">
      <c r="A59" s="3"/>
      <c r="B59" s="3"/>
      <c r="C59" s="3"/>
      <c r="D59" s="3"/>
      <c r="E59" s="3"/>
      <c r="F59" s="3"/>
      <c r="G59" s="532"/>
      <c r="H59" s="3"/>
      <c r="I59" s="3"/>
      <c r="J59" s="3"/>
      <c r="K59" s="3"/>
      <c r="L59" s="3"/>
      <c r="M59" s="3"/>
      <c r="N59" s="3"/>
      <c r="O59" s="3"/>
      <c r="P59" s="3"/>
      <c r="Q59" s="3"/>
      <c r="R59" s="3"/>
      <c r="S59" s="3"/>
      <c r="T59" s="3"/>
      <c r="U59" s="3"/>
      <c r="V59" s="3"/>
      <c r="W59" s="3"/>
      <c r="X59" s="3"/>
      <c r="Y59" s="3"/>
      <c r="Z59" s="3"/>
    </row>
    <row r="60" spans="1:26" ht="15.75" customHeight="1" x14ac:dyDescent="0.25">
      <c r="A60" s="3"/>
      <c r="B60" s="3"/>
      <c r="C60" s="227"/>
      <c r="D60" s="228" t="s">
        <v>180</v>
      </c>
      <c r="E60" s="228" t="s">
        <v>628</v>
      </c>
      <c r="F60" s="228" t="s">
        <v>629</v>
      </c>
      <c r="G60" s="284" t="s">
        <v>630</v>
      </c>
      <c r="H60" s="230"/>
      <c r="I60" s="3"/>
      <c r="J60" s="3"/>
      <c r="K60" s="3"/>
      <c r="L60" s="3"/>
      <c r="M60" s="3"/>
      <c r="N60" s="3"/>
      <c r="O60" s="3"/>
      <c r="P60" s="3"/>
      <c r="Q60" s="3"/>
      <c r="R60" s="3"/>
      <c r="S60" s="3"/>
      <c r="T60" s="3"/>
      <c r="U60" s="3"/>
      <c r="V60" s="3"/>
      <c r="W60" s="3"/>
      <c r="X60" s="3"/>
      <c r="Y60" s="3"/>
      <c r="Z60" s="3"/>
    </row>
    <row r="61" spans="1:26" ht="15.75" customHeight="1" x14ac:dyDescent="0.25">
      <c r="A61" s="3"/>
      <c r="B61" s="3"/>
      <c r="C61" s="288"/>
      <c r="D61" s="233"/>
      <c r="E61" s="233" t="s">
        <v>35</v>
      </c>
      <c r="F61" s="233" t="s">
        <v>185</v>
      </c>
      <c r="G61" s="290" t="s">
        <v>631</v>
      </c>
      <c r="H61" s="230"/>
      <c r="I61" s="3"/>
      <c r="J61" s="3"/>
      <c r="K61" s="3"/>
      <c r="L61" s="3"/>
      <c r="M61" s="3"/>
      <c r="N61" s="3"/>
      <c r="O61" s="3"/>
      <c r="P61" s="3"/>
      <c r="Q61" s="3"/>
      <c r="R61" s="3"/>
      <c r="S61" s="3"/>
      <c r="T61" s="3"/>
      <c r="U61" s="3"/>
      <c r="V61" s="3"/>
      <c r="W61" s="3"/>
      <c r="X61" s="3"/>
      <c r="Y61" s="3"/>
      <c r="Z61" s="3"/>
    </row>
    <row r="62" spans="1:26" ht="15.75" customHeight="1" x14ac:dyDescent="0.25">
      <c r="A62" s="3"/>
      <c r="B62" s="3"/>
      <c r="C62" s="237"/>
      <c r="D62" s="618"/>
      <c r="E62" s="618"/>
      <c r="F62" s="618"/>
      <c r="G62" s="618"/>
      <c r="H62" s="230"/>
      <c r="I62" s="3"/>
      <c r="J62" s="3"/>
      <c r="K62" s="3"/>
      <c r="L62" s="3"/>
      <c r="M62" s="3"/>
      <c r="N62" s="3"/>
      <c r="O62" s="3"/>
      <c r="P62" s="3"/>
      <c r="Q62" s="3"/>
      <c r="R62" s="3"/>
      <c r="S62" s="3"/>
      <c r="T62" s="3"/>
      <c r="U62" s="3"/>
      <c r="V62" s="3"/>
      <c r="W62" s="3"/>
      <c r="X62" s="3"/>
      <c r="Y62" s="3"/>
      <c r="Z62" s="3"/>
    </row>
    <row r="63" spans="1:26" ht="15.75" customHeight="1" x14ac:dyDescent="0.25">
      <c r="A63" s="3"/>
      <c r="B63" s="3"/>
      <c r="C63" s="623" t="s">
        <v>53</v>
      </c>
      <c r="D63" s="624">
        <f>+D16+G16</f>
        <v>9303491.7479999997</v>
      </c>
      <c r="E63" s="672">
        <f>+D20+G20+D24+G24+D28+G28</f>
        <v>16.350932357894937</v>
      </c>
      <c r="F63" s="654">
        <f>E63*0.90718474</f>
        <v>14.833316319854505</v>
      </c>
      <c r="G63" s="674">
        <f>(+F63*$J$37)/1000000</f>
        <v>4.0494953553202803E-3</v>
      </c>
      <c r="H63" s="246"/>
      <c r="I63" s="3"/>
      <c r="J63" s="3"/>
      <c r="K63" s="3"/>
      <c r="L63" s="3"/>
      <c r="M63" s="3"/>
      <c r="N63" s="3"/>
      <c r="O63" s="3"/>
      <c r="P63" s="3"/>
      <c r="Q63" s="3"/>
      <c r="R63" s="3"/>
      <c r="S63" s="3"/>
      <c r="T63" s="3"/>
      <c r="U63" s="3"/>
      <c r="V63" s="3"/>
      <c r="W63" s="3"/>
      <c r="X63" s="3"/>
      <c r="Y63" s="3"/>
      <c r="Z63" s="3"/>
    </row>
    <row r="64" spans="1:26" ht="15.75" customHeight="1" x14ac:dyDescent="0.25">
      <c r="A64" s="3"/>
      <c r="B64" s="3"/>
      <c r="C64" s="623"/>
      <c r="D64" s="81"/>
      <c r="E64" s="672"/>
      <c r="F64" s="654"/>
      <c r="G64" s="674"/>
      <c r="H64" s="246"/>
      <c r="I64" s="3"/>
      <c r="J64" s="3"/>
      <c r="K64" s="3"/>
      <c r="L64" s="3"/>
      <c r="M64" s="3"/>
      <c r="N64" s="3"/>
      <c r="O64" s="3"/>
      <c r="P64" s="3"/>
      <c r="Q64" s="3"/>
      <c r="R64" s="3"/>
      <c r="S64" s="3"/>
      <c r="T64" s="3"/>
      <c r="U64" s="3"/>
      <c r="V64" s="3"/>
      <c r="W64" s="3"/>
      <c r="X64" s="3"/>
      <c r="Y64" s="3"/>
      <c r="Z64" s="3"/>
    </row>
    <row r="65" spans="1:26" ht="15.75" customHeight="1" x14ac:dyDescent="0.25">
      <c r="A65" s="3"/>
      <c r="B65" s="3"/>
      <c r="C65" s="623" t="s">
        <v>179</v>
      </c>
      <c r="D65" s="624">
        <f>+E16+F16</f>
        <v>74968.228208999994</v>
      </c>
      <c r="E65" s="672">
        <f>+E20+F20+E24+F24+E28+F28</f>
        <v>0.13175702861241365</v>
      </c>
      <c r="F65" s="654">
        <f>E65*0.90718474</f>
        <v>0.11952796574492504</v>
      </c>
      <c r="G65" s="674">
        <f>(+F65*$J$37)/1000000</f>
        <v>3.2631134648364534E-5</v>
      </c>
      <c r="H65" s="246"/>
      <c r="I65" s="3"/>
      <c r="J65" s="3"/>
      <c r="K65" s="3"/>
      <c r="L65" s="3"/>
      <c r="M65" s="3"/>
      <c r="N65" s="3"/>
      <c r="O65" s="3"/>
      <c r="P65" s="3"/>
      <c r="Q65" s="3"/>
      <c r="R65" s="3"/>
      <c r="S65" s="3"/>
      <c r="T65" s="3"/>
      <c r="U65" s="3"/>
      <c r="V65" s="3"/>
      <c r="W65" s="3"/>
      <c r="X65" s="3"/>
      <c r="Y65" s="3"/>
      <c r="Z65" s="3"/>
    </row>
    <row r="66" spans="1:26" ht="15.75" customHeight="1" x14ac:dyDescent="0.25">
      <c r="A66" s="3"/>
      <c r="B66" s="3"/>
      <c r="C66" s="623"/>
      <c r="D66" s="81"/>
      <c r="E66" s="672"/>
      <c r="F66" s="654"/>
      <c r="G66" s="674"/>
      <c r="H66" s="246"/>
      <c r="I66" s="3"/>
      <c r="J66" s="3"/>
      <c r="K66" s="3"/>
      <c r="L66" s="3"/>
      <c r="M66" s="3"/>
      <c r="N66" s="3"/>
      <c r="O66" s="3"/>
      <c r="P66" s="3"/>
      <c r="Q66" s="3"/>
      <c r="R66" s="3"/>
      <c r="S66" s="3"/>
      <c r="T66" s="3"/>
      <c r="U66" s="3"/>
      <c r="V66" s="3"/>
      <c r="W66" s="3"/>
      <c r="X66" s="3"/>
      <c r="Y66" s="3"/>
      <c r="Z66" s="3"/>
    </row>
    <row r="67" spans="1:26" ht="15.75" customHeight="1" x14ac:dyDescent="0.25">
      <c r="A67" s="3"/>
      <c r="B67" s="3"/>
      <c r="C67" s="623" t="s">
        <v>77</v>
      </c>
      <c r="D67" s="624">
        <f>+H16</f>
        <v>206779.71599999999</v>
      </c>
      <c r="E67" s="672">
        <f>+H20+H24+H28</f>
        <v>0.36341636461681814</v>
      </c>
      <c r="F67" s="654">
        <f>E67*0.90718474</f>
        <v>0.3296857802466534</v>
      </c>
      <c r="G67" s="674">
        <f>(+F67*$J$37)/1000000</f>
        <v>9.0004218007336373E-5</v>
      </c>
      <c r="H67" s="246"/>
      <c r="I67" s="3"/>
      <c r="J67" s="3"/>
      <c r="K67" s="3"/>
      <c r="L67" s="3"/>
      <c r="M67" s="3"/>
      <c r="N67" s="3"/>
      <c r="O67" s="3"/>
      <c r="P67" s="3"/>
      <c r="Q67" s="3"/>
      <c r="R67" s="3"/>
      <c r="S67" s="3"/>
      <c r="T67" s="3"/>
      <c r="U67" s="3"/>
      <c r="V67" s="3"/>
      <c r="W67" s="3"/>
      <c r="X67" s="3"/>
      <c r="Y67" s="3"/>
      <c r="Z67" s="3"/>
    </row>
    <row r="68" spans="1:26" ht="15.75" customHeight="1" x14ac:dyDescent="0.25">
      <c r="A68" s="3"/>
      <c r="B68" s="3"/>
      <c r="C68" s="631"/>
      <c r="D68" s="633"/>
      <c r="E68" s="686"/>
      <c r="F68" s="635"/>
      <c r="G68" s="659"/>
      <c r="H68" s="262"/>
      <c r="I68" s="3"/>
      <c r="J68" s="3"/>
      <c r="K68" s="3"/>
      <c r="L68" s="3"/>
      <c r="M68" s="3"/>
      <c r="N68" s="3"/>
      <c r="O68" s="3"/>
      <c r="P68" s="3"/>
      <c r="Q68" s="3"/>
      <c r="R68" s="3"/>
      <c r="S68" s="3"/>
      <c r="T68" s="3"/>
      <c r="U68" s="3"/>
      <c r="V68" s="3"/>
      <c r="W68" s="3"/>
      <c r="X68" s="3"/>
      <c r="Y68" s="3"/>
      <c r="Z68" s="3"/>
    </row>
    <row r="69" spans="1:26" ht="15.75" customHeight="1" x14ac:dyDescent="0.25">
      <c r="A69" s="3"/>
      <c r="B69" s="3"/>
      <c r="C69" s="687" t="s">
        <v>205</v>
      </c>
      <c r="D69" s="688">
        <f t="shared" ref="D69:G69" si="21">SUM(D63:D68)</f>
        <v>9585239.6922089998</v>
      </c>
      <c r="E69" s="689">
        <f t="shared" si="21"/>
        <v>16.846105751124167</v>
      </c>
      <c r="F69" s="689">
        <f t="shared" si="21"/>
        <v>15.282530065846084</v>
      </c>
      <c r="G69" s="690">
        <f t="shared" si="21"/>
        <v>4.1721307079759812E-3</v>
      </c>
      <c r="H69" s="262"/>
      <c r="I69" s="3"/>
      <c r="J69" s="3"/>
      <c r="K69" s="3"/>
      <c r="L69" s="3"/>
      <c r="M69" s="3"/>
      <c r="N69" s="3"/>
      <c r="O69" s="3"/>
      <c r="P69" s="3"/>
      <c r="Q69" s="3"/>
      <c r="R69" s="3"/>
      <c r="S69" s="3"/>
      <c r="T69" s="3"/>
      <c r="U69" s="3"/>
      <c r="V69" s="3"/>
      <c r="W69" s="3"/>
      <c r="X69" s="3"/>
      <c r="Y69" s="3"/>
      <c r="Z69" s="3"/>
    </row>
    <row r="70" spans="1:26" ht="15.75" customHeight="1" x14ac:dyDescent="0.25">
      <c r="A70" s="3"/>
      <c r="B70" s="3"/>
      <c r="C70" s="265"/>
      <c r="D70" s="266"/>
      <c r="E70" s="266"/>
      <c r="F70" s="266"/>
      <c r="G70" s="643"/>
      <c r="H70" s="278"/>
      <c r="I70" s="3"/>
      <c r="J70" s="3"/>
      <c r="K70" s="3"/>
      <c r="L70" s="3"/>
      <c r="M70" s="3"/>
      <c r="N70" s="3"/>
      <c r="O70" s="3"/>
      <c r="P70" s="3"/>
      <c r="Q70" s="3"/>
      <c r="R70" s="3"/>
      <c r="S70" s="3"/>
      <c r="T70" s="3"/>
      <c r="U70" s="3"/>
      <c r="V70" s="3"/>
      <c r="W70" s="3"/>
      <c r="X70" s="3"/>
      <c r="Y70" s="3"/>
      <c r="Z70" s="3"/>
    </row>
    <row r="71" spans="1:26" ht="15.75" customHeight="1" x14ac:dyDescent="0.25">
      <c r="A71" s="3"/>
      <c r="B71" s="3"/>
      <c r="C71" s="3"/>
      <c r="D71" s="3"/>
      <c r="E71" s="3"/>
      <c r="F71" s="3"/>
      <c r="G71" s="645"/>
      <c r="H71" s="3"/>
      <c r="I71" s="3"/>
      <c r="J71" s="3"/>
      <c r="K71" s="3"/>
      <c r="L71" s="3"/>
      <c r="M71" s="3"/>
      <c r="N71" s="3"/>
      <c r="O71" s="3"/>
      <c r="P71" s="3"/>
      <c r="Q71" s="3"/>
      <c r="R71" s="3"/>
      <c r="S71" s="3"/>
      <c r="T71" s="3"/>
      <c r="U71" s="3"/>
      <c r="V71" s="3"/>
      <c r="W71" s="3"/>
      <c r="X71" s="3"/>
      <c r="Y71" s="3"/>
      <c r="Z71" s="3"/>
    </row>
    <row r="72" spans="1:26" ht="15.75" customHeight="1" x14ac:dyDescent="0.25">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x14ac:dyDescent="0.25">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x14ac:dyDescent="0.2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25">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2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x14ac:dyDescent="0.25">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x14ac:dyDescent="0.2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2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2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2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2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2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2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2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2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2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2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2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2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2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2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2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2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2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2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2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2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2"/>
    <row r="271" spans="1:26" ht="15.75" customHeight="1" x14ac:dyDescent="0.2"/>
    <row r="272" spans="1:26"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3">
    <mergeCell ref="G3:J3"/>
    <mergeCell ref="D10:H10"/>
    <mergeCell ref="I33:J33"/>
  </mergeCells>
  <pageMargins left="0.7" right="0.7" top="0.75" bottom="0.75" header="0" footer="0"/>
  <pageSetup orientation="landscape"/>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6.83203125" defaultRowHeight="15" customHeight="1" x14ac:dyDescent="0.2"/>
  <cols>
    <col min="1" max="1" width="2.6640625" customWidth="1"/>
    <col min="2" max="2" width="47.1640625" customWidth="1"/>
    <col min="3" max="3" width="17.5" customWidth="1"/>
    <col min="4" max="4" width="17.6640625" customWidth="1"/>
    <col min="5" max="5" width="25.33203125" customWidth="1"/>
    <col min="6" max="6" width="23.33203125" customWidth="1"/>
    <col min="7" max="7" width="18.5" customWidth="1"/>
    <col min="8" max="8" width="15.5" customWidth="1"/>
    <col min="9" max="9" width="14.6640625" customWidth="1"/>
    <col min="10" max="10" width="18" customWidth="1"/>
    <col min="11" max="11" width="15" customWidth="1"/>
    <col min="12" max="12" width="18.33203125" customWidth="1"/>
    <col min="13" max="13" width="15.33203125" customWidth="1"/>
    <col min="14" max="14" width="17.6640625" customWidth="1"/>
    <col min="15" max="15" width="16" customWidth="1"/>
    <col min="16" max="16" width="14.6640625" customWidth="1"/>
    <col min="17" max="17" width="21.5" customWidth="1"/>
    <col min="18" max="18" width="14.83203125" customWidth="1"/>
    <col min="19" max="19" width="14.33203125" customWidth="1"/>
    <col min="20" max="20" width="16" customWidth="1"/>
    <col min="21" max="21" width="14.83203125" customWidth="1"/>
    <col min="22" max="22" width="18.5" customWidth="1"/>
    <col min="23" max="23" width="17.83203125" customWidth="1"/>
    <col min="24" max="26" width="8" customWidth="1"/>
  </cols>
  <sheetData>
    <row r="1" spans="1:26" x14ac:dyDescent="0.25">
      <c r="A1" s="3" t="s">
        <v>679</v>
      </c>
      <c r="B1" s="16"/>
      <c r="C1" s="20"/>
      <c r="D1" s="20"/>
      <c r="E1" s="20"/>
      <c r="F1" s="22"/>
      <c r="G1" s="20"/>
      <c r="H1" s="20"/>
      <c r="I1" s="20"/>
      <c r="J1" s="20"/>
      <c r="K1" s="20"/>
      <c r="L1" s="20"/>
      <c r="M1" s="20"/>
      <c r="N1" s="20"/>
      <c r="O1" s="20"/>
      <c r="P1" s="20"/>
      <c r="Q1" s="20"/>
      <c r="R1" s="20"/>
      <c r="S1" s="20"/>
      <c r="T1" s="20"/>
      <c r="U1" s="20"/>
      <c r="V1" s="20"/>
      <c r="W1" s="20"/>
      <c r="X1" s="20"/>
      <c r="Y1" s="20"/>
      <c r="Z1" s="20"/>
    </row>
    <row r="2" spans="1:26" ht="74.25" customHeight="1" x14ac:dyDescent="0.25">
      <c r="A2" s="3"/>
      <c r="B2" s="3"/>
      <c r="C2" s="3"/>
      <c r="D2" s="3"/>
      <c r="E2" s="3"/>
      <c r="F2" s="3"/>
      <c r="G2" s="3"/>
      <c r="H2" s="3"/>
      <c r="I2" s="3"/>
      <c r="J2" s="3"/>
      <c r="K2" s="3"/>
      <c r="L2" s="3"/>
      <c r="M2" s="3"/>
      <c r="N2" s="3"/>
      <c r="O2" s="3"/>
      <c r="P2" s="3"/>
      <c r="Q2" s="3"/>
      <c r="R2" s="3"/>
      <c r="S2" s="3"/>
      <c r="T2" s="3"/>
      <c r="U2" s="3"/>
      <c r="V2" s="3"/>
      <c r="W2" s="3"/>
      <c r="X2" s="3"/>
      <c r="Y2" s="3"/>
      <c r="Z2" s="3"/>
    </row>
    <row r="3" spans="1:26" x14ac:dyDescent="0.25">
      <c r="A3" s="3"/>
      <c r="B3" s="3"/>
      <c r="C3" s="3"/>
      <c r="D3" s="3"/>
      <c r="E3" s="734" t="s">
        <v>680</v>
      </c>
      <c r="F3" s="736"/>
      <c r="G3" s="737"/>
      <c r="H3" s="3"/>
      <c r="I3" s="3"/>
      <c r="J3" s="3"/>
      <c r="K3" s="3"/>
      <c r="L3" s="3"/>
      <c r="M3" s="3"/>
      <c r="N3" s="3"/>
      <c r="O3" s="3"/>
      <c r="P3" s="3"/>
      <c r="Q3" s="3"/>
      <c r="R3" s="3"/>
      <c r="S3" s="3"/>
      <c r="T3" s="3"/>
      <c r="U3" s="3"/>
      <c r="V3" s="3"/>
      <c r="W3" s="3"/>
      <c r="X3" s="3"/>
      <c r="Y3" s="3"/>
      <c r="Z3" s="3"/>
    </row>
    <row r="4" spans="1:26" x14ac:dyDescent="0.25">
      <c r="A4" s="3"/>
      <c r="B4" s="3"/>
      <c r="C4" s="3"/>
      <c r="D4" s="3"/>
      <c r="E4" s="60"/>
      <c r="F4" s="3"/>
      <c r="G4" s="3"/>
      <c r="H4" s="3"/>
      <c r="I4" s="3"/>
      <c r="J4" s="3"/>
      <c r="K4" s="3"/>
      <c r="L4" s="3"/>
      <c r="M4" s="3"/>
      <c r="N4" s="3"/>
      <c r="O4" s="3"/>
      <c r="P4" s="3"/>
      <c r="Q4" s="3"/>
      <c r="R4" s="3"/>
      <c r="S4" s="3"/>
      <c r="T4" s="3"/>
      <c r="U4" s="3"/>
      <c r="V4" s="3"/>
      <c r="W4" s="3"/>
      <c r="X4" s="3"/>
      <c r="Y4" s="3"/>
      <c r="Z4" s="3"/>
    </row>
    <row r="5" spans="1:26" x14ac:dyDescent="0.25">
      <c r="A5" s="3"/>
      <c r="B5" s="194"/>
      <c r="C5" s="739">
        <v>1991</v>
      </c>
      <c r="D5" s="739">
        <v>1992</v>
      </c>
      <c r="E5" s="739">
        <v>1993</v>
      </c>
      <c r="F5" s="739">
        <v>1994</v>
      </c>
      <c r="G5" s="739">
        <v>1995</v>
      </c>
      <c r="H5" s="739">
        <v>1996</v>
      </c>
      <c r="I5" s="739">
        <v>1997</v>
      </c>
      <c r="J5" s="739">
        <v>1998</v>
      </c>
      <c r="K5" s="741">
        <v>1999</v>
      </c>
      <c r="L5" s="742">
        <v>2000</v>
      </c>
      <c r="M5" s="742">
        <v>2001</v>
      </c>
      <c r="N5" s="742">
        <v>2002</v>
      </c>
      <c r="O5" s="742">
        <v>2003</v>
      </c>
      <c r="P5" s="742">
        <v>2004</v>
      </c>
      <c r="Q5" s="742">
        <v>2005</v>
      </c>
      <c r="R5" s="742">
        <v>2006</v>
      </c>
      <c r="S5" s="742">
        <v>2007</v>
      </c>
      <c r="T5" s="742">
        <v>2008</v>
      </c>
      <c r="U5" s="739">
        <v>2009</v>
      </c>
      <c r="V5" s="739">
        <v>2010</v>
      </c>
      <c r="W5" s="743">
        <v>2011</v>
      </c>
      <c r="X5" s="3"/>
      <c r="Y5" s="3"/>
      <c r="Z5" s="3"/>
    </row>
    <row r="6" spans="1:26" x14ac:dyDescent="0.25">
      <c r="A6" s="3"/>
      <c r="B6" s="201"/>
      <c r="C6" s="81"/>
      <c r="D6" s="81"/>
      <c r="E6" s="81"/>
      <c r="F6" s="81"/>
      <c r="G6" s="81"/>
      <c r="H6" s="81"/>
      <c r="I6" s="81"/>
      <c r="J6" s="81"/>
      <c r="K6" s="76"/>
      <c r="L6" s="744"/>
      <c r="M6" s="744"/>
      <c r="N6" s="744"/>
      <c r="O6" s="744"/>
      <c r="P6" s="744"/>
      <c r="Q6" s="744"/>
      <c r="R6" s="744"/>
      <c r="S6" s="744"/>
      <c r="T6" s="744"/>
      <c r="U6" s="81"/>
      <c r="V6" s="81"/>
      <c r="W6" s="206"/>
      <c r="X6" s="3"/>
      <c r="Y6" s="3"/>
      <c r="Z6" s="3"/>
    </row>
    <row r="7" spans="1:26" x14ac:dyDescent="0.25">
      <c r="A7" s="3"/>
      <c r="B7" s="745" t="s">
        <v>681</v>
      </c>
      <c r="C7" s="746"/>
      <c r="D7" s="747"/>
      <c r="E7" s="747"/>
      <c r="F7" s="747"/>
      <c r="G7" s="747"/>
      <c r="H7" s="747"/>
      <c r="I7" s="747"/>
      <c r="J7" s="747"/>
      <c r="K7" s="748"/>
      <c r="L7" s="749">
        <v>11420038</v>
      </c>
      <c r="M7" s="750">
        <v>11135140</v>
      </c>
      <c r="N7" s="750">
        <v>11364983</v>
      </c>
      <c r="O7" s="750">
        <v>11852129</v>
      </c>
      <c r="P7" s="750">
        <v>11608446</v>
      </c>
      <c r="Q7" s="750">
        <v>11745248.199999999</v>
      </c>
      <c r="R7" s="750">
        <v>11687602.6</v>
      </c>
      <c r="S7" s="750">
        <v>11937518</v>
      </c>
      <c r="T7" s="750">
        <v>11098391</v>
      </c>
      <c r="U7" s="747">
        <v>9846698</v>
      </c>
      <c r="V7" s="747">
        <v>9885858</v>
      </c>
      <c r="W7" s="752">
        <v>9003261</v>
      </c>
      <c r="X7" s="3"/>
      <c r="Y7" s="3"/>
      <c r="Z7" s="3"/>
    </row>
    <row r="8" spans="1:26" x14ac:dyDescent="0.25">
      <c r="A8" s="3"/>
      <c r="B8" s="745" t="s">
        <v>684</v>
      </c>
      <c r="C8" s="746"/>
      <c r="D8" s="747"/>
      <c r="E8" s="747"/>
      <c r="F8" s="747"/>
      <c r="G8" s="747"/>
      <c r="H8" s="747"/>
      <c r="I8" s="747"/>
      <c r="J8" s="747"/>
      <c r="K8" s="748"/>
      <c r="L8" s="749">
        <v>4143417</v>
      </c>
      <c r="M8" s="750">
        <v>5514960</v>
      </c>
      <c r="N8" s="750">
        <v>4108104</v>
      </c>
      <c r="O8" s="750">
        <v>6164252</v>
      </c>
      <c r="P8" s="750">
        <v>5672819.25</v>
      </c>
      <c r="Q8" s="750">
        <v>6574936.7400000002</v>
      </c>
      <c r="R8" s="750">
        <v>1050222.03</v>
      </c>
      <c r="S8" s="750">
        <v>1790746</v>
      </c>
      <c r="T8" s="750">
        <v>791418</v>
      </c>
      <c r="U8" s="747">
        <v>624050</v>
      </c>
      <c r="V8" s="747">
        <v>658767</v>
      </c>
      <c r="W8" s="752">
        <v>438683</v>
      </c>
      <c r="X8" s="3"/>
      <c r="Y8" s="3"/>
      <c r="Z8" s="3"/>
    </row>
    <row r="9" spans="1:26" x14ac:dyDescent="0.25">
      <c r="A9" s="3"/>
      <c r="B9" s="745" t="s">
        <v>687</v>
      </c>
      <c r="C9" s="746"/>
      <c r="D9" s="747"/>
      <c r="E9" s="747"/>
      <c r="F9" s="747"/>
      <c r="G9" s="747"/>
      <c r="H9" s="747"/>
      <c r="I9" s="747"/>
      <c r="J9" s="747"/>
      <c r="K9" s="748"/>
      <c r="L9" s="749">
        <v>29023288</v>
      </c>
      <c r="M9" s="750">
        <v>17985486</v>
      </c>
      <c r="N9" s="750">
        <v>22627073</v>
      </c>
      <c r="O9" s="750">
        <v>11162538</v>
      </c>
      <c r="P9" s="750">
        <v>9994238.0399999991</v>
      </c>
      <c r="Q9" s="750">
        <v>18619350</v>
      </c>
      <c r="R9" s="750">
        <v>16620796.5</v>
      </c>
      <c r="S9" s="750">
        <v>21481869</v>
      </c>
      <c r="T9" s="750">
        <v>17563616</v>
      </c>
      <c r="U9" s="747">
        <v>15742992</v>
      </c>
      <c r="V9" s="747">
        <v>28629884</v>
      </c>
      <c r="W9" s="752">
        <v>21840074</v>
      </c>
      <c r="X9" s="3"/>
      <c r="Y9" s="3"/>
      <c r="Z9" s="3"/>
    </row>
    <row r="10" spans="1:26" x14ac:dyDescent="0.25">
      <c r="A10" s="3"/>
      <c r="B10" s="756" t="s">
        <v>689</v>
      </c>
      <c r="C10" s="757"/>
      <c r="D10" s="758"/>
      <c r="E10" s="758"/>
      <c r="F10" s="758"/>
      <c r="G10" s="758"/>
      <c r="H10" s="758"/>
      <c r="I10" s="758"/>
      <c r="J10" s="758"/>
      <c r="K10" s="759"/>
      <c r="L10" s="760">
        <v>758</v>
      </c>
      <c r="M10" s="761">
        <v>7537</v>
      </c>
      <c r="N10" s="761">
        <v>9278</v>
      </c>
      <c r="O10" s="761">
        <v>6717</v>
      </c>
      <c r="P10" s="761">
        <v>5127.03</v>
      </c>
      <c r="Q10" s="761">
        <v>4266.24</v>
      </c>
      <c r="R10" s="761">
        <v>4141.3100000000004</v>
      </c>
      <c r="S10" s="761">
        <v>4703.42</v>
      </c>
      <c r="T10" s="761">
        <v>4194.0200000000004</v>
      </c>
      <c r="U10" s="758">
        <v>3340</v>
      </c>
      <c r="V10" s="758">
        <v>2663</v>
      </c>
      <c r="W10" s="762">
        <v>1921</v>
      </c>
      <c r="X10" s="3"/>
      <c r="Y10" s="3"/>
      <c r="Z10" s="3"/>
    </row>
    <row r="11" spans="1:26" x14ac:dyDescent="0.25">
      <c r="A11" s="3"/>
      <c r="B11" s="3"/>
      <c r="C11" s="3"/>
      <c r="D11" s="3"/>
      <c r="E11" s="60"/>
      <c r="F11" s="3"/>
      <c r="G11" s="3"/>
      <c r="H11" s="3"/>
      <c r="I11" s="3"/>
      <c r="J11" s="3"/>
      <c r="K11" s="3"/>
      <c r="L11" s="3"/>
      <c r="M11" s="3"/>
      <c r="N11" s="3"/>
      <c r="O11" s="3"/>
      <c r="P11" s="3"/>
      <c r="Q11" s="3"/>
      <c r="R11" s="3"/>
      <c r="S11" s="3"/>
      <c r="T11" s="3"/>
      <c r="U11" s="3"/>
      <c r="V11" s="3"/>
      <c r="W11" s="3"/>
      <c r="X11" s="3"/>
      <c r="Y11" s="3"/>
      <c r="Z11" s="3"/>
    </row>
    <row r="12" spans="1:26" x14ac:dyDescent="0.25">
      <c r="A12" s="3"/>
      <c r="B12" s="3"/>
      <c r="C12" s="3"/>
      <c r="D12" s="3"/>
      <c r="E12" s="3"/>
      <c r="F12" s="3"/>
      <c r="G12" s="3"/>
      <c r="H12" s="3"/>
      <c r="I12" s="3"/>
      <c r="J12" s="3"/>
      <c r="K12" s="3"/>
      <c r="L12" s="3"/>
      <c r="M12" s="3"/>
      <c r="N12" s="3"/>
      <c r="O12" s="3"/>
      <c r="P12" s="3"/>
      <c r="Q12" s="3"/>
      <c r="R12" s="3"/>
      <c r="S12" s="3"/>
      <c r="T12" s="3"/>
      <c r="U12" s="3"/>
      <c r="V12" s="3"/>
      <c r="W12" s="3"/>
      <c r="X12" s="3"/>
      <c r="Y12" s="3"/>
      <c r="Z12" s="3"/>
    </row>
    <row r="13" spans="1:26" x14ac:dyDescent="0.25">
      <c r="A13" s="3"/>
      <c r="B13" s="3"/>
      <c r="C13" s="3"/>
      <c r="D13" s="3"/>
      <c r="E13" s="3"/>
      <c r="F13" s="3"/>
      <c r="G13" s="3"/>
      <c r="H13" s="3"/>
      <c r="I13" s="3"/>
      <c r="J13" s="3"/>
      <c r="K13" s="3"/>
      <c r="L13" s="3"/>
      <c r="M13" s="3"/>
      <c r="N13" s="3"/>
      <c r="O13" s="3"/>
      <c r="P13" s="3"/>
      <c r="Q13" s="3"/>
      <c r="R13" s="3"/>
      <c r="S13" s="3"/>
      <c r="T13" s="3"/>
      <c r="U13" s="3"/>
      <c r="V13" s="3"/>
      <c r="W13" s="3"/>
      <c r="X13" s="3"/>
      <c r="Y13" s="3"/>
      <c r="Z13" s="3"/>
    </row>
    <row r="14" spans="1:26" x14ac:dyDescent="0.25">
      <c r="A14" s="3"/>
      <c r="B14" s="3"/>
      <c r="C14" s="721"/>
      <c r="D14" s="767"/>
      <c r="E14" s="734" t="s">
        <v>694</v>
      </c>
      <c r="F14" s="768"/>
      <c r="G14" s="767"/>
      <c r="H14" s="767"/>
      <c r="I14" s="767"/>
      <c r="J14" s="3"/>
      <c r="K14" s="3"/>
      <c r="L14" s="3"/>
      <c r="M14" s="3"/>
      <c r="N14" s="3"/>
      <c r="O14" s="3"/>
      <c r="P14" s="3"/>
      <c r="Q14" s="3"/>
      <c r="R14" s="3"/>
      <c r="S14" s="3"/>
      <c r="T14" s="3"/>
      <c r="U14" s="3"/>
      <c r="V14" s="3"/>
      <c r="W14" s="3"/>
      <c r="X14" s="3"/>
      <c r="Y14" s="3"/>
      <c r="Z14" s="3"/>
    </row>
    <row r="15" spans="1:26" x14ac:dyDescent="0.25">
      <c r="A15" s="3"/>
      <c r="B15" s="3"/>
      <c r="C15" s="721"/>
      <c r="D15" s="767"/>
      <c r="E15" s="767"/>
      <c r="F15" s="767"/>
      <c r="G15" s="767"/>
      <c r="H15" s="767"/>
      <c r="I15" s="767"/>
      <c r="J15" s="3"/>
      <c r="K15" s="3"/>
      <c r="L15" s="3"/>
      <c r="M15" s="3"/>
      <c r="N15" s="3"/>
      <c r="O15" s="3"/>
      <c r="P15" s="3"/>
      <c r="Q15" s="3"/>
      <c r="R15" s="3"/>
      <c r="S15" s="3"/>
      <c r="T15" s="3"/>
      <c r="U15" s="3"/>
      <c r="V15" s="3"/>
      <c r="W15" s="3"/>
      <c r="X15" s="3"/>
      <c r="Y15" s="3"/>
      <c r="Z15" s="3"/>
    </row>
    <row r="16" spans="1:26" x14ac:dyDescent="0.25">
      <c r="A16" s="3"/>
      <c r="B16" s="194"/>
      <c r="C16" s="739">
        <v>1991</v>
      </c>
      <c r="D16" s="739">
        <v>1992</v>
      </c>
      <c r="E16" s="739">
        <v>1993</v>
      </c>
      <c r="F16" s="739">
        <v>1994</v>
      </c>
      <c r="G16" s="739">
        <v>1995</v>
      </c>
      <c r="H16" s="739">
        <v>1996</v>
      </c>
      <c r="I16" s="739">
        <v>1997</v>
      </c>
      <c r="J16" s="739">
        <v>1998</v>
      </c>
      <c r="K16" s="739">
        <v>1999</v>
      </c>
      <c r="L16" s="739">
        <v>2000</v>
      </c>
      <c r="M16" s="739">
        <v>2001</v>
      </c>
      <c r="N16" s="739">
        <v>2002</v>
      </c>
      <c r="O16" s="739">
        <v>2003</v>
      </c>
      <c r="P16" s="739">
        <v>2004</v>
      </c>
      <c r="Q16" s="739">
        <v>2005</v>
      </c>
      <c r="R16" s="739">
        <v>2006</v>
      </c>
      <c r="S16" s="739">
        <v>2007</v>
      </c>
      <c r="T16" s="741">
        <v>2008</v>
      </c>
      <c r="U16" s="739">
        <v>2009</v>
      </c>
      <c r="V16" s="739">
        <v>2010</v>
      </c>
      <c r="W16" s="743">
        <v>2011</v>
      </c>
      <c r="X16" s="3"/>
      <c r="Y16" s="3"/>
      <c r="Z16" s="3"/>
    </row>
    <row r="17" spans="1:26" x14ac:dyDescent="0.25">
      <c r="A17" s="3"/>
      <c r="B17" s="201" t="s">
        <v>53</v>
      </c>
      <c r="C17" s="747">
        <v>22835671</v>
      </c>
      <c r="D17" s="747">
        <v>23850470</v>
      </c>
      <c r="E17" s="747">
        <v>25126979</v>
      </c>
      <c r="F17" s="747">
        <v>25624758</v>
      </c>
      <c r="G17" s="747">
        <v>27595256</v>
      </c>
      <c r="H17" s="747">
        <v>27992005</v>
      </c>
      <c r="I17" s="747">
        <v>27620925</v>
      </c>
      <c r="J17" s="747">
        <v>29294727</v>
      </c>
      <c r="K17" s="747">
        <v>29687655</v>
      </c>
      <c r="L17" s="747">
        <v>29451065</v>
      </c>
      <c r="M17" s="747">
        <v>28379409</v>
      </c>
      <c r="N17" s="747">
        <v>28712053</v>
      </c>
      <c r="O17" s="747">
        <v>29939086</v>
      </c>
      <c r="P17" s="747">
        <v>29195458</v>
      </c>
      <c r="Q17" s="747">
        <v>29302792</v>
      </c>
      <c r="R17" s="747">
        <v>29408022</v>
      </c>
      <c r="S17" s="747">
        <v>29699186</v>
      </c>
      <c r="T17" s="748">
        <v>27218239</v>
      </c>
      <c r="U17" s="747">
        <v>24162345</v>
      </c>
      <c r="V17" s="747">
        <v>23668204</v>
      </c>
      <c r="W17" s="770">
        <v>21186919</v>
      </c>
      <c r="X17" s="3"/>
      <c r="Y17" s="3"/>
      <c r="Z17" s="3"/>
    </row>
    <row r="18" spans="1:26" x14ac:dyDescent="0.25">
      <c r="A18" s="3"/>
      <c r="B18" s="201" t="s">
        <v>179</v>
      </c>
      <c r="C18" s="747">
        <v>4078506</v>
      </c>
      <c r="D18" s="747">
        <v>2749511</v>
      </c>
      <c r="E18" s="747">
        <v>4164790</v>
      </c>
      <c r="F18" s="747">
        <v>4275226</v>
      </c>
      <c r="G18" s="747">
        <v>1479469</v>
      </c>
      <c r="H18" s="747">
        <v>1472027</v>
      </c>
      <c r="I18" s="747">
        <v>1565010</v>
      </c>
      <c r="J18" s="747">
        <v>3454350</v>
      </c>
      <c r="K18" s="747">
        <v>4290788</v>
      </c>
      <c r="L18" s="747">
        <v>2388595</v>
      </c>
      <c r="M18" s="747">
        <v>3021639</v>
      </c>
      <c r="N18" s="747">
        <v>2282432</v>
      </c>
      <c r="O18" s="747">
        <v>3572183</v>
      </c>
      <c r="P18" s="747">
        <v>3296842</v>
      </c>
      <c r="Q18" s="747">
        <v>3805569</v>
      </c>
      <c r="R18" s="747">
        <v>580726</v>
      </c>
      <c r="S18" s="747">
        <v>984831</v>
      </c>
      <c r="T18" s="748">
        <v>405840</v>
      </c>
      <c r="U18" s="747">
        <v>329901</v>
      </c>
      <c r="V18" s="747">
        <v>322438</v>
      </c>
      <c r="W18" s="770">
        <v>219804</v>
      </c>
      <c r="X18" s="3"/>
      <c r="Y18" s="3"/>
      <c r="Z18" s="3"/>
    </row>
    <row r="19" spans="1:26" x14ac:dyDescent="0.25">
      <c r="A19" s="3"/>
      <c r="B19" s="201" t="s">
        <v>77</v>
      </c>
      <c r="C19" s="747">
        <v>1517463</v>
      </c>
      <c r="D19" s="747">
        <v>1077542</v>
      </c>
      <c r="E19" s="747">
        <v>772304</v>
      </c>
      <c r="F19" s="747">
        <v>1172042</v>
      </c>
      <c r="G19" s="747">
        <v>1548884</v>
      </c>
      <c r="H19" s="747">
        <v>987627</v>
      </c>
      <c r="I19" s="747">
        <v>1412585</v>
      </c>
      <c r="J19" s="747">
        <v>1990596</v>
      </c>
      <c r="K19" s="747">
        <v>2125193</v>
      </c>
      <c r="L19" s="747">
        <v>2852876</v>
      </c>
      <c r="M19" s="747">
        <v>1760812</v>
      </c>
      <c r="N19" s="747">
        <v>2214431</v>
      </c>
      <c r="O19" s="747">
        <v>1195642</v>
      </c>
      <c r="P19" s="747">
        <v>1183301</v>
      </c>
      <c r="Q19" s="747">
        <v>1886986</v>
      </c>
      <c r="R19" s="747">
        <v>1770206</v>
      </c>
      <c r="S19" s="747">
        <v>2240927</v>
      </c>
      <c r="T19" s="748">
        <v>1848147</v>
      </c>
      <c r="U19" s="747">
        <v>1767844</v>
      </c>
      <c r="V19" s="747">
        <v>2896978</v>
      </c>
      <c r="W19" s="770">
        <v>2236976</v>
      </c>
      <c r="X19" s="3"/>
      <c r="Y19" s="3"/>
      <c r="Z19" s="3"/>
    </row>
    <row r="20" spans="1:26" x14ac:dyDescent="0.25">
      <c r="A20" s="3"/>
      <c r="B20" s="201" t="s">
        <v>695</v>
      </c>
      <c r="C20" s="747">
        <v>478704</v>
      </c>
      <c r="D20" s="747">
        <v>506572</v>
      </c>
      <c r="E20" s="747">
        <v>475788</v>
      </c>
      <c r="F20" s="747">
        <v>501762</v>
      </c>
      <c r="G20" s="747">
        <v>685721</v>
      </c>
      <c r="H20" s="747">
        <v>539335</v>
      </c>
      <c r="I20" s="747">
        <v>564036</v>
      </c>
      <c r="J20" s="747">
        <v>82316</v>
      </c>
      <c r="K20" s="747">
        <v>59891</v>
      </c>
      <c r="L20" s="747">
        <v>74572</v>
      </c>
      <c r="M20" s="747">
        <v>439980</v>
      </c>
      <c r="N20" s="747">
        <v>504513</v>
      </c>
      <c r="O20" s="747">
        <v>325355</v>
      </c>
      <c r="P20" s="747">
        <v>411565</v>
      </c>
      <c r="Q20" s="747">
        <v>342466</v>
      </c>
      <c r="R20" s="747">
        <v>332444</v>
      </c>
      <c r="S20" s="747">
        <v>377560</v>
      </c>
      <c r="T20" s="748">
        <v>337823</v>
      </c>
      <c r="U20" s="747">
        <v>269182</v>
      </c>
      <c r="V20" s="747">
        <v>214727</v>
      </c>
      <c r="W20" s="770">
        <v>154641</v>
      </c>
      <c r="X20" s="3"/>
      <c r="Y20" s="3"/>
      <c r="Z20" s="3"/>
    </row>
    <row r="21" spans="1:26" ht="15.75" customHeight="1" x14ac:dyDescent="0.25">
      <c r="A21" s="3"/>
      <c r="B21" s="201" t="s">
        <v>696</v>
      </c>
      <c r="C21" s="747">
        <v>9036100</v>
      </c>
      <c r="D21" s="747">
        <v>10663950</v>
      </c>
      <c r="E21" s="747">
        <v>12300816</v>
      </c>
      <c r="F21" s="747">
        <v>11235408</v>
      </c>
      <c r="G21" s="747">
        <v>12937971</v>
      </c>
      <c r="H21" s="747">
        <v>12092768</v>
      </c>
      <c r="I21" s="747">
        <v>13212967</v>
      </c>
      <c r="J21" s="747">
        <v>13330598</v>
      </c>
      <c r="K21" s="747">
        <v>13312335</v>
      </c>
      <c r="L21" s="747">
        <v>13827243</v>
      </c>
      <c r="M21" s="747">
        <v>13656267</v>
      </c>
      <c r="N21" s="747">
        <v>12128005</v>
      </c>
      <c r="O21" s="747">
        <v>13690713</v>
      </c>
      <c r="P21" s="747">
        <v>14580260</v>
      </c>
      <c r="Q21" s="747">
        <v>14703221</v>
      </c>
      <c r="R21" s="747">
        <v>13830411</v>
      </c>
      <c r="S21" s="747">
        <v>14353192</v>
      </c>
      <c r="T21" s="748">
        <v>14678695</v>
      </c>
      <c r="U21" s="747">
        <v>14550119</v>
      </c>
      <c r="V21" s="747">
        <v>13993948</v>
      </c>
      <c r="W21" s="770">
        <v>14397437</v>
      </c>
      <c r="X21" s="3"/>
      <c r="Y21" s="3"/>
      <c r="Z21" s="3"/>
    </row>
    <row r="22" spans="1:26" ht="15.75" customHeight="1" x14ac:dyDescent="0.25">
      <c r="A22" s="3"/>
      <c r="B22" s="201" t="s">
        <v>697</v>
      </c>
      <c r="C22" s="747">
        <v>1407287</v>
      </c>
      <c r="D22" s="747">
        <v>1824659</v>
      </c>
      <c r="E22" s="747">
        <v>1658271</v>
      </c>
      <c r="F22" s="747">
        <v>2009536</v>
      </c>
      <c r="G22" s="747">
        <v>1442006</v>
      </c>
      <c r="H22" s="747">
        <v>2457463</v>
      </c>
      <c r="I22" s="747">
        <v>1588375</v>
      </c>
      <c r="J22" s="747">
        <v>1739737</v>
      </c>
      <c r="K22" s="747">
        <v>1424197</v>
      </c>
      <c r="L22" s="747">
        <v>1732619</v>
      </c>
      <c r="M22" s="747">
        <v>1183518</v>
      </c>
      <c r="N22" s="747">
        <v>1660989</v>
      </c>
      <c r="O22" s="747">
        <v>2646984</v>
      </c>
      <c r="P22" s="747">
        <v>2507521</v>
      </c>
      <c r="Q22" s="747">
        <v>1703639</v>
      </c>
      <c r="R22" s="747">
        <v>2104275</v>
      </c>
      <c r="S22" s="747">
        <v>1652216</v>
      </c>
      <c r="T22" s="748">
        <v>1974078</v>
      </c>
      <c r="U22" s="747">
        <v>1888769</v>
      </c>
      <c r="V22" s="747">
        <v>1667397</v>
      </c>
      <c r="W22" s="770">
        <v>2540908</v>
      </c>
      <c r="X22" s="3"/>
      <c r="Y22" s="3"/>
      <c r="Z22" s="3"/>
    </row>
    <row r="23" spans="1:26" ht="15.75" customHeight="1" x14ac:dyDescent="0.25">
      <c r="A23" s="3"/>
      <c r="B23" s="201" t="s">
        <v>698</v>
      </c>
      <c r="C23" s="747"/>
      <c r="D23" s="747"/>
      <c r="E23" s="747"/>
      <c r="F23" s="747"/>
      <c r="G23" s="747"/>
      <c r="H23" s="747"/>
      <c r="I23" s="747"/>
      <c r="J23" s="747"/>
      <c r="K23" s="747"/>
      <c r="L23" s="747"/>
      <c r="M23" s="747"/>
      <c r="N23" s="747"/>
      <c r="O23" s="747"/>
      <c r="P23" s="747"/>
      <c r="Q23" s="747"/>
      <c r="R23" s="747"/>
      <c r="S23" s="747"/>
      <c r="T23" s="748"/>
      <c r="U23" s="747"/>
      <c r="V23" s="747">
        <v>1494</v>
      </c>
      <c r="W23" s="770">
        <v>319254</v>
      </c>
      <c r="X23" s="3"/>
      <c r="Y23" s="3"/>
      <c r="Z23" s="3"/>
    </row>
    <row r="24" spans="1:26" ht="15.75" customHeight="1" x14ac:dyDescent="0.25">
      <c r="A24" s="3"/>
      <c r="B24" s="201" t="s">
        <v>699</v>
      </c>
      <c r="C24" s="747"/>
      <c r="D24" s="747"/>
      <c r="E24" s="747"/>
      <c r="F24" s="747"/>
      <c r="G24" s="747"/>
      <c r="H24" s="747"/>
      <c r="I24" s="747"/>
      <c r="J24" s="747"/>
      <c r="K24" s="747"/>
      <c r="L24" s="747"/>
      <c r="M24" s="747"/>
      <c r="N24" s="747"/>
      <c r="O24" s="747"/>
      <c r="P24" s="747"/>
      <c r="Q24" s="747"/>
      <c r="R24" s="747"/>
      <c r="S24" s="747"/>
      <c r="T24" s="748"/>
      <c r="U24" s="747"/>
      <c r="V24" s="747">
        <v>80</v>
      </c>
      <c r="W24" s="770">
        <v>2070</v>
      </c>
      <c r="X24" s="3"/>
      <c r="Y24" s="3"/>
      <c r="Z24" s="3"/>
    </row>
    <row r="25" spans="1:26" ht="15.75" customHeight="1" x14ac:dyDescent="0.25">
      <c r="A25" s="3"/>
      <c r="B25" s="201" t="s">
        <v>700</v>
      </c>
      <c r="C25" s="747">
        <v>160602</v>
      </c>
      <c r="D25" s="747">
        <v>174801</v>
      </c>
      <c r="E25" s="747">
        <v>175122</v>
      </c>
      <c r="F25" s="747">
        <v>168822</v>
      </c>
      <c r="G25" s="747">
        <v>175144</v>
      </c>
      <c r="H25" s="747">
        <v>167554</v>
      </c>
      <c r="I25" s="747">
        <v>155906</v>
      </c>
      <c r="J25" s="747">
        <v>155647</v>
      </c>
      <c r="K25" s="747">
        <v>171088</v>
      </c>
      <c r="L25" s="747">
        <v>179580</v>
      </c>
      <c r="M25" s="747">
        <v>11939</v>
      </c>
      <c r="N25" s="747">
        <v>182904</v>
      </c>
      <c r="O25" s="747">
        <v>225240</v>
      </c>
      <c r="P25" s="747">
        <v>192384</v>
      </c>
      <c r="Q25" s="747">
        <v>205985</v>
      </c>
      <c r="R25" s="747">
        <v>218066</v>
      </c>
      <c r="S25" s="747">
        <v>203097</v>
      </c>
      <c r="T25" s="748">
        <v>197704</v>
      </c>
      <c r="U25" s="747">
        <v>175058</v>
      </c>
      <c r="V25" s="747">
        <v>164688</v>
      </c>
      <c r="W25" s="770">
        <v>167437</v>
      </c>
      <c r="X25" s="3"/>
      <c r="Y25" s="3"/>
      <c r="Z25" s="3"/>
    </row>
    <row r="26" spans="1:26" ht="15.75" customHeight="1" x14ac:dyDescent="0.25">
      <c r="A26" s="3"/>
      <c r="B26" s="201" t="s">
        <v>701</v>
      </c>
      <c r="C26" s="747">
        <v>336551</v>
      </c>
      <c r="D26" s="747">
        <v>329854</v>
      </c>
      <c r="E26" s="747">
        <v>303818</v>
      </c>
      <c r="F26" s="747">
        <v>352064</v>
      </c>
      <c r="G26" s="747">
        <v>501192</v>
      </c>
      <c r="H26" s="747">
        <v>565838</v>
      </c>
      <c r="I26" s="747">
        <v>587592</v>
      </c>
      <c r="J26" s="747">
        <v>605046</v>
      </c>
      <c r="K26" s="747">
        <v>614474</v>
      </c>
      <c r="L26" s="747">
        <v>638830</v>
      </c>
      <c r="M26" s="747">
        <v>361076</v>
      </c>
      <c r="N26" s="747">
        <v>338727</v>
      </c>
      <c r="O26" s="747">
        <v>370811</v>
      </c>
      <c r="P26" s="747">
        <v>396824</v>
      </c>
      <c r="Q26" s="747">
        <v>417380</v>
      </c>
      <c r="R26" s="747">
        <v>408095</v>
      </c>
      <c r="S26" s="747">
        <v>400364</v>
      </c>
      <c r="T26" s="748">
        <v>414781</v>
      </c>
      <c r="U26" s="747">
        <v>375721</v>
      </c>
      <c r="V26" s="747">
        <v>407402</v>
      </c>
      <c r="W26" s="770">
        <v>420114</v>
      </c>
      <c r="X26" s="3"/>
      <c r="Y26" s="3"/>
      <c r="Z26" s="3"/>
    </row>
    <row r="27" spans="1:26" ht="15.75" customHeight="1" x14ac:dyDescent="0.25">
      <c r="A27" s="3"/>
      <c r="B27" s="774" t="s">
        <v>702</v>
      </c>
      <c r="C27" s="775"/>
      <c r="D27" s="775"/>
      <c r="E27" s="775"/>
      <c r="F27" s="775"/>
      <c r="G27" s="775"/>
      <c r="H27" s="775"/>
      <c r="I27" s="775"/>
      <c r="J27" s="775"/>
      <c r="K27" s="775"/>
      <c r="L27" s="775"/>
      <c r="M27" s="776">
        <v>247700</v>
      </c>
      <c r="N27" s="776">
        <v>255034</v>
      </c>
      <c r="O27" s="776">
        <v>278224</v>
      </c>
      <c r="P27" s="776">
        <v>288616</v>
      </c>
      <c r="Q27" s="776">
        <v>293561</v>
      </c>
      <c r="R27" s="776">
        <v>304635</v>
      </c>
      <c r="S27" s="776">
        <v>286550</v>
      </c>
      <c r="T27" s="777">
        <v>285645</v>
      </c>
      <c r="U27" s="747">
        <v>255893</v>
      </c>
      <c r="V27" s="747">
        <v>269907</v>
      </c>
      <c r="W27" s="770">
        <v>267727</v>
      </c>
      <c r="X27" s="3"/>
      <c r="Y27" s="3"/>
      <c r="Z27" s="3"/>
    </row>
    <row r="28" spans="1:26" ht="15.75" customHeight="1" x14ac:dyDescent="0.25">
      <c r="A28" s="3"/>
      <c r="B28" s="778" t="s">
        <v>205</v>
      </c>
      <c r="C28" s="779">
        <v>39850884</v>
      </c>
      <c r="D28" s="779">
        <v>41177359</v>
      </c>
      <c r="E28" s="779">
        <v>44977888</v>
      </c>
      <c r="F28" s="779">
        <v>45339618</v>
      </c>
      <c r="G28" s="779">
        <v>46365643</v>
      </c>
      <c r="H28" s="779">
        <v>46274617</v>
      </c>
      <c r="I28" s="780">
        <v>46707396</v>
      </c>
      <c r="J28" s="779">
        <v>50653017</v>
      </c>
      <c r="K28" s="779">
        <v>51685621</v>
      </c>
      <c r="L28" s="779">
        <v>51145380</v>
      </c>
      <c r="M28" s="779">
        <v>49062340</v>
      </c>
      <c r="N28" s="779">
        <v>48279088</v>
      </c>
      <c r="O28" s="779">
        <v>52244237</v>
      </c>
      <c r="P28" s="779">
        <v>52052770</v>
      </c>
      <c r="Q28" s="779">
        <v>52661600</v>
      </c>
      <c r="R28" s="779">
        <v>48956880</v>
      </c>
      <c r="S28" s="779">
        <v>50197924</v>
      </c>
      <c r="T28" s="781">
        <v>47360953</v>
      </c>
      <c r="U28" s="782">
        <f>SUM(U17:U27)</f>
        <v>43774832</v>
      </c>
      <c r="V28" s="783">
        <v>43607266</v>
      </c>
      <c r="W28" s="784">
        <f>SUM(W17:W27)</f>
        <v>41913287</v>
      </c>
      <c r="X28" s="3"/>
      <c r="Y28" s="3"/>
      <c r="Z28" s="3"/>
    </row>
    <row r="29" spans="1:26" ht="15.75" customHeight="1" x14ac:dyDescent="0.25">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5.75" customHeight="1" x14ac:dyDescent="0.25">
      <c r="A30" s="3"/>
      <c r="B30" s="3"/>
      <c r="C30" s="734" t="s">
        <v>705</v>
      </c>
      <c r="D30" s="736"/>
      <c r="E30" s="736"/>
      <c r="F30" s="736"/>
      <c r="G30" s="737"/>
      <c r="H30" s="41"/>
      <c r="I30" s="41"/>
      <c r="J30" s="3"/>
      <c r="K30" s="3"/>
      <c r="L30" s="3"/>
      <c r="M30" s="3"/>
      <c r="N30" s="3"/>
      <c r="O30" s="3"/>
      <c r="P30" s="3"/>
      <c r="Q30" s="3"/>
      <c r="R30" s="3"/>
      <c r="S30" s="3"/>
      <c r="T30" s="3"/>
      <c r="U30" s="3"/>
      <c r="V30" s="785"/>
      <c r="W30" s="3"/>
      <c r="X30" s="3"/>
      <c r="Y30" s="3"/>
      <c r="Z30" s="3"/>
    </row>
    <row r="31" spans="1:26" ht="15.75" customHeight="1" x14ac:dyDescent="0.25">
      <c r="A31" s="3"/>
      <c r="B31" s="3"/>
      <c r="C31" s="786"/>
      <c r="D31" s="41"/>
      <c r="E31" s="41"/>
      <c r="F31" s="41"/>
      <c r="G31" s="41"/>
      <c r="H31" s="41"/>
      <c r="I31" s="41"/>
      <c r="J31" s="3"/>
      <c r="K31" s="3"/>
      <c r="L31" s="3"/>
      <c r="M31" s="3"/>
      <c r="N31" s="3"/>
      <c r="O31" s="3"/>
      <c r="P31" s="3"/>
      <c r="Q31" s="3"/>
      <c r="R31" s="3"/>
      <c r="S31" s="3"/>
      <c r="T31" s="3"/>
      <c r="U31" s="3"/>
      <c r="V31" s="3"/>
      <c r="W31" s="3"/>
      <c r="X31" s="3"/>
      <c r="Y31" s="3"/>
      <c r="Z31" s="3"/>
    </row>
    <row r="32" spans="1:26" ht="15.75" customHeight="1" x14ac:dyDescent="0.25">
      <c r="A32" s="3"/>
      <c r="B32" s="46"/>
      <c r="C32" s="739">
        <v>1991</v>
      </c>
      <c r="D32" s="739">
        <v>1992</v>
      </c>
      <c r="E32" s="739">
        <v>1993</v>
      </c>
      <c r="F32" s="739">
        <v>1994</v>
      </c>
      <c r="G32" s="739">
        <v>1995</v>
      </c>
      <c r="H32" s="739">
        <v>1996</v>
      </c>
      <c r="I32" s="739">
        <v>1997</v>
      </c>
      <c r="J32" s="739">
        <v>1998</v>
      </c>
      <c r="K32" s="741">
        <v>1999</v>
      </c>
      <c r="L32" s="742">
        <v>2000</v>
      </c>
      <c r="M32" s="742">
        <v>2001</v>
      </c>
      <c r="N32" s="742">
        <v>2002</v>
      </c>
      <c r="O32" s="742">
        <v>2003</v>
      </c>
      <c r="P32" s="742">
        <v>2004</v>
      </c>
      <c r="Q32" s="742">
        <v>2005</v>
      </c>
      <c r="R32" s="742">
        <v>2006</v>
      </c>
      <c r="S32" s="742">
        <v>2007</v>
      </c>
      <c r="T32" s="787">
        <v>2008</v>
      </c>
      <c r="U32" s="739">
        <v>2009</v>
      </c>
      <c r="V32" s="739">
        <v>2010</v>
      </c>
      <c r="W32" s="743">
        <v>2011</v>
      </c>
      <c r="X32" s="3"/>
      <c r="Y32" s="3"/>
      <c r="Z32" s="3"/>
    </row>
    <row r="33" spans="1:26" ht="15.75" customHeight="1" x14ac:dyDescent="0.25">
      <c r="A33" s="3"/>
      <c r="B33" s="789" t="s">
        <v>706</v>
      </c>
      <c r="C33" s="791">
        <f t="shared" ref="C33:W33" si="0">C28*0.0625</f>
        <v>2490680.25</v>
      </c>
      <c r="D33" s="791">
        <f t="shared" si="0"/>
        <v>2573584.9375</v>
      </c>
      <c r="E33" s="791">
        <f t="shared" si="0"/>
        <v>2811118</v>
      </c>
      <c r="F33" s="791">
        <f t="shared" si="0"/>
        <v>2833726.125</v>
      </c>
      <c r="G33" s="791">
        <f t="shared" si="0"/>
        <v>2897852.6875</v>
      </c>
      <c r="H33" s="791">
        <f t="shared" si="0"/>
        <v>2892163.5625</v>
      </c>
      <c r="I33" s="791">
        <f t="shared" si="0"/>
        <v>2919212.25</v>
      </c>
      <c r="J33" s="791">
        <f t="shared" si="0"/>
        <v>3165813.5625</v>
      </c>
      <c r="K33" s="791">
        <f t="shared" si="0"/>
        <v>3230351.3125</v>
      </c>
      <c r="L33" s="791">
        <f t="shared" si="0"/>
        <v>3196586.25</v>
      </c>
      <c r="M33" s="791">
        <f t="shared" si="0"/>
        <v>3066396.25</v>
      </c>
      <c r="N33" s="791">
        <f t="shared" si="0"/>
        <v>3017443</v>
      </c>
      <c r="O33" s="791">
        <f t="shared" si="0"/>
        <v>3265264.8125</v>
      </c>
      <c r="P33" s="791">
        <f t="shared" si="0"/>
        <v>3253298.125</v>
      </c>
      <c r="Q33" s="791">
        <f t="shared" si="0"/>
        <v>3291350</v>
      </c>
      <c r="R33" s="791">
        <f t="shared" si="0"/>
        <v>3059805</v>
      </c>
      <c r="S33" s="791">
        <f t="shared" si="0"/>
        <v>3137370.25</v>
      </c>
      <c r="T33" s="791">
        <f t="shared" si="0"/>
        <v>2960059.5625</v>
      </c>
      <c r="U33" s="791">
        <f t="shared" si="0"/>
        <v>2735927</v>
      </c>
      <c r="V33" s="791">
        <f t="shared" si="0"/>
        <v>2725454.125</v>
      </c>
      <c r="W33" s="791">
        <f t="shared" si="0"/>
        <v>2619580.4375</v>
      </c>
      <c r="X33" s="3"/>
      <c r="Y33" s="3"/>
      <c r="Z33" s="3"/>
    </row>
    <row r="34" spans="1:26" ht="15.75" customHeight="1" x14ac:dyDescent="0.25">
      <c r="A34" s="3"/>
      <c r="B34" s="3"/>
      <c r="C34" s="786"/>
      <c r="D34" s="41"/>
      <c r="E34" s="41"/>
      <c r="F34" s="41"/>
      <c r="G34" s="41"/>
      <c r="H34" s="41"/>
      <c r="I34" s="41"/>
      <c r="J34" s="3"/>
      <c r="K34" s="3"/>
      <c r="L34" s="3"/>
      <c r="M34" s="3"/>
      <c r="N34" s="3"/>
      <c r="O34" s="3"/>
      <c r="P34" s="3"/>
      <c r="Q34" s="3"/>
      <c r="R34" s="3"/>
      <c r="S34" s="3"/>
      <c r="T34" s="3"/>
      <c r="U34" s="3"/>
      <c r="V34" s="3"/>
      <c r="W34" s="3"/>
      <c r="X34" s="3"/>
      <c r="Y34" s="3"/>
      <c r="Z34" s="3"/>
    </row>
    <row r="35" spans="1:26" ht="15.75" customHeight="1" x14ac:dyDescent="0.25">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5.75" customHeight="1" x14ac:dyDescent="0.25">
      <c r="A36" s="3"/>
      <c r="B36" s="3"/>
      <c r="C36" s="734" t="s">
        <v>707</v>
      </c>
      <c r="D36" s="795"/>
      <c r="E36" s="795"/>
      <c r="F36" s="795"/>
      <c r="G36" s="795"/>
      <c r="H36" s="768"/>
      <c r="I36" s="3"/>
      <c r="J36" s="3"/>
      <c r="K36" s="3"/>
      <c r="L36" s="3"/>
      <c r="M36" s="3"/>
      <c r="N36" s="3"/>
      <c r="O36" s="3"/>
      <c r="P36" s="3"/>
      <c r="Q36" s="3"/>
      <c r="R36" s="3"/>
      <c r="S36" s="3"/>
      <c r="T36" s="3"/>
      <c r="U36" s="3"/>
      <c r="V36" s="3"/>
      <c r="W36" s="3"/>
      <c r="X36" s="3"/>
      <c r="Y36" s="3"/>
      <c r="Z36" s="3"/>
    </row>
    <row r="37" spans="1:26" ht="15.75" customHeight="1" x14ac:dyDescent="0.25">
      <c r="A37" s="3"/>
      <c r="B37" s="3"/>
      <c r="C37" s="60"/>
      <c r="D37" s="3"/>
      <c r="E37" s="3"/>
      <c r="F37" s="3"/>
      <c r="G37" s="3"/>
      <c r="H37" s="3"/>
      <c r="I37" s="3"/>
      <c r="J37" s="3"/>
      <c r="K37" s="3"/>
      <c r="L37" s="3"/>
      <c r="M37" s="3"/>
      <c r="N37" s="3"/>
      <c r="O37" s="3"/>
      <c r="P37" s="3"/>
      <c r="Q37" s="3"/>
      <c r="R37" s="3"/>
      <c r="S37" s="3"/>
      <c r="T37" s="3"/>
      <c r="U37" s="3"/>
      <c r="V37" s="3"/>
      <c r="W37" s="3"/>
      <c r="X37" s="3"/>
      <c r="Y37" s="3"/>
      <c r="Z37" s="3"/>
    </row>
    <row r="38" spans="1:26" ht="15.75" customHeight="1" x14ac:dyDescent="0.25">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5.75" customHeight="1" x14ac:dyDescent="0.25">
      <c r="A39" s="3"/>
      <c r="B39" s="194"/>
      <c r="C39" s="739">
        <v>1991</v>
      </c>
      <c r="D39" s="739">
        <v>1992</v>
      </c>
      <c r="E39" s="739">
        <v>1993</v>
      </c>
      <c r="F39" s="739">
        <v>1994</v>
      </c>
      <c r="G39" s="739">
        <v>1995</v>
      </c>
      <c r="H39" s="739">
        <v>1996</v>
      </c>
      <c r="I39" s="739">
        <v>1997</v>
      </c>
      <c r="J39" s="739">
        <v>1998</v>
      </c>
      <c r="K39" s="741">
        <v>1999</v>
      </c>
      <c r="L39" s="742">
        <v>2000</v>
      </c>
      <c r="M39" s="742">
        <v>2001</v>
      </c>
      <c r="N39" s="742">
        <v>2002</v>
      </c>
      <c r="O39" s="742">
        <v>2003</v>
      </c>
      <c r="P39" s="742">
        <v>2004</v>
      </c>
      <c r="Q39" s="742">
        <v>2005</v>
      </c>
      <c r="R39" s="742">
        <v>2006</v>
      </c>
      <c r="S39" s="742">
        <v>2007</v>
      </c>
      <c r="T39" s="787">
        <v>2008</v>
      </c>
      <c r="U39" s="739">
        <v>2009</v>
      </c>
      <c r="V39" s="739">
        <v>2010</v>
      </c>
      <c r="W39" s="743">
        <v>2011</v>
      </c>
      <c r="X39" s="3"/>
      <c r="Y39" s="3"/>
      <c r="Z39" s="3"/>
    </row>
    <row r="40" spans="1:26" ht="15.75" customHeight="1" x14ac:dyDescent="0.25">
      <c r="A40" s="3"/>
      <c r="B40" s="796" t="s">
        <v>711</v>
      </c>
      <c r="C40" s="798">
        <f t="shared" ref="C40:W40" si="1">C28-C33</f>
        <v>37360203.75</v>
      </c>
      <c r="D40" s="798">
        <f t="shared" si="1"/>
        <v>38603774.0625</v>
      </c>
      <c r="E40" s="798">
        <f t="shared" si="1"/>
        <v>42166770</v>
      </c>
      <c r="F40" s="798">
        <f t="shared" si="1"/>
        <v>42505891.875</v>
      </c>
      <c r="G40" s="798">
        <f t="shared" si="1"/>
        <v>43467790.3125</v>
      </c>
      <c r="H40" s="798">
        <f t="shared" si="1"/>
        <v>43382453.4375</v>
      </c>
      <c r="I40" s="798">
        <f t="shared" si="1"/>
        <v>43788183.75</v>
      </c>
      <c r="J40" s="798">
        <f t="shared" si="1"/>
        <v>47487203.4375</v>
      </c>
      <c r="K40" s="798">
        <f t="shared" si="1"/>
        <v>48455269.6875</v>
      </c>
      <c r="L40" s="798">
        <f t="shared" si="1"/>
        <v>47948793.75</v>
      </c>
      <c r="M40" s="798">
        <f t="shared" si="1"/>
        <v>45995943.75</v>
      </c>
      <c r="N40" s="798">
        <f t="shared" si="1"/>
        <v>45261645</v>
      </c>
      <c r="O40" s="798">
        <f t="shared" si="1"/>
        <v>48978972.1875</v>
      </c>
      <c r="P40" s="798">
        <f t="shared" si="1"/>
        <v>48799471.875</v>
      </c>
      <c r="Q40" s="798">
        <f t="shared" si="1"/>
        <v>49370250</v>
      </c>
      <c r="R40" s="798">
        <f t="shared" si="1"/>
        <v>45897075</v>
      </c>
      <c r="S40" s="798">
        <f t="shared" si="1"/>
        <v>47060553.75</v>
      </c>
      <c r="T40" s="798">
        <f t="shared" si="1"/>
        <v>44400893.4375</v>
      </c>
      <c r="U40" s="798">
        <f t="shared" si="1"/>
        <v>41038905</v>
      </c>
      <c r="V40" s="798">
        <f t="shared" si="1"/>
        <v>40881811.875</v>
      </c>
      <c r="W40" s="798">
        <f t="shared" si="1"/>
        <v>39293706.5625</v>
      </c>
      <c r="X40" s="3"/>
      <c r="Y40" s="3"/>
      <c r="Z40" s="3"/>
    </row>
    <row r="41" spans="1:26" ht="15.75" customHeight="1" x14ac:dyDescent="0.25">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x14ac:dyDescent="0.25">
      <c r="A42" s="3"/>
      <c r="B42" s="3"/>
      <c r="C42" s="110"/>
      <c r="D42" s="3"/>
      <c r="E42" s="3"/>
      <c r="F42" s="3"/>
      <c r="G42" s="3"/>
      <c r="H42" s="3"/>
      <c r="I42" s="3"/>
      <c r="J42" s="3"/>
      <c r="K42" s="3"/>
      <c r="L42" s="3"/>
      <c r="M42" s="3"/>
      <c r="N42" s="3"/>
      <c r="O42" s="3"/>
      <c r="P42" s="3"/>
      <c r="Q42" s="3"/>
      <c r="R42" s="3"/>
      <c r="S42" s="3"/>
      <c r="T42" s="3"/>
      <c r="U42" s="3"/>
      <c r="V42" s="3"/>
      <c r="W42" s="3"/>
      <c r="X42" s="3"/>
      <c r="Y42" s="3"/>
      <c r="Z42" s="3"/>
    </row>
    <row r="43" spans="1:26" ht="15.75" customHeight="1" x14ac:dyDescent="0.25">
      <c r="A43" s="3"/>
      <c r="B43" s="3"/>
      <c r="C43" s="734" t="s">
        <v>715</v>
      </c>
      <c r="D43" s="795"/>
      <c r="E43" s="806"/>
      <c r="F43" s="808"/>
      <c r="G43" s="808"/>
      <c r="H43" s="808"/>
      <c r="I43" s="808"/>
      <c r="J43" s="3"/>
      <c r="K43" s="3"/>
      <c r="L43" s="3"/>
      <c r="M43" s="3"/>
      <c r="N43" s="3"/>
      <c r="O43" s="3"/>
      <c r="P43" s="3"/>
      <c r="Q43" s="3"/>
      <c r="R43" s="3"/>
      <c r="S43" s="3"/>
      <c r="T43" s="3"/>
      <c r="U43" s="3"/>
      <c r="V43" s="3"/>
      <c r="W43" s="3"/>
      <c r="X43" s="3"/>
      <c r="Y43" s="3"/>
      <c r="Z43" s="3"/>
    </row>
    <row r="44" spans="1:26" ht="15.75" customHeight="1" x14ac:dyDescent="0.25">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x14ac:dyDescent="0.25">
      <c r="A45" s="3"/>
      <c r="B45" s="194"/>
      <c r="C45" s="739">
        <v>1991</v>
      </c>
      <c r="D45" s="739">
        <v>1992</v>
      </c>
      <c r="E45" s="739">
        <v>1993</v>
      </c>
      <c r="F45" s="739">
        <v>1994</v>
      </c>
      <c r="G45" s="739">
        <v>1995</v>
      </c>
      <c r="H45" s="739">
        <v>1996</v>
      </c>
      <c r="I45" s="739">
        <v>1997</v>
      </c>
      <c r="J45" s="739">
        <v>1998</v>
      </c>
      <c r="K45" s="739">
        <v>1999</v>
      </c>
      <c r="L45" s="739">
        <v>2000</v>
      </c>
      <c r="M45" s="739">
        <v>2001</v>
      </c>
      <c r="N45" s="739">
        <v>2002</v>
      </c>
      <c r="O45" s="739">
        <v>2003</v>
      </c>
      <c r="P45" s="739">
        <v>2004</v>
      </c>
      <c r="Q45" s="739">
        <v>2005</v>
      </c>
      <c r="R45" s="739">
        <v>2006</v>
      </c>
      <c r="S45" s="739">
        <v>2007</v>
      </c>
      <c r="T45" s="741">
        <v>2008</v>
      </c>
      <c r="U45" s="739">
        <v>2009</v>
      </c>
      <c r="V45" s="739">
        <v>2010</v>
      </c>
      <c r="W45" s="743">
        <v>2011</v>
      </c>
      <c r="X45" s="3"/>
      <c r="Y45" s="3"/>
      <c r="Z45" s="3"/>
    </row>
    <row r="46" spans="1:26" ht="15.75" customHeight="1" x14ac:dyDescent="0.25">
      <c r="A46" s="3"/>
      <c r="B46" s="201" t="s">
        <v>716</v>
      </c>
      <c r="C46" s="624">
        <v>20295448</v>
      </c>
      <c r="D46" s="810">
        <v>19762032</v>
      </c>
      <c r="E46" s="810">
        <v>21546122</v>
      </c>
      <c r="F46" s="810">
        <v>21666119</v>
      </c>
      <c r="G46" s="810">
        <v>22233807</v>
      </c>
      <c r="H46" s="810">
        <v>22985772</v>
      </c>
      <c r="I46" s="810">
        <v>21936662</v>
      </c>
      <c r="J46" s="810">
        <v>22406855</v>
      </c>
      <c r="K46" s="810">
        <v>23342423</v>
      </c>
      <c r="L46" s="624">
        <v>24294096</v>
      </c>
      <c r="M46" s="624">
        <v>25489053</v>
      </c>
      <c r="N46" s="624">
        <v>26671274</v>
      </c>
      <c r="O46" s="624">
        <v>27951978</v>
      </c>
      <c r="P46" s="624">
        <v>28439645</v>
      </c>
      <c r="Q46" s="624">
        <v>26905386</v>
      </c>
      <c r="R46" s="624">
        <v>28194802</v>
      </c>
      <c r="S46" s="747">
        <v>27144255</v>
      </c>
      <c r="T46" s="748">
        <v>26839241</v>
      </c>
      <c r="U46" s="624">
        <v>26944566</v>
      </c>
      <c r="V46" s="624">
        <v>28934074</v>
      </c>
      <c r="W46" s="752">
        <v>27296000</v>
      </c>
      <c r="X46" s="3"/>
      <c r="Y46" s="3"/>
      <c r="Z46" s="3"/>
    </row>
    <row r="47" spans="1:26" ht="15.75" customHeight="1" x14ac:dyDescent="0.25">
      <c r="A47" s="3"/>
      <c r="B47" s="201" t="s">
        <v>717</v>
      </c>
      <c r="C47" s="624">
        <v>10667414</v>
      </c>
      <c r="D47" s="624">
        <v>10769686</v>
      </c>
      <c r="E47" s="624">
        <v>11316964</v>
      </c>
      <c r="F47" s="624">
        <v>13253588</v>
      </c>
      <c r="G47" s="624">
        <v>23096405</v>
      </c>
      <c r="H47" s="624">
        <v>23126094</v>
      </c>
      <c r="I47" s="624">
        <v>23418552</v>
      </c>
      <c r="J47" s="624">
        <v>24284167</v>
      </c>
      <c r="K47" s="624">
        <v>24988489</v>
      </c>
      <c r="L47" s="624">
        <v>26243614</v>
      </c>
      <c r="M47" s="624">
        <v>21044289</v>
      </c>
      <c r="N47" s="624">
        <v>16950347</v>
      </c>
      <c r="O47" s="624">
        <v>17264135</v>
      </c>
      <c r="P47" s="624">
        <v>17931771</v>
      </c>
      <c r="Q47" s="624">
        <v>29729030</v>
      </c>
      <c r="R47" s="624">
        <v>30691159</v>
      </c>
      <c r="S47" s="747">
        <v>30002993</v>
      </c>
      <c r="T47" s="748">
        <v>29755144</v>
      </c>
      <c r="U47" s="624">
        <v>29806001</v>
      </c>
      <c r="V47" s="624">
        <v>30771317</v>
      </c>
      <c r="W47" s="752">
        <v>30750000</v>
      </c>
      <c r="X47" s="3"/>
      <c r="Y47" s="3"/>
      <c r="Z47" s="3"/>
    </row>
    <row r="48" spans="1:26" ht="15.75" customHeight="1" x14ac:dyDescent="0.25">
      <c r="A48" s="3"/>
      <c r="B48" s="201" t="s">
        <v>718</v>
      </c>
      <c r="C48" s="624">
        <v>19448114</v>
      </c>
      <c r="D48" s="624">
        <v>19768026</v>
      </c>
      <c r="E48" s="624">
        <v>20200630</v>
      </c>
      <c r="F48" s="624">
        <v>19037490</v>
      </c>
      <c r="G48" s="624">
        <v>10057219</v>
      </c>
      <c r="H48" s="624">
        <v>10098447</v>
      </c>
      <c r="I48" s="624">
        <v>10127852</v>
      </c>
      <c r="J48" s="624">
        <v>10343675</v>
      </c>
      <c r="K48" s="624">
        <v>9936115</v>
      </c>
      <c r="L48" s="624">
        <v>10176724</v>
      </c>
      <c r="M48" s="624">
        <v>20874507</v>
      </c>
      <c r="N48" s="624">
        <v>27175526</v>
      </c>
      <c r="O48" s="624">
        <v>21194572</v>
      </c>
      <c r="P48" s="624">
        <v>21516638</v>
      </c>
      <c r="Q48" s="624">
        <v>6057030</v>
      </c>
      <c r="R48" s="624">
        <v>5980358</v>
      </c>
      <c r="S48" s="747">
        <v>5649943</v>
      </c>
      <c r="T48" s="748">
        <v>5255976</v>
      </c>
      <c r="U48" s="624">
        <v>5285833</v>
      </c>
      <c r="V48" s="624">
        <v>5083115</v>
      </c>
      <c r="W48" s="752">
        <v>5007000</v>
      </c>
      <c r="X48" s="3"/>
      <c r="Y48" s="3"/>
      <c r="Z48" s="3"/>
    </row>
    <row r="49" spans="1:26" ht="15.75" customHeight="1" x14ac:dyDescent="0.25">
      <c r="A49" s="3"/>
      <c r="B49" s="201" t="s">
        <v>719</v>
      </c>
      <c r="C49" s="624">
        <v>0</v>
      </c>
      <c r="D49" s="624">
        <v>0</v>
      </c>
      <c r="E49" s="624">
        <v>0</v>
      </c>
      <c r="F49" s="624">
        <v>0</v>
      </c>
      <c r="G49" s="624">
        <v>0</v>
      </c>
      <c r="H49" s="624">
        <v>0</v>
      </c>
      <c r="I49" s="624">
        <v>0</v>
      </c>
      <c r="J49" s="624">
        <v>0</v>
      </c>
      <c r="K49" s="624">
        <v>0</v>
      </c>
      <c r="L49" s="624">
        <v>0</v>
      </c>
      <c r="M49" s="624">
        <v>0</v>
      </c>
      <c r="N49" s="624">
        <v>461436</v>
      </c>
      <c r="O49" s="624">
        <v>481015</v>
      </c>
      <c r="P49" s="624">
        <v>477331</v>
      </c>
      <c r="Q49" s="624">
        <v>481697</v>
      </c>
      <c r="R49" s="624">
        <v>524341</v>
      </c>
      <c r="S49" s="747">
        <v>528586</v>
      </c>
      <c r="T49" s="748">
        <v>552743</v>
      </c>
      <c r="U49" s="730">
        <v>552743</v>
      </c>
      <c r="V49" s="624">
        <v>546992</v>
      </c>
      <c r="W49" s="752">
        <v>547000</v>
      </c>
      <c r="X49" s="3"/>
      <c r="Y49" s="3"/>
      <c r="Z49" s="3"/>
    </row>
    <row r="50" spans="1:26" ht="15.75" customHeight="1" x14ac:dyDescent="0.25">
      <c r="A50" s="3"/>
      <c r="B50" s="774" t="s">
        <v>720</v>
      </c>
      <c r="C50" s="811">
        <v>696831</v>
      </c>
      <c r="D50" s="811">
        <v>689042</v>
      </c>
      <c r="E50" s="811">
        <v>808686</v>
      </c>
      <c r="F50" s="811">
        <v>794428</v>
      </c>
      <c r="G50" s="811">
        <v>770615</v>
      </c>
      <c r="H50" s="811">
        <v>787207</v>
      </c>
      <c r="I50" s="811">
        <v>781420</v>
      </c>
      <c r="J50" s="811">
        <v>798935</v>
      </c>
      <c r="K50" s="811">
        <v>819198</v>
      </c>
      <c r="L50" s="811">
        <v>925586</v>
      </c>
      <c r="M50" s="811">
        <v>972057</v>
      </c>
      <c r="N50" s="811">
        <v>0</v>
      </c>
      <c r="O50" s="811">
        <v>0</v>
      </c>
      <c r="P50" s="811">
        <v>0</v>
      </c>
      <c r="Q50" s="811">
        <v>0</v>
      </c>
      <c r="R50" s="811">
        <v>0</v>
      </c>
      <c r="S50" s="776">
        <v>0</v>
      </c>
      <c r="T50" s="777">
        <v>0</v>
      </c>
      <c r="U50" s="730">
        <v>0</v>
      </c>
      <c r="V50" s="730">
        <v>0</v>
      </c>
      <c r="W50" s="752">
        <v>0</v>
      </c>
      <c r="X50" s="3"/>
      <c r="Y50" s="3"/>
      <c r="Z50" s="3"/>
    </row>
    <row r="51" spans="1:26" ht="15.75" customHeight="1" x14ac:dyDescent="0.25">
      <c r="A51" s="3"/>
      <c r="B51" s="812" t="s">
        <v>721</v>
      </c>
      <c r="C51" s="813">
        <v>51107809</v>
      </c>
      <c r="D51" s="814">
        <v>50988788</v>
      </c>
      <c r="E51" s="814">
        <v>53872404</v>
      </c>
      <c r="F51" s="814">
        <v>54751623</v>
      </c>
      <c r="G51" s="814">
        <v>56158046</v>
      </c>
      <c r="H51" s="814">
        <v>56997520</v>
      </c>
      <c r="I51" s="814">
        <v>56264486</v>
      </c>
      <c r="J51" s="814">
        <v>57833638</v>
      </c>
      <c r="K51" s="814">
        <v>59086225</v>
      </c>
      <c r="L51" s="813">
        <v>60677801</v>
      </c>
      <c r="M51" s="813">
        <v>61640020</v>
      </c>
      <c r="N51" s="813">
        <v>68379906</v>
      </c>
      <c r="O51" s="813">
        <v>71258583</v>
      </c>
      <c r="P51" s="813">
        <v>66891700</v>
      </c>
      <c r="Q51" s="813">
        <v>68365385</v>
      </c>
      <c r="R51" s="813">
        <v>63173143</v>
      </c>
      <c r="S51" s="815">
        <v>65390660</v>
      </c>
      <c r="T51" s="816">
        <v>63325777</v>
      </c>
      <c r="U51" s="818">
        <f t="shared" ref="U51:V51" si="2">SUM(U46:U50)</f>
        <v>62589143</v>
      </c>
      <c r="V51" s="818">
        <f t="shared" si="2"/>
        <v>65335498</v>
      </c>
      <c r="W51" s="819">
        <v>63600000</v>
      </c>
      <c r="X51" s="3"/>
      <c r="Y51" s="3"/>
      <c r="Z51" s="3"/>
    </row>
    <row r="52" spans="1:26" ht="15.75" customHeight="1" x14ac:dyDescent="0.25">
      <c r="A52" s="3"/>
      <c r="B52" s="821" t="s">
        <v>722</v>
      </c>
      <c r="C52" s="823">
        <f t="shared" ref="C52:W52" si="3">C51*1.0625</f>
        <v>54302047.0625</v>
      </c>
      <c r="D52" s="823">
        <f t="shared" si="3"/>
        <v>54175587.25</v>
      </c>
      <c r="E52" s="823">
        <f t="shared" si="3"/>
        <v>57239429.25</v>
      </c>
      <c r="F52" s="823">
        <f t="shared" si="3"/>
        <v>58173599.4375</v>
      </c>
      <c r="G52" s="823">
        <f t="shared" si="3"/>
        <v>59667923.875</v>
      </c>
      <c r="H52" s="823">
        <f t="shared" si="3"/>
        <v>60559865</v>
      </c>
      <c r="I52" s="823">
        <f t="shared" si="3"/>
        <v>59781016.375</v>
      </c>
      <c r="J52" s="823">
        <f t="shared" si="3"/>
        <v>61448240.375</v>
      </c>
      <c r="K52" s="823">
        <f t="shared" si="3"/>
        <v>62779114.0625</v>
      </c>
      <c r="L52" s="823">
        <f t="shared" si="3"/>
        <v>64470163.5625</v>
      </c>
      <c r="M52" s="823">
        <f t="shared" si="3"/>
        <v>65492521.25</v>
      </c>
      <c r="N52" s="823">
        <f t="shared" si="3"/>
        <v>72653650.125</v>
      </c>
      <c r="O52" s="823">
        <f t="shared" si="3"/>
        <v>75712244.4375</v>
      </c>
      <c r="P52" s="823">
        <f t="shared" si="3"/>
        <v>71072431.25</v>
      </c>
      <c r="Q52" s="823">
        <f t="shared" si="3"/>
        <v>72638221.5625</v>
      </c>
      <c r="R52" s="823">
        <f t="shared" si="3"/>
        <v>67121464.4375</v>
      </c>
      <c r="S52" s="823">
        <f t="shared" si="3"/>
        <v>69477576.25</v>
      </c>
      <c r="T52" s="823">
        <f t="shared" si="3"/>
        <v>67283638.0625</v>
      </c>
      <c r="U52" s="823">
        <f t="shared" si="3"/>
        <v>66500964.4375</v>
      </c>
      <c r="V52" s="823">
        <f t="shared" si="3"/>
        <v>69418966.625</v>
      </c>
      <c r="W52" s="824">
        <f t="shared" si="3"/>
        <v>67575000</v>
      </c>
      <c r="X52" s="3"/>
      <c r="Y52" s="3"/>
      <c r="Z52" s="3"/>
    </row>
    <row r="53" spans="1:26" ht="15.75" customHeight="1" x14ac:dyDescent="0.25">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x14ac:dyDescent="0.25">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x14ac:dyDescent="0.25">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x14ac:dyDescent="0.25">
      <c r="A56" s="3"/>
      <c r="B56" s="3"/>
      <c r="C56" s="734" t="s">
        <v>726</v>
      </c>
      <c r="D56" s="795"/>
      <c r="E56" s="795"/>
      <c r="F56" s="768"/>
      <c r="G56" s="737"/>
      <c r="H56" s="3"/>
      <c r="I56" s="3"/>
      <c r="J56" s="3"/>
      <c r="K56" s="3"/>
      <c r="L56" s="3"/>
      <c r="M56" s="3"/>
      <c r="N56" s="3"/>
      <c r="O56" s="3"/>
      <c r="P56" s="3"/>
      <c r="Q56" s="3"/>
      <c r="R56" s="3"/>
      <c r="S56" s="3"/>
      <c r="T56" s="3"/>
      <c r="U56" s="3"/>
      <c r="V56" s="3"/>
      <c r="W56" s="3"/>
      <c r="X56" s="3"/>
      <c r="Y56" s="3"/>
      <c r="Z56" s="3"/>
    </row>
    <row r="57" spans="1:26" ht="15.75" customHeight="1" x14ac:dyDescent="0.25">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x14ac:dyDescent="0.25">
      <c r="A58" s="3"/>
      <c r="B58" s="194"/>
      <c r="C58" s="739">
        <v>1991</v>
      </c>
      <c r="D58" s="739">
        <v>1992</v>
      </c>
      <c r="E58" s="739">
        <v>1993</v>
      </c>
      <c r="F58" s="739">
        <v>1994</v>
      </c>
      <c r="G58" s="739">
        <v>1995</v>
      </c>
      <c r="H58" s="739">
        <v>1996</v>
      </c>
      <c r="I58" s="739">
        <v>1997</v>
      </c>
      <c r="J58" s="739">
        <v>1998</v>
      </c>
      <c r="K58" s="739">
        <v>1999</v>
      </c>
      <c r="L58" s="739">
        <v>2000</v>
      </c>
      <c r="M58" s="739">
        <v>2001</v>
      </c>
      <c r="N58" s="739">
        <v>2002</v>
      </c>
      <c r="O58" s="739">
        <v>2003</v>
      </c>
      <c r="P58" s="739">
        <v>2004</v>
      </c>
      <c r="Q58" s="739">
        <v>2005</v>
      </c>
      <c r="R58" s="739">
        <v>2006</v>
      </c>
      <c r="S58" s="739">
        <v>2007</v>
      </c>
      <c r="T58" s="743">
        <v>2008</v>
      </c>
      <c r="U58" s="739">
        <v>2009</v>
      </c>
      <c r="V58" s="739">
        <v>2010</v>
      </c>
      <c r="W58" s="834">
        <v>2011</v>
      </c>
      <c r="X58" s="3"/>
      <c r="Y58" s="3"/>
      <c r="Z58" s="3"/>
    </row>
    <row r="59" spans="1:26" ht="30" customHeight="1" x14ac:dyDescent="0.25">
      <c r="A59" s="3"/>
      <c r="B59" s="836" t="s">
        <v>732</v>
      </c>
      <c r="C59" s="841">
        <f t="shared" ref="C59:W59" si="4">C52-C28</f>
        <v>14451163.0625</v>
      </c>
      <c r="D59" s="841">
        <f t="shared" si="4"/>
        <v>12998228.25</v>
      </c>
      <c r="E59" s="841">
        <f t="shared" si="4"/>
        <v>12261541.25</v>
      </c>
      <c r="F59" s="841">
        <f t="shared" si="4"/>
        <v>12833981.4375</v>
      </c>
      <c r="G59" s="841">
        <f t="shared" si="4"/>
        <v>13302280.875</v>
      </c>
      <c r="H59" s="841">
        <f t="shared" si="4"/>
        <v>14285248</v>
      </c>
      <c r="I59" s="841">
        <f t="shared" si="4"/>
        <v>13073620.375</v>
      </c>
      <c r="J59" s="841">
        <f t="shared" si="4"/>
        <v>10795223.375</v>
      </c>
      <c r="K59" s="841">
        <f t="shared" si="4"/>
        <v>11093493.0625</v>
      </c>
      <c r="L59" s="841">
        <f t="shared" si="4"/>
        <v>13324783.5625</v>
      </c>
      <c r="M59" s="841">
        <f t="shared" si="4"/>
        <v>16430181.25</v>
      </c>
      <c r="N59" s="841">
        <f t="shared" si="4"/>
        <v>24374562.125</v>
      </c>
      <c r="O59" s="841">
        <f t="shared" si="4"/>
        <v>23468007.4375</v>
      </c>
      <c r="P59" s="841">
        <f t="shared" si="4"/>
        <v>19019661.25</v>
      </c>
      <c r="Q59" s="841">
        <f t="shared" si="4"/>
        <v>19976621.5625</v>
      </c>
      <c r="R59" s="841">
        <f t="shared" si="4"/>
        <v>18164584.4375</v>
      </c>
      <c r="S59" s="841">
        <f t="shared" si="4"/>
        <v>19279652.25</v>
      </c>
      <c r="T59" s="841">
        <f t="shared" si="4"/>
        <v>19922685.0625</v>
      </c>
      <c r="U59" s="841">
        <f t="shared" si="4"/>
        <v>22726132.4375</v>
      </c>
      <c r="V59" s="841">
        <f t="shared" si="4"/>
        <v>25811700.625</v>
      </c>
      <c r="W59" s="849">
        <f t="shared" si="4"/>
        <v>25661713</v>
      </c>
      <c r="X59" s="3"/>
      <c r="Y59" s="3"/>
      <c r="Z59" s="3"/>
    </row>
    <row r="60" spans="1:26" ht="15.75" customHeight="1" x14ac:dyDescent="0.25">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x14ac:dyDescent="0.25">
      <c r="A61" s="3"/>
      <c r="B61" s="3"/>
      <c r="C61" s="170"/>
      <c r="D61" s="3"/>
      <c r="E61" s="3"/>
      <c r="F61" s="3"/>
      <c r="G61" s="3"/>
      <c r="H61" s="3"/>
      <c r="I61" s="3"/>
      <c r="J61" s="3"/>
      <c r="K61" s="3"/>
      <c r="L61" s="3"/>
      <c r="M61" s="3"/>
      <c r="N61" s="3"/>
      <c r="O61" s="3"/>
      <c r="P61" s="3"/>
      <c r="Q61" s="3"/>
      <c r="R61" s="3"/>
      <c r="S61" s="3"/>
      <c r="T61" s="3"/>
      <c r="U61" s="3"/>
      <c r="V61" s="3"/>
      <c r="W61" s="3"/>
      <c r="X61" s="3"/>
      <c r="Y61" s="3"/>
      <c r="Z61" s="3"/>
    </row>
    <row r="62" spans="1:26" ht="15.75" customHeight="1" x14ac:dyDescent="0.25">
      <c r="A62" s="3"/>
      <c r="B62" s="3"/>
      <c r="C62" s="3"/>
      <c r="D62" s="3"/>
      <c r="E62" s="854" t="s">
        <v>744</v>
      </c>
      <c r="F62" s="400"/>
      <c r="G62" s="400"/>
      <c r="H62" s="3"/>
      <c r="I62" s="3" t="s">
        <v>746</v>
      </c>
      <c r="J62" s="3"/>
      <c r="K62" s="3"/>
      <c r="L62" s="3"/>
      <c r="M62" s="3"/>
      <c r="N62" s="3"/>
      <c r="O62" s="3"/>
      <c r="P62" s="3"/>
      <c r="Q62" s="3"/>
      <c r="R62" s="3"/>
      <c r="S62" s="3"/>
      <c r="T62" s="3"/>
      <c r="U62" s="3"/>
      <c r="V62" s="3"/>
      <c r="W62" s="3"/>
      <c r="X62" s="3"/>
      <c r="Y62" s="3"/>
      <c r="Z62" s="3"/>
    </row>
    <row r="63" spans="1:26" ht="15.75" customHeight="1" x14ac:dyDescent="0.25">
      <c r="A63" s="3"/>
      <c r="B63" s="3"/>
      <c r="C63" s="3"/>
      <c r="D63" s="3"/>
      <c r="E63" s="60"/>
      <c r="F63" s="3"/>
      <c r="G63" s="3"/>
      <c r="H63" s="3"/>
      <c r="I63" s="3" t="s">
        <v>35</v>
      </c>
      <c r="J63" s="3"/>
      <c r="K63" s="3"/>
      <c r="L63" s="3"/>
      <c r="M63" s="3"/>
      <c r="N63" s="3"/>
      <c r="O63" s="3"/>
      <c r="P63" s="3"/>
      <c r="Q63" s="3"/>
      <c r="R63" s="3"/>
      <c r="S63" s="3"/>
      <c r="T63" s="3"/>
      <c r="U63" s="3"/>
      <c r="V63" s="3"/>
      <c r="W63" s="3"/>
      <c r="X63" s="3"/>
      <c r="Y63" s="3"/>
      <c r="Z63" s="3"/>
    </row>
    <row r="64" spans="1:26" ht="15.75" customHeight="1" x14ac:dyDescent="0.25">
      <c r="A64" s="3"/>
      <c r="B64" s="60" t="s">
        <v>747</v>
      </c>
      <c r="C64" s="3"/>
      <c r="D64" s="3"/>
      <c r="E64" s="60"/>
      <c r="F64" s="3"/>
      <c r="G64" s="3"/>
      <c r="H64" s="3"/>
      <c r="I64" s="170">
        <f>(B66*R59)/2000</f>
        <v>10408306.8826875</v>
      </c>
      <c r="J64" s="3"/>
      <c r="K64" s="3"/>
      <c r="L64" s="3"/>
      <c r="M64" s="3"/>
      <c r="N64" s="3"/>
      <c r="O64" s="3"/>
      <c r="P64" s="3"/>
      <c r="Q64" s="3"/>
      <c r="R64" s="3"/>
      <c r="S64" s="3"/>
      <c r="T64" s="3"/>
      <c r="U64" s="3"/>
      <c r="V64" s="3"/>
      <c r="W64" s="3"/>
      <c r="X64" s="3"/>
      <c r="Y64" s="3"/>
      <c r="Z64" s="3"/>
    </row>
    <row r="65" spans="1:26" ht="15.75" customHeight="1" x14ac:dyDescent="0.25">
      <c r="A65" s="3"/>
      <c r="B65" s="3" t="s">
        <v>748</v>
      </c>
      <c r="C65" s="3"/>
      <c r="D65" s="3"/>
      <c r="E65" s="60"/>
      <c r="F65" s="3"/>
      <c r="G65" s="3"/>
      <c r="H65" s="3"/>
      <c r="I65" s="3"/>
      <c r="J65" s="3"/>
      <c r="K65" s="3"/>
      <c r="L65" s="3"/>
      <c r="M65" s="3"/>
      <c r="N65" s="3"/>
      <c r="O65" s="3"/>
      <c r="P65" s="3"/>
      <c r="Q65" s="3"/>
      <c r="R65" s="3"/>
      <c r="S65" s="3"/>
      <c r="T65" s="3"/>
      <c r="U65" s="3"/>
      <c r="V65" s="3"/>
      <c r="W65" s="3"/>
      <c r="X65" s="3"/>
      <c r="Y65" s="3"/>
      <c r="Z65" s="3"/>
    </row>
    <row r="66" spans="1:26" ht="15.75" customHeight="1" x14ac:dyDescent="0.25">
      <c r="A66" s="3"/>
      <c r="B66" s="863">
        <v>1146</v>
      </c>
      <c r="C66" s="3"/>
      <c r="D66" s="3"/>
      <c r="E66" s="60"/>
      <c r="F66" s="3"/>
      <c r="G66" s="3"/>
      <c r="H66" s="3"/>
      <c r="I66" s="3"/>
      <c r="J66" s="3"/>
      <c r="K66" s="3"/>
      <c r="L66" s="3"/>
      <c r="M66" s="3"/>
      <c r="N66" s="3"/>
      <c r="O66" s="3"/>
      <c r="P66" s="3"/>
      <c r="Q66" s="3"/>
      <c r="R66" s="3"/>
      <c r="S66" s="3"/>
      <c r="T66" s="3"/>
      <c r="U66" s="3"/>
      <c r="V66" s="3"/>
      <c r="W66" s="3"/>
      <c r="X66" s="3"/>
      <c r="Y66" s="3"/>
      <c r="Z66" s="3"/>
    </row>
    <row r="67" spans="1:26" ht="15.75" customHeight="1" x14ac:dyDescent="0.25">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x14ac:dyDescent="0.25">
      <c r="A68" s="3"/>
      <c r="B68" s="867" t="s">
        <v>9</v>
      </c>
      <c r="C68" s="868" t="s">
        <v>53</v>
      </c>
      <c r="D68" s="868" t="s">
        <v>696</v>
      </c>
      <c r="E68" s="868" t="s">
        <v>77</v>
      </c>
      <c r="F68" s="868" t="s">
        <v>104</v>
      </c>
      <c r="G68" s="868" t="s">
        <v>749</v>
      </c>
      <c r="H68" s="868" t="s">
        <v>750</v>
      </c>
      <c r="I68" s="868" t="s">
        <v>698</v>
      </c>
      <c r="J68" s="869" t="s">
        <v>751</v>
      </c>
      <c r="K68" s="870" t="s">
        <v>195</v>
      </c>
      <c r="L68" s="870" t="s">
        <v>752</v>
      </c>
      <c r="M68" s="870" t="s">
        <v>129</v>
      </c>
      <c r="N68" s="871" t="s">
        <v>754</v>
      </c>
      <c r="O68" s="3"/>
      <c r="P68" s="3"/>
      <c r="Q68" s="3"/>
      <c r="R68" s="3"/>
      <c r="S68" s="3"/>
      <c r="T68" s="3"/>
      <c r="U68" s="3"/>
      <c r="V68" s="3"/>
      <c r="W68" s="3"/>
      <c r="X68" s="3"/>
      <c r="Y68" s="3"/>
      <c r="Z68" s="3"/>
    </row>
    <row r="69" spans="1:26" ht="15.75" customHeight="1" x14ac:dyDescent="0.25">
      <c r="A69" s="3"/>
      <c r="B69" s="201"/>
      <c r="C69" s="81"/>
      <c r="D69" s="81"/>
      <c r="E69" s="81"/>
      <c r="F69" s="81"/>
      <c r="G69" s="81"/>
      <c r="H69" s="81"/>
      <c r="I69" s="81"/>
      <c r="J69" s="76"/>
      <c r="K69" s="81"/>
      <c r="L69" s="81"/>
      <c r="M69" s="81"/>
      <c r="N69" s="495"/>
      <c r="O69" s="3"/>
      <c r="P69" s="3"/>
      <c r="Q69" s="3"/>
      <c r="R69" s="3"/>
      <c r="S69" s="3"/>
      <c r="T69" s="3"/>
      <c r="U69" s="3"/>
      <c r="V69" s="3"/>
      <c r="W69" s="3"/>
      <c r="X69" s="3"/>
      <c r="Y69" s="3"/>
      <c r="Z69" s="3"/>
    </row>
    <row r="70" spans="1:26" ht="30" customHeight="1" x14ac:dyDescent="0.25">
      <c r="A70" s="3"/>
      <c r="B70" s="873" t="s">
        <v>756</v>
      </c>
      <c r="C70" s="874">
        <v>47.437899999999999</v>
      </c>
      <c r="D70" s="874">
        <v>34.840200000000003</v>
      </c>
      <c r="E70" s="874">
        <v>13.847899999999999</v>
      </c>
      <c r="F70" s="874">
        <v>0.38390000000000002</v>
      </c>
      <c r="G70" s="874">
        <v>1.0929</v>
      </c>
      <c r="H70" s="874">
        <v>0.53310000000000002</v>
      </c>
      <c r="I70" s="874">
        <v>1.4626999999999999</v>
      </c>
      <c r="J70" s="875">
        <v>0.25669999999999998</v>
      </c>
      <c r="K70" s="58">
        <v>2.0000000000000001E-4</v>
      </c>
      <c r="L70" s="58">
        <v>7.9000000000000008E-3</v>
      </c>
      <c r="M70" s="58">
        <v>0.13650000000000001</v>
      </c>
      <c r="N70" s="878">
        <f>SUM(C70:M70)</f>
        <v>99.999899999999997</v>
      </c>
      <c r="O70" s="3"/>
      <c r="P70" s="3"/>
      <c r="Q70" s="3"/>
      <c r="R70" s="3"/>
      <c r="S70" s="3"/>
      <c r="T70" s="3"/>
      <c r="U70" s="3"/>
      <c r="V70" s="3"/>
      <c r="W70" s="3"/>
      <c r="X70" s="3"/>
      <c r="Y70" s="3"/>
      <c r="Z70" s="3"/>
    </row>
    <row r="71" spans="1:26" ht="15.75" customHeight="1" x14ac:dyDescent="0.25">
      <c r="A71" s="3"/>
      <c r="B71" s="201"/>
      <c r="C71" s="81"/>
      <c r="D71" s="81"/>
      <c r="E71" s="81"/>
      <c r="F71" s="81"/>
      <c r="G71" s="81"/>
      <c r="H71" s="81"/>
      <c r="I71" s="81"/>
      <c r="J71" s="76"/>
      <c r="K71" s="73"/>
      <c r="L71" s="73"/>
      <c r="M71" s="73"/>
      <c r="N71" s="883"/>
      <c r="O71" s="3"/>
      <c r="P71" s="3"/>
      <c r="Q71" s="3"/>
      <c r="R71" s="3"/>
      <c r="S71" s="3"/>
      <c r="T71" s="3"/>
      <c r="U71" s="3"/>
      <c r="V71" s="3"/>
      <c r="W71" s="3"/>
      <c r="X71" s="3"/>
      <c r="Y71" s="3"/>
      <c r="Z71" s="3"/>
    </row>
    <row r="72" spans="1:26" ht="15.75" customHeight="1" x14ac:dyDescent="0.25">
      <c r="A72" s="3"/>
      <c r="B72" s="201" t="s">
        <v>758</v>
      </c>
      <c r="C72" s="624">
        <f t="shared" ref="C72:N72" si="5">(C70/100)*$W$59</f>
        <v>12173377.751227001</v>
      </c>
      <c r="D72" s="624">
        <f t="shared" si="5"/>
        <v>8940592.1326260008</v>
      </c>
      <c r="E72" s="624">
        <f t="shared" si="5"/>
        <v>3553608.3545269999</v>
      </c>
      <c r="F72" s="624">
        <f t="shared" si="5"/>
        <v>98515.316207000011</v>
      </c>
      <c r="G72" s="624">
        <f t="shared" si="5"/>
        <v>280456.86137699999</v>
      </c>
      <c r="H72" s="624">
        <f t="shared" si="5"/>
        <v>136802.592003</v>
      </c>
      <c r="I72" s="624">
        <f t="shared" si="5"/>
        <v>375353.87605099997</v>
      </c>
      <c r="J72" s="624">
        <f t="shared" si="5"/>
        <v>65873.617270999996</v>
      </c>
      <c r="K72" s="624">
        <f t="shared" si="5"/>
        <v>51.323425999999998</v>
      </c>
      <c r="L72" s="624">
        <f t="shared" si="5"/>
        <v>2027.2753270000003</v>
      </c>
      <c r="M72" s="624">
        <f t="shared" si="5"/>
        <v>35028.238245</v>
      </c>
      <c r="N72" s="624">
        <f t="shared" si="5"/>
        <v>25661687.338287</v>
      </c>
      <c r="O72" s="3"/>
      <c r="P72" s="3"/>
      <c r="Q72" s="3"/>
      <c r="R72" s="3"/>
      <c r="S72" s="3"/>
      <c r="T72" s="3"/>
      <c r="U72" s="3"/>
      <c r="V72" s="3"/>
      <c r="W72" s="3"/>
      <c r="X72" s="3"/>
      <c r="Y72" s="3"/>
      <c r="Z72" s="3"/>
    </row>
    <row r="73" spans="1:26" ht="15.75" customHeight="1" x14ac:dyDescent="0.25">
      <c r="A73" s="3"/>
      <c r="B73" s="201"/>
      <c r="C73" s="81"/>
      <c r="D73" s="81"/>
      <c r="E73" s="81"/>
      <c r="F73" s="81"/>
      <c r="G73" s="81"/>
      <c r="H73" s="81"/>
      <c r="I73" s="81"/>
      <c r="J73" s="76"/>
      <c r="K73" s="73"/>
      <c r="L73" s="73"/>
      <c r="M73" s="73"/>
      <c r="N73" s="495"/>
      <c r="O73" s="3"/>
      <c r="P73" s="3"/>
      <c r="Q73" s="3"/>
      <c r="R73" s="3"/>
      <c r="S73" s="3"/>
      <c r="T73" s="3"/>
      <c r="U73" s="3"/>
      <c r="V73" s="3"/>
      <c r="W73" s="3"/>
      <c r="X73" s="3"/>
      <c r="Y73" s="3"/>
      <c r="Z73" s="3"/>
    </row>
    <row r="74" spans="1:26" ht="15.75" customHeight="1" x14ac:dyDescent="0.25">
      <c r="A74" s="3"/>
      <c r="B74" s="201" t="s">
        <v>764</v>
      </c>
      <c r="C74" s="889">
        <v>0.94</v>
      </c>
      <c r="D74" s="890"/>
      <c r="E74" s="891">
        <v>0.44</v>
      </c>
      <c r="F74" s="891">
        <v>0.88599531833454104</v>
      </c>
      <c r="G74" s="890"/>
      <c r="H74" s="891">
        <v>1.52</v>
      </c>
      <c r="I74" s="890"/>
      <c r="J74" s="892">
        <v>0.11</v>
      </c>
      <c r="K74" s="894"/>
      <c r="L74" s="894"/>
      <c r="M74" s="894"/>
      <c r="N74" s="495"/>
      <c r="O74" s="3"/>
      <c r="P74" s="3"/>
      <c r="Q74" s="3"/>
      <c r="R74" s="3"/>
      <c r="S74" s="3"/>
      <c r="T74" s="3"/>
      <c r="U74" s="3"/>
      <c r="V74" s="3"/>
      <c r="W74" s="3"/>
      <c r="X74" s="3"/>
      <c r="Y74" s="3"/>
      <c r="Z74" s="3"/>
    </row>
    <row r="75" spans="1:26" ht="15.75" customHeight="1" x14ac:dyDescent="0.25">
      <c r="A75" s="3"/>
      <c r="B75" s="201"/>
      <c r="C75" s="81"/>
      <c r="D75" s="81"/>
      <c r="E75" s="81"/>
      <c r="F75" s="81"/>
      <c r="G75" s="81"/>
      <c r="H75" s="81"/>
      <c r="I75" s="81"/>
      <c r="J75" s="76"/>
      <c r="K75" s="73"/>
      <c r="L75" s="73"/>
      <c r="M75" s="73"/>
      <c r="N75" s="495"/>
      <c r="O75" s="3"/>
      <c r="P75" s="3"/>
      <c r="Q75" s="3"/>
      <c r="R75" s="3"/>
      <c r="S75" s="3"/>
      <c r="T75" s="3"/>
      <c r="U75" s="3"/>
      <c r="V75" s="3"/>
      <c r="W75" s="3"/>
      <c r="X75" s="3"/>
      <c r="Y75" s="3"/>
      <c r="Z75" s="3"/>
    </row>
    <row r="76" spans="1:26" ht="15.75" customHeight="1" x14ac:dyDescent="0.25">
      <c r="A76" s="3"/>
      <c r="B76" s="201" t="s">
        <v>765</v>
      </c>
      <c r="C76" s="624">
        <f>C72*C74</f>
        <v>11442975.086153381</v>
      </c>
      <c r="D76" s="890"/>
      <c r="E76" s="624">
        <f t="shared" ref="E76:F76" si="6">E72*E74</f>
        <v>1563587.67599188</v>
      </c>
      <c r="F76" s="624">
        <f t="shared" si="6"/>
        <v>87284.108943648942</v>
      </c>
      <c r="G76" s="890"/>
      <c r="H76" s="624">
        <f>H72*H74</f>
        <v>207939.93984455999</v>
      </c>
      <c r="I76" s="890"/>
      <c r="J76" s="897">
        <f>J72*J74</f>
        <v>7246.0978998099999</v>
      </c>
      <c r="K76" s="894"/>
      <c r="L76" s="894"/>
      <c r="M76" s="894"/>
      <c r="N76" s="898">
        <f>SUM(C76:M76)</f>
        <v>13309032.908833278</v>
      </c>
      <c r="O76" s="3"/>
      <c r="P76" s="3"/>
      <c r="Q76" s="3"/>
      <c r="R76" s="3"/>
      <c r="S76" s="3"/>
      <c r="T76" s="3"/>
      <c r="U76" s="3"/>
      <c r="V76" s="3"/>
      <c r="W76" s="3"/>
      <c r="X76" s="3"/>
      <c r="Y76" s="3"/>
      <c r="Z76" s="3"/>
    </row>
    <row r="77" spans="1:26" ht="15.75" customHeight="1" x14ac:dyDescent="0.25">
      <c r="A77" s="3"/>
      <c r="B77" s="201"/>
      <c r="C77" s="81"/>
      <c r="D77" s="81"/>
      <c r="E77" s="81"/>
      <c r="F77" s="81"/>
      <c r="G77" s="81"/>
      <c r="H77" s="81"/>
      <c r="I77" s="81"/>
      <c r="J77" s="76"/>
      <c r="K77" s="73"/>
      <c r="L77" s="73"/>
      <c r="M77" s="73"/>
      <c r="N77" s="495"/>
      <c r="O77" s="3"/>
      <c r="P77" s="3"/>
      <c r="Q77" s="3"/>
      <c r="R77" s="3"/>
      <c r="S77" s="3"/>
      <c r="T77" s="3"/>
      <c r="U77" s="3"/>
      <c r="V77" s="3"/>
      <c r="W77" s="3"/>
      <c r="X77" s="3"/>
      <c r="Y77" s="3"/>
      <c r="Z77" s="3"/>
    </row>
    <row r="78" spans="1:26" ht="15.75" customHeight="1" x14ac:dyDescent="0.25">
      <c r="A78" s="3"/>
      <c r="B78" s="774" t="s">
        <v>769</v>
      </c>
      <c r="C78" s="877">
        <f>C76/1000000</f>
        <v>11.44297508615338</v>
      </c>
      <c r="D78" s="901"/>
      <c r="E78" s="877">
        <f t="shared" ref="E78:F78" si="7">E76/1000000</f>
        <v>1.5635876759918801</v>
      </c>
      <c r="F78" s="877">
        <f t="shared" si="7"/>
        <v>8.7284108943648936E-2</v>
      </c>
      <c r="G78" s="901"/>
      <c r="H78" s="877">
        <f>H76/1000000</f>
        <v>0.20793993984456</v>
      </c>
      <c r="I78" s="901"/>
      <c r="J78" s="902">
        <f>J76/1000000</f>
        <v>7.2460978998099999E-3</v>
      </c>
      <c r="K78" s="894"/>
      <c r="L78" s="894"/>
      <c r="M78" s="894"/>
      <c r="N78" s="904">
        <f>SUM(C78:M78)</f>
        <v>13.309032908833277</v>
      </c>
      <c r="O78" s="3"/>
      <c r="P78" s="3"/>
      <c r="Q78" s="3"/>
      <c r="R78" s="3"/>
      <c r="S78" s="3"/>
      <c r="T78" s="3"/>
      <c r="U78" s="3"/>
      <c r="V78" s="3"/>
      <c r="W78" s="3"/>
      <c r="X78" s="3"/>
      <c r="Y78" s="3"/>
      <c r="Z78" s="3"/>
    </row>
    <row r="79" spans="1:26" ht="15.75" customHeight="1" x14ac:dyDescent="0.25">
      <c r="A79" s="3"/>
      <c r="B79" s="497"/>
      <c r="C79" s="12"/>
      <c r="D79" s="12"/>
      <c r="E79" s="12"/>
      <c r="F79" s="12"/>
      <c r="G79" s="12"/>
      <c r="H79" s="12"/>
      <c r="I79" s="12"/>
      <c r="J79" s="12"/>
      <c r="K79" s="133"/>
      <c r="L79" s="133"/>
      <c r="M79" s="133"/>
      <c r="N79" s="498"/>
      <c r="O79" s="3"/>
      <c r="P79" s="3"/>
      <c r="Q79" s="3"/>
      <c r="R79" s="3"/>
      <c r="S79" s="3"/>
      <c r="T79" s="3"/>
      <c r="U79" s="3"/>
      <c r="V79" s="3"/>
      <c r="W79" s="3"/>
      <c r="X79" s="3"/>
      <c r="Y79" s="3"/>
      <c r="Z79" s="3"/>
    </row>
    <row r="80" spans="1:26" ht="15.75" customHeight="1" x14ac:dyDescent="0.2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2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2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25">
      <c r="A83" s="3"/>
      <c r="B83" s="3"/>
      <c r="C83" s="3"/>
      <c r="D83" s="3"/>
      <c r="E83" s="2318" t="s">
        <v>770</v>
      </c>
      <c r="F83" s="2317"/>
      <c r="G83" s="2317"/>
      <c r="H83" s="2317"/>
      <c r="I83" s="2317"/>
      <c r="J83" s="2317"/>
      <c r="K83" s="3"/>
      <c r="L83" s="3"/>
      <c r="M83" s="3"/>
      <c r="N83" s="3"/>
      <c r="O83" s="3"/>
      <c r="P83" s="3"/>
      <c r="Q83" s="3"/>
      <c r="R83" s="3"/>
      <c r="S83" s="3"/>
      <c r="T83" s="3"/>
      <c r="U83" s="3"/>
      <c r="V83" s="3"/>
      <c r="W83" s="3"/>
      <c r="X83" s="3"/>
      <c r="Y83" s="3"/>
      <c r="Z83" s="3"/>
    </row>
    <row r="84" spans="1:26" ht="15.75" customHeight="1" x14ac:dyDescent="0.2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25">
      <c r="A85" s="3"/>
      <c r="B85" s="194"/>
      <c r="C85" s="739">
        <v>1991</v>
      </c>
      <c r="D85" s="739">
        <v>1992</v>
      </c>
      <c r="E85" s="739">
        <v>1993</v>
      </c>
      <c r="F85" s="739">
        <v>1994</v>
      </c>
      <c r="G85" s="739">
        <v>1995</v>
      </c>
      <c r="H85" s="739">
        <v>1996</v>
      </c>
      <c r="I85" s="739">
        <v>1997</v>
      </c>
      <c r="J85" s="739">
        <v>1998</v>
      </c>
      <c r="K85" s="739">
        <v>1999</v>
      </c>
      <c r="L85" s="739">
        <v>2000</v>
      </c>
      <c r="M85" s="739">
        <v>2001</v>
      </c>
      <c r="N85" s="739">
        <v>2002</v>
      </c>
      <c r="O85" s="739">
        <v>2003</v>
      </c>
      <c r="P85" s="739">
        <v>2004</v>
      </c>
      <c r="Q85" s="739">
        <v>2005</v>
      </c>
      <c r="R85" s="739">
        <v>2006</v>
      </c>
      <c r="S85" s="739">
        <v>2007</v>
      </c>
      <c r="T85" s="743">
        <v>2008</v>
      </c>
      <c r="U85" s="739">
        <v>2009</v>
      </c>
      <c r="V85" s="739">
        <v>2010</v>
      </c>
      <c r="W85" s="834">
        <v>2011</v>
      </c>
      <c r="X85" s="3"/>
      <c r="Y85" s="3"/>
      <c r="Z85" s="3"/>
    </row>
    <row r="86" spans="1:26" ht="30" customHeight="1" x14ac:dyDescent="0.25">
      <c r="A86" s="3"/>
      <c r="B86" s="911" t="s">
        <v>732</v>
      </c>
      <c r="C86" s="914">
        <f t="shared" ref="C86:W86" si="8">(C59*$B$66/2204.62)/1000000</f>
        <v>7.5119670825924647</v>
      </c>
      <c r="D86" s="914">
        <f t="shared" si="8"/>
        <v>6.756706178162224</v>
      </c>
      <c r="E86" s="914">
        <f t="shared" si="8"/>
        <v>6.3737634025364915</v>
      </c>
      <c r="F86" s="914">
        <f t="shared" si="8"/>
        <v>6.6713278149408968</v>
      </c>
      <c r="G86" s="914">
        <f t="shared" si="8"/>
        <v>6.9147580457176296</v>
      </c>
      <c r="H86" s="914">
        <f t="shared" si="8"/>
        <v>7.4257215338697824</v>
      </c>
      <c r="I86" s="914">
        <f t="shared" si="8"/>
        <v>6.7958963221552917</v>
      </c>
      <c r="J86" s="914">
        <f t="shared" si="8"/>
        <v>5.6115457483602622</v>
      </c>
      <c r="K86" s="914">
        <f t="shared" si="8"/>
        <v>5.7665915439508852</v>
      </c>
      <c r="L86" s="914">
        <f t="shared" si="8"/>
        <v>6.9264553358968897</v>
      </c>
      <c r="M86" s="914">
        <f t="shared" si="8"/>
        <v>8.5406953182407861</v>
      </c>
      <c r="N86" s="914">
        <f t="shared" si="8"/>
        <v>12.670323318871279</v>
      </c>
      <c r="O86" s="914">
        <f t="shared" si="8"/>
        <v>12.199080350978853</v>
      </c>
      <c r="P86" s="914">
        <f t="shared" si="8"/>
        <v>9.8867522713664933</v>
      </c>
      <c r="Q86" s="914">
        <f t="shared" si="8"/>
        <v>10.384196963932562</v>
      </c>
      <c r="R86" s="921">
        <f t="shared" si="8"/>
        <v>9.4422684024344328</v>
      </c>
      <c r="S86" s="914">
        <f t="shared" si="8"/>
        <v>10.021900136304669</v>
      </c>
      <c r="T86" s="914">
        <f t="shared" si="8"/>
        <v>10.356159828734659</v>
      </c>
      <c r="U86" s="921">
        <f t="shared" si="8"/>
        <v>11.813440762296905</v>
      </c>
      <c r="V86" s="914">
        <f t="shared" si="8"/>
        <v>13.417373024035889</v>
      </c>
      <c r="W86" s="923">
        <f t="shared" si="8"/>
        <v>13.339406835645146</v>
      </c>
      <c r="X86" s="3"/>
      <c r="Y86" s="3"/>
      <c r="Z86" s="3"/>
    </row>
    <row r="87" spans="1:26" ht="15.75" customHeight="1" x14ac:dyDescent="0.25">
      <c r="A87" s="3"/>
      <c r="B87" s="3"/>
      <c r="C87" s="3"/>
      <c r="D87" s="3"/>
      <c r="E87" s="3"/>
      <c r="F87" s="3"/>
      <c r="G87" s="3"/>
      <c r="H87" s="3"/>
      <c r="I87" s="3"/>
      <c r="J87" s="3"/>
      <c r="K87" s="3"/>
      <c r="L87" s="3"/>
      <c r="M87" s="3"/>
      <c r="N87" s="3"/>
      <c r="O87" s="3"/>
      <c r="P87" s="3"/>
      <c r="Q87" s="3"/>
      <c r="R87" s="925">
        <f>N78</f>
        <v>13.309032908833277</v>
      </c>
      <c r="S87" s="3"/>
      <c r="T87" s="3"/>
      <c r="U87" s="3"/>
      <c r="V87" s="3"/>
      <c r="W87" s="3"/>
      <c r="X87" s="3"/>
      <c r="Y87" s="3"/>
      <c r="Z87" s="3"/>
    </row>
    <row r="88" spans="1:26" ht="15.75" customHeight="1" x14ac:dyDescent="0.2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2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2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2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2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2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2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2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2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2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2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E83:J83"/>
  </mergeCells>
  <pageMargins left="0.7" right="0.7" top="0.75" bottom="0.75" header="0" footer="0"/>
  <pageSetup orientation="landscape"/>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Z1002"/>
  <sheetViews>
    <sheetView workbookViewId="0"/>
  </sheetViews>
  <sheetFormatPr defaultColWidth="16.83203125" defaultRowHeight="15" customHeight="1" x14ac:dyDescent="0.2"/>
  <cols>
    <col min="1" max="1" width="9.33203125" customWidth="1"/>
    <col min="2" max="2" width="15.5" customWidth="1"/>
    <col min="3" max="3" width="16.83203125" customWidth="1"/>
    <col min="4" max="4" width="19.1640625" customWidth="1"/>
    <col min="5" max="5" width="16" customWidth="1"/>
    <col min="6" max="6" width="19.5" customWidth="1"/>
    <col min="7" max="7" width="15.1640625" customWidth="1"/>
    <col min="8" max="13" width="9.33203125" customWidth="1"/>
    <col min="14" max="26" width="8" customWidth="1"/>
  </cols>
  <sheetData>
    <row r="2" spans="1:26" x14ac:dyDescent="0.25">
      <c r="A2" s="3" t="s">
        <v>727</v>
      </c>
      <c r="B2" s="16"/>
      <c r="C2" s="3"/>
      <c r="D2" s="3"/>
      <c r="E2" s="3"/>
      <c r="F2" s="3"/>
      <c r="G2" s="22"/>
      <c r="H2" s="3"/>
      <c r="I2" s="3"/>
      <c r="J2" s="3"/>
      <c r="K2" s="3"/>
      <c r="L2" s="3"/>
      <c r="M2" s="3"/>
      <c r="N2" s="3"/>
      <c r="O2" s="3"/>
      <c r="P2" s="3"/>
      <c r="Q2" s="3"/>
      <c r="R2" s="3"/>
      <c r="S2" s="3"/>
      <c r="T2" s="3"/>
      <c r="U2" s="3"/>
      <c r="V2" s="3"/>
      <c r="W2" s="3"/>
      <c r="X2" s="3"/>
      <c r="Y2" s="3"/>
      <c r="Z2" s="3"/>
    </row>
    <row r="3" spans="1:26" ht="123.75" customHeight="1" x14ac:dyDescent="0.25">
      <c r="A3" s="3"/>
      <c r="B3" s="3"/>
      <c r="C3" s="3"/>
      <c r="D3" s="3"/>
      <c r="E3" s="3"/>
      <c r="F3" s="3"/>
      <c r="G3" s="3"/>
      <c r="H3" s="3"/>
      <c r="I3" s="3"/>
      <c r="J3" s="3"/>
      <c r="K3" s="3"/>
      <c r="L3" s="3"/>
      <c r="M3" s="3"/>
      <c r="N3" s="3"/>
      <c r="O3" s="3"/>
      <c r="P3" s="3"/>
      <c r="Q3" s="3"/>
      <c r="R3" s="3"/>
      <c r="S3" s="3"/>
      <c r="T3" s="3"/>
      <c r="U3" s="3"/>
      <c r="V3" s="3"/>
      <c r="W3" s="3"/>
      <c r="X3" s="3"/>
      <c r="Y3" s="3"/>
      <c r="Z3" s="3"/>
    </row>
    <row r="4" spans="1:26" x14ac:dyDescent="0.25">
      <c r="A4" s="3"/>
      <c r="B4" s="3"/>
      <c r="C4" s="3"/>
      <c r="D4" s="3"/>
      <c r="E4" s="3"/>
      <c r="F4" s="3"/>
      <c r="G4" s="3"/>
      <c r="H4" s="3"/>
      <c r="I4" s="3"/>
      <c r="J4" s="3"/>
      <c r="K4" s="3"/>
      <c r="L4" s="3"/>
      <c r="M4" s="3"/>
      <c r="N4" s="3"/>
      <c r="O4" s="3"/>
      <c r="P4" s="3"/>
      <c r="Q4" s="3"/>
      <c r="R4" s="3"/>
      <c r="S4" s="3"/>
      <c r="T4" s="3"/>
      <c r="U4" s="3"/>
      <c r="V4" s="3"/>
      <c r="W4" s="3"/>
      <c r="X4" s="3"/>
      <c r="Y4" s="3"/>
      <c r="Z4" s="3"/>
    </row>
    <row r="5" spans="1:26" ht="21" customHeight="1" x14ac:dyDescent="0.4">
      <c r="A5" s="3"/>
      <c r="B5" s="842" t="s">
        <v>735</v>
      </c>
      <c r="C5" s="842"/>
      <c r="D5" s="842"/>
      <c r="E5" s="3">
        <v>2011</v>
      </c>
      <c r="F5" s="3"/>
      <c r="G5" s="3"/>
      <c r="H5" s="3"/>
      <c r="I5" s="3"/>
      <c r="J5" s="3"/>
      <c r="K5" s="3"/>
      <c r="L5" s="3"/>
      <c r="M5" s="3"/>
      <c r="N5" s="3"/>
      <c r="O5" s="3"/>
      <c r="P5" s="3"/>
      <c r="Q5" s="3"/>
      <c r="R5" s="3"/>
      <c r="S5" s="3"/>
      <c r="T5" s="3"/>
      <c r="U5" s="3"/>
      <c r="V5" s="3"/>
      <c r="W5" s="3"/>
      <c r="X5" s="3"/>
      <c r="Y5" s="3"/>
      <c r="Z5" s="3"/>
    </row>
    <row r="6" spans="1:26" x14ac:dyDescent="0.25">
      <c r="A6" s="3"/>
      <c r="B6" s="3"/>
      <c r="C6" s="3"/>
      <c r="D6" s="20"/>
      <c r="E6" s="3"/>
      <c r="F6" s="3"/>
      <c r="G6" s="3"/>
      <c r="H6" s="3"/>
      <c r="I6" s="3"/>
      <c r="J6" s="3"/>
      <c r="K6" s="3"/>
      <c r="L6" s="3"/>
      <c r="M6" s="3"/>
      <c r="N6" s="3"/>
      <c r="O6" s="3"/>
      <c r="P6" s="3"/>
      <c r="Q6" s="3"/>
      <c r="R6" s="3"/>
      <c r="S6" s="3"/>
      <c r="T6" s="3"/>
      <c r="U6" s="3"/>
      <c r="V6" s="3"/>
      <c r="W6" s="3"/>
      <c r="X6" s="3"/>
      <c r="Y6" s="3"/>
      <c r="Z6" s="3"/>
    </row>
    <row r="7" spans="1:26" x14ac:dyDescent="0.25">
      <c r="A7" s="3"/>
      <c r="B7" s="845"/>
      <c r="C7" s="754" t="s">
        <v>685</v>
      </c>
      <c r="D7" s="754" t="s">
        <v>738</v>
      </c>
      <c r="E7" s="754" t="s">
        <v>739</v>
      </c>
      <c r="F7" s="754" t="s">
        <v>686</v>
      </c>
      <c r="G7" s="755" t="s">
        <v>686</v>
      </c>
      <c r="H7" s="3"/>
      <c r="I7" s="2312" t="s">
        <v>1</v>
      </c>
      <c r="J7" s="2313"/>
      <c r="K7" s="13"/>
      <c r="L7" s="3"/>
      <c r="M7" s="13"/>
      <c r="N7" s="3"/>
      <c r="O7" s="3"/>
      <c r="P7" s="3"/>
      <c r="Q7" s="3"/>
      <c r="R7" s="3"/>
      <c r="S7" s="3"/>
      <c r="T7" s="3"/>
      <c r="U7" s="3"/>
      <c r="V7" s="3"/>
      <c r="W7" s="3"/>
      <c r="X7" s="3"/>
      <c r="Y7" s="3"/>
      <c r="Z7" s="3"/>
    </row>
    <row r="8" spans="1:26" x14ac:dyDescent="0.25">
      <c r="A8" s="3"/>
      <c r="B8" s="852" t="s">
        <v>9</v>
      </c>
      <c r="C8" s="853" t="s">
        <v>690</v>
      </c>
      <c r="D8" s="853" t="s">
        <v>740</v>
      </c>
      <c r="E8" s="853" t="s">
        <v>741</v>
      </c>
      <c r="F8" s="853" t="s">
        <v>742</v>
      </c>
      <c r="G8" s="856" t="s">
        <v>745</v>
      </c>
      <c r="H8" s="13"/>
      <c r="I8" s="236"/>
      <c r="J8" s="236"/>
      <c r="K8" s="13"/>
      <c r="L8" s="3"/>
      <c r="M8" s="13"/>
      <c r="N8" s="3"/>
      <c r="O8" s="3"/>
      <c r="P8" s="3"/>
      <c r="Q8" s="3"/>
      <c r="R8" s="3"/>
      <c r="S8" s="3"/>
      <c r="T8" s="3"/>
      <c r="U8" s="3"/>
      <c r="V8" s="3"/>
      <c r="W8" s="3"/>
      <c r="X8" s="3"/>
      <c r="Y8" s="3"/>
      <c r="Z8" s="3"/>
    </row>
    <row r="9" spans="1:26" x14ac:dyDescent="0.25">
      <c r="A9" s="3"/>
      <c r="B9" s="623" t="s">
        <v>53</v>
      </c>
      <c r="C9" s="624">
        <v>0</v>
      </c>
      <c r="D9" s="730">
        <v>56.672727272727272</v>
      </c>
      <c r="E9" s="858">
        <v>1</v>
      </c>
      <c r="F9" s="672">
        <f t="shared" ref="F9:F13" si="0">C9*1000*D9*E9/2000</f>
        <v>0</v>
      </c>
      <c r="G9" s="866">
        <f t="shared" ref="G9:G13" si="1">F9*(44/12)*0.90718474/1000000</f>
        <v>0</v>
      </c>
      <c r="H9" s="864"/>
      <c r="I9" s="241" t="s">
        <v>188</v>
      </c>
      <c r="J9" s="243">
        <f>Summary!E4</f>
        <v>1</v>
      </c>
      <c r="K9" s="865"/>
      <c r="L9" s="864"/>
      <c r="M9" s="865"/>
      <c r="N9" s="3"/>
      <c r="O9" s="3"/>
      <c r="P9" s="3"/>
      <c r="Q9" s="3"/>
      <c r="R9" s="3"/>
      <c r="S9" s="3"/>
      <c r="T9" s="3"/>
      <c r="U9" s="3"/>
      <c r="V9" s="3"/>
      <c r="W9" s="3"/>
      <c r="X9" s="3"/>
      <c r="Y9" s="3"/>
      <c r="Z9" s="3"/>
    </row>
    <row r="10" spans="1:26" x14ac:dyDescent="0.25">
      <c r="A10" s="3"/>
      <c r="B10" s="623" t="s">
        <v>703</v>
      </c>
      <c r="C10" s="624">
        <v>15596</v>
      </c>
      <c r="D10" s="730">
        <v>44.43</v>
      </c>
      <c r="E10" s="858">
        <v>1</v>
      </c>
      <c r="F10" s="672">
        <f t="shared" si="0"/>
        <v>346465.14</v>
      </c>
      <c r="G10" s="866">
        <f t="shared" si="1"/>
        <v>1.1524622558165332</v>
      </c>
      <c r="H10" s="864"/>
      <c r="I10" s="241" t="s">
        <v>192</v>
      </c>
      <c r="J10" s="243">
        <f>Summary!E5</f>
        <v>27.9</v>
      </c>
      <c r="K10" s="865"/>
      <c r="L10" s="864"/>
      <c r="M10" s="865"/>
      <c r="N10" s="3"/>
      <c r="O10" s="3"/>
      <c r="P10" s="3"/>
      <c r="Q10" s="3"/>
      <c r="R10" s="3"/>
      <c r="S10" s="3"/>
      <c r="T10" s="3"/>
      <c r="U10" s="3"/>
      <c r="V10" s="3"/>
      <c r="W10" s="3"/>
      <c r="X10" s="3"/>
      <c r="Y10" s="3"/>
      <c r="Z10" s="3"/>
    </row>
    <row r="11" spans="1:26" x14ac:dyDescent="0.25">
      <c r="A11" s="3"/>
      <c r="B11" s="623" t="s">
        <v>753</v>
      </c>
      <c r="C11" s="624">
        <v>436</v>
      </c>
      <c r="D11" s="730">
        <v>43.97</v>
      </c>
      <c r="E11" s="858">
        <v>1</v>
      </c>
      <c r="F11" s="672">
        <f t="shared" si="0"/>
        <v>9585.4599999999991</v>
      </c>
      <c r="G11" s="866">
        <f t="shared" si="1"/>
        <v>3.1884537805561462E-2</v>
      </c>
      <c r="H11" s="864"/>
      <c r="I11" s="241" t="s">
        <v>194</v>
      </c>
      <c r="J11" s="243">
        <f>Summary!E6</f>
        <v>273</v>
      </c>
      <c r="K11" s="865"/>
      <c r="L11" s="864"/>
      <c r="M11" s="865"/>
      <c r="N11" s="3"/>
      <c r="O11" s="3"/>
      <c r="P11" s="3"/>
      <c r="Q11" s="3"/>
      <c r="R11" s="3"/>
      <c r="S11" s="3"/>
      <c r="T11" s="3"/>
      <c r="U11" s="3"/>
      <c r="V11" s="3"/>
      <c r="W11" s="3"/>
      <c r="X11" s="3"/>
      <c r="Y11" s="3"/>
      <c r="Z11" s="3"/>
    </row>
    <row r="12" spans="1:26" x14ac:dyDescent="0.25">
      <c r="A12" s="3"/>
      <c r="B12" s="623" t="s">
        <v>755</v>
      </c>
      <c r="C12" s="624">
        <v>8139</v>
      </c>
      <c r="D12" s="730">
        <v>37.110283550140529</v>
      </c>
      <c r="E12" s="858">
        <v>1</v>
      </c>
      <c r="F12" s="672">
        <f t="shared" si="0"/>
        <v>151020.29890729691</v>
      </c>
      <c r="G12" s="866">
        <f t="shared" si="1"/>
        <v>0.50234547219610759</v>
      </c>
      <c r="H12" s="864"/>
      <c r="I12" s="241" t="s">
        <v>197</v>
      </c>
      <c r="J12" s="243">
        <f>Summary!E7</f>
        <v>24300</v>
      </c>
      <c r="K12" s="865"/>
      <c r="L12" s="864"/>
      <c r="M12" s="865"/>
      <c r="N12" s="3"/>
      <c r="O12" s="3"/>
      <c r="P12" s="3"/>
      <c r="Q12" s="3"/>
      <c r="R12" s="3"/>
      <c r="S12" s="3"/>
      <c r="T12" s="3"/>
      <c r="U12" s="3"/>
      <c r="V12" s="3"/>
      <c r="W12" s="3"/>
      <c r="X12" s="3"/>
      <c r="Y12" s="3"/>
      <c r="Z12" s="3"/>
    </row>
    <row r="13" spans="1:26" x14ac:dyDescent="0.25">
      <c r="A13" s="3"/>
      <c r="B13" s="623" t="s">
        <v>77</v>
      </c>
      <c r="C13" s="624">
        <v>79993</v>
      </c>
      <c r="D13" s="730">
        <v>31.87</v>
      </c>
      <c r="E13" s="858">
        <v>1</v>
      </c>
      <c r="F13" s="672">
        <f t="shared" si="0"/>
        <v>1274688.4550000001</v>
      </c>
      <c r="G13" s="866">
        <f t="shared" si="1"/>
        <v>4.2400523536439811</v>
      </c>
      <c r="H13" s="864"/>
      <c r="I13" s="241"/>
      <c r="J13" s="243"/>
      <c r="K13" s="865"/>
      <c r="L13" s="864"/>
      <c r="M13" s="865"/>
      <c r="N13" s="3"/>
      <c r="O13" s="3"/>
      <c r="P13" s="3"/>
      <c r="Q13" s="3"/>
      <c r="R13" s="3"/>
      <c r="S13" s="3"/>
      <c r="T13" s="3"/>
      <c r="U13" s="3"/>
      <c r="V13" s="3"/>
      <c r="W13" s="3"/>
      <c r="X13" s="3"/>
      <c r="Y13" s="3"/>
      <c r="Z13" s="3"/>
    </row>
    <row r="14" spans="1:26" x14ac:dyDescent="0.25">
      <c r="A14" s="3"/>
      <c r="B14" s="318"/>
      <c r="C14" s="532"/>
      <c r="D14" s="532"/>
      <c r="E14" s="531" t="s">
        <v>205</v>
      </c>
      <c r="F14" s="886"/>
      <c r="G14" s="887">
        <f>SUM(G9:G13)</f>
        <v>5.9267446194621831</v>
      </c>
      <c r="H14" s="3"/>
      <c r="I14" s="3"/>
      <c r="J14" s="3"/>
      <c r="K14" s="3"/>
      <c r="L14" s="3"/>
      <c r="M14" s="3"/>
      <c r="N14" s="3"/>
      <c r="O14" s="3"/>
      <c r="P14" s="3"/>
      <c r="Q14" s="3"/>
      <c r="R14" s="3"/>
      <c r="S14" s="3"/>
      <c r="T14" s="3"/>
      <c r="U14" s="3"/>
      <c r="V14" s="3"/>
      <c r="W14" s="3"/>
      <c r="X14" s="3"/>
      <c r="Y14" s="3"/>
      <c r="Z14" s="3"/>
    </row>
    <row r="15" spans="1:26" x14ac:dyDescent="0.25">
      <c r="A15" s="3"/>
      <c r="B15" s="3"/>
      <c r="C15" s="3"/>
      <c r="D15" s="3"/>
      <c r="E15" s="3"/>
      <c r="F15" s="3"/>
      <c r="G15" s="3"/>
      <c r="H15" s="3"/>
      <c r="I15" s="3"/>
      <c r="J15" s="3"/>
      <c r="K15" s="3"/>
      <c r="L15" s="3"/>
      <c r="M15" s="3"/>
      <c r="N15" s="3"/>
      <c r="O15" s="3"/>
      <c r="P15" s="3"/>
      <c r="Q15" s="3"/>
      <c r="R15" s="3"/>
      <c r="S15" s="3"/>
      <c r="T15" s="3"/>
      <c r="U15" s="3"/>
      <c r="V15" s="3"/>
      <c r="W15" s="3"/>
      <c r="X15" s="3"/>
      <c r="Y15" s="3"/>
      <c r="Z15" s="3"/>
    </row>
    <row r="16" spans="1:26" ht="18" customHeight="1" x14ac:dyDescent="0.35">
      <c r="A16" s="3"/>
      <c r="B16" s="842" t="s">
        <v>760</v>
      </c>
      <c r="C16" s="842"/>
      <c r="D16" s="888"/>
      <c r="E16" s="3">
        <v>2011</v>
      </c>
      <c r="F16" s="3"/>
      <c r="G16" s="3"/>
      <c r="H16" s="3"/>
      <c r="I16" s="3"/>
      <c r="J16" s="3"/>
      <c r="K16" s="3"/>
      <c r="L16" s="3"/>
      <c r="M16" s="3"/>
      <c r="N16" s="3"/>
      <c r="O16" s="3"/>
      <c r="P16" s="3"/>
      <c r="Q16" s="3"/>
      <c r="R16" s="3"/>
      <c r="S16" s="3"/>
      <c r="T16" s="3"/>
      <c r="U16" s="3"/>
      <c r="V16" s="3"/>
      <c r="W16" s="3"/>
      <c r="X16" s="3"/>
      <c r="Y16" s="3"/>
      <c r="Z16" s="3"/>
    </row>
    <row r="17" spans="1:26" x14ac:dyDescent="0.25">
      <c r="A17" s="3"/>
      <c r="B17" s="3"/>
      <c r="C17" s="3"/>
      <c r="D17" s="20"/>
      <c r="E17" s="3"/>
      <c r="F17" s="3"/>
      <c r="G17" s="3"/>
      <c r="H17" s="3"/>
      <c r="I17" s="3"/>
      <c r="J17" s="3"/>
      <c r="K17" s="3"/>
      <c r="L17" s="3"/>
      <c r="M17" s="3"/>
      <c r="N17" s="3"/>
      <c r="O17" s="3"/>
      <c r="P17" s="3"/>
      <c r="Q17" s="3"/>
      <c r="R17" s="3"/>
      <c r="S17" s="3"/>
      <c r="T17" s="3"/>
      <c r="U17" s="3"/>
      <c r="V17" s="3"/>
      <c r="W17" s="3"/>
      <c r="X17" s="3"/>
      <c r="Y17" s="3"/>
      <c r="Z17" s="3"/>
    </row>
    <row r="18" spans="1:26" x14ac:dyDescent="0.25">
      <c r="A18" s="3"/>
      <c r="B18" s="797"/>
      <c r="C18" s="800" t="s">
        <v>685</v>
      </c>
      <c r="D18" s="800" t="s">
        <v>738</v>
      </c>
      <c r="E18" s="800" t="s">
        <v>686</v>
      </c>
      <c r="F18" s="800" t="s">
        <v>688</v>
      </c>
      <c r="G18" s="801" t="s">
        <v>686</v>
      </c>
      <c r="H18" s="13"/>
      <c r="I18" s="3"/>
      <c r="J18" s="3"/>
      <c r="K18" s="13"/>
      <c r="L18" s="3"/>
      <c r="M18" s="13"/>
      <c r="N18" s="3"/>
      <c r="O18" s="3"/>
      <c r="P18" s="3"/>
      <c r="Q18" s="3"/>
      <c r="R18" s="3"/>
      <c r="S18" s="3"/>
      <c r="T18" s="3"/>
      <c r="U18" s="3"/>
      <c r="V18" s="3"/>
      <c r="W18" s="3"/>
      <c r="X18" s="3"/>
      <c r="Y18" s="3"/>
      <c r="Z18" s="3"/>
    </row>
    <row r="19" spans="1:26" x14ac:dyDescent="0.25">
      <c r="A19" s="3"/>
      <c r="B19" s="230" t="s">
        <v>9</v>
      </c>
      <c r="C19" s="13" t="s">
        <v>690</v>
      </c>
      <c r="D19" s="13" t="s">
        <v>766</v>
      </c>
      <c r="E19" s="13" t="s">
        <v>767</v>
      </c>
      <c r="F19" s="13"/>
      <c r="G19" s="899" t="s">
        <v>768</v>
      </c>
      <c r="H19" s="13"/>
      <c r="I19" s="3"/>
      <c r="J19" s="13"/>
      <c r="K19" s="13"/>
      <c r="L19" s="3"/>
      <c r="M19" s="13"/>
      <c r="N19" s="3"/>
      <c r="O19" s="3"/>
      <c r="P19" s="3"/>
      <c r="Q19" s="3"/>
      <c r="R19" s="3"/>
      <c r="S19" s="3"/>
      <c r="T19" s="3"/>
      <c r="U19" s="3"/>
      <c r="V19" s="3"/>
      <c r="W19" s="3"/>
      <c r="X19" s="3"/>
      <c r="Y19" s="3"/>
      <c r="Z19" s="3"/>
    </row>
    <row r="20" spans="1:26" x14ac:dyDescent="0.25">
      <c r="A20" s="3"/>
      <c r="B20" s="623" t="s">
        <v>53</v>
      </c>
      <c r="C20" s="624">
        <v>0</v>
      </c>
      <c r="D20" s="900">
        <v>1.5034545899835E-3</v>
      </c>
      <c r="E20" s="654">
        <f t="shared" ref="E20:E25" si="2">C20*D20</f>
        <v>0</v>
      </c>
      <c r="F20" s="624">
        <f t="shared" ref="F20:F25" si="3">$J$11</f>
        <v>273</v>
      </c>
      <c r="G20" s="903">
        <f t="shared" ref="G20:G25" si="4">E20*F20/1000000</f>
        <v>0</v>
      </c>
      <c r="H20" s="905"/>
      <c r="I20" s="3"/>
      <c r="J20" s="864"/>
      <c r="K20" s="572"/>
      <c r="L20" s="864"/>
      <c r="M20" s="572"/>
      <c r="N20" s="3"/>
      <c r="O20" s="3"/>
      <c r="P20" s="3"/>
      <c r="Q20" s="3"/>
      <c r="R20" s="3"/>
      <c r="S20" s="3"/>
      <c r="T20" s="3"/>
      <c r="U20" s="3"/>
      <c r="V20" s="3"/>
      <c r="W20" s="3"/>
      <c r="X20" s="3"/>
      <c r="Y20" s="3"/>
      <c r="Z20" s="3"/>
    </row>
    <row r="21" spans="1:26" x14ac:dyDescent="0.25">
      <c r="A21" s="3"/>
      <c r="B21" s="623" t="s">
        <v>703</v>
      </c>
      <c r="C21" s="624">
        <v>15596</v>
      </c>
      <c r="D21" s="900">
        <v>6.0138183599339984E-4</v>
      </c>
      <c r="E21" s="654">
        <f t="shared" si="2"/>
        <v>9.3791511141530641</v>
      </c>
      <c r="F21" s="624">
        <f t="shared" si="3"/>
        <v>273</v>
      </c>
      <c r="G21" s="903">
        <f t="shared" si="4"/>
        <v>2.5605082541637868E-3</v>
      </c>
      <c r="H21" s="905"/>
      <c r="I21" s="3"/>
      <c r="J21" s="864"/>
      <c r="K21" s="572"/>
      <c r="L21" s="864"/>
      <c r="M21" s="572"/>
      <c r="N21" s="3"/>
      <c r="O21" s="3"/>
      <c r="P21" s="3"/>
      <c r="Q21" s="3"/>
      <c r="R21" s="3"/>
      <c r="S21" s="3"/>
      <c r="T21" s="3"/>
      <c r="U21" s="3"/>
      <c r="V21" s="3"/>
      <c r="W21" s="3"/>
      <c r="X21" s="3"/>
      <c r="Y21" s="3"/>
      <c r="Z21" s="3"/>
    </row>
    <row r="22" spans="1:26" x14ac:dyDescent="0.25">
      <c r="A22" s="3"/>
      <c r="B22" s="623" t="s">
        <v>753</v>
      </c>
      <c r="C22" s="624">
        <v>436</v>
      </c>
      <c r="D22" s="900">
        <v>6.0138183599339984E-4</v>
      </c>
      <c r="E22" s="654">
        <f t="shared" si="2"/>
        <v>0.26220248049312234</v>
      </c>
      <c r="F22" s="624">
        <f t="shared" si="3"/>
        <v>273</v>
      </c>
      <c r="G22" s="903">
        <f t="shared" si="4"/>
        <v>7.1581277174622397E-5</v>
      </c>
      <c r="H22" s="905"/>
      <c r="I22" s="3"/>
      <c r="J22" s="864"/>
      <c r="K22" s="572"/>
      <c r="L22" s="864"/>
      <c r="M22" s="572"/>
      <c r="N22" s="3"/>
      <c r="O22" s="3"/>
      <c r="P22" s="3"/>
      <c r="Q22" s="3"/>
      <c r="R22" s="3"/>
      <c r="S22" s="3"/>
      <c r="T22" s="3"/>
      <c r="U22" s="3"/>
      <c r="V22" s="3"/>
      <c r="W22" s="3"/>
      <c r="X22" s="3"/>
      <c r="Y22" s="3"/>
      <c r="Z22" s="3"/>
    </row>
    <row r="23" spans="1:26" ht="15.75" customHeight="1" x14ac:dyDescent="0.25">
      <c r="A23" s="3"/>
      <c r="B23" s="623" t="s">
        <v>755</v>
      </c>
      <c r="C23" s="624">
        <v>8139</v>
      </c>
      <c r="D23" s="900">
        <v>6.0138183599339984E-4</v>
      </c>
      <c r="E23" s="654">
        <f t="shared" si="2"/>
        <v>4.8946467631502815</v>
      </c>
      <c r="F23" s="624">
        <f t="shared" si="3"/>
        <v>273</v>
      </c>
      <c r="G23" s="903">
        <f t="shared" si="4"/>
        <v>1.336238566340027E-3</v>
      </c>
      <c r="H23" s="905"/>
      <c r="I23" s="3"/>
      <c r="J23" s="864"/>
      <c r="K23" s="572"/>
      <c r="L23" s="864"/>
      <c r="M23" s="572"/>
      <c r="N23" s="3"/>
      <c r="O23" s="3"/>
      <c r="P23" s="3"/>
      <c r="Q23" s="3"/>
      <c r="R23" s="3"/>
      <c r="S23" s="3"/>
      <c r="T23" s="3"/>
      <c r="U23" s="3"/>
      <c r="V23" s="3"/>
      <c r="W23" s="3"/>
      <c r="X23" s="3"/>
      <c r="Y23" s="3"/>
      <c r="Z23" s="3"/>
    </row>
    <row r="24" spans="1:26" ht="15.75" customHeight="1" x14ac:dyDescent="0.25">
      <c r="A24" s="3"/>
      <c r="B24" s="623" t="s">
        <v>77</v>
      </c>
      <c r="C24" s="624">
        <v>79993</v>
      </c>
      <c r="D24" s="900">
        <v>9.4955026735800017E-5</v>
      </c>
      <c r="E24" s="654">
        <f t="shared" si="2"/>
        <v>7.5957374536768505</v>
      </c>
      <c r="F24" s="624">
        <f t="shared" si="3"/>
        <v>273</v>
      </c>
      <c r="G24" s="903">
        <f t="shared" si="4"/>
        <v>2.07363632485378E-3</v>
      </c>
      <c r="H24" s="905"/>
      <c r="I24" s="3"/>
      <c r="J24" s="864"/>
      <c r="K24" s="572"/>
      <c r="L24" s="864"/>
      <c r="M24" s="572"/>
      <c r="N24" s="3"/>
      <c r="O24" s="3"/>
      <c r="P24" s="3"/>
      <c r="Q24" s="3"/>
      <c r="R24" s="3"/>
      <c r="S24" s="3"/>
      <c r="T24" s="3"/>
      <c r="U24" s="3"/>
      <c r="V24" s="3"/>
      <c r="W24" s="3"/>
      <c r="X24" s="3"/>
      <c r="Y24" s="3"/>
      <c r="Z24" s="3"/>
    </row>
    <row r="25" spans="1:26" ht="15.75" customHeight="1" x14ac:dyDescent="0.25">
      <c r="A25" s="3"/>
      <c r="B25" s="631" t="s">
        <v>129</v>
      </c>
      <c r="C25" s="811">
        <v>8913</v>
      </c>
      <c r="D25" s="910">
        <v>3.7982010694320003E-3</v>
      </c>
      <c r="E25" s="912">
        <f t="shared" si="2"/>
        <v>33.853366131847416</v>
      </c>
      <c r="F25" s="811">
        <f t="shared" si="3"/>
        <v>273</v>
      </c>
      <c r="G25" s="913">
        <f t="shared" si="4"/>
        <v>9.241968953994345E-3</v>
      </c>
      <c r="H25" s="905"/>
      <c r="I25" s="3"/>
      <c r="J25" s="864"/>
      <c r="K25" s="572"/>
      <c r="L25" s="864"/>
      <c r="M25" s="572"/>
      <c r="N25" s="3"/>
      <c r="O25" s="3"/>
      <c r="P25" s="3"/>
      <c r="Q25" s="3"/>
      <c r="R25" s="3"/>
      <c r="S25" s="3"/>
      <c r="T25" s="3"/>
      <c r="U25" s="3"/>
      <c r="V25" s="3"/>
      <c r="W25" s="3"/>
      <c r="X25" s="3"/>
      <c r="Y25" s="3"/>
      <c r="Z25" s="3"/>
    </row>
    <row r="26" spans="1:26" ht="15.75" customHeight="1" x14ac:dyDescent="0.25">
      <c r="A26" s="3"/>
      <c r="B26" s="916"/>
      <c r="C26" s="886"/>
      <c r="D26" s="886"/>
      <c r="E26" s="886"/>
      <c r="F26" s="918" t="s">
        <v>205</v>
      </c>
      <c r="G26" s="920">
        <f>SUM(G20:G25)</f>
        <v>1.5283933376526561E-2</v>
      </c>
      <c r="H26" s="3"/>
      <c r="I26" s="13"/>
      <c r="J26" s="864"/>
      <c r="K26" s="908"/>
      <c r="L26" s="864"/>
      <c r="M26" s="909"/>
      <c r="N26" s="3"/>
      <c r="O26" s="3"/>
      <c r="P26" s="3"/>
      <c r="Q26" s="3"/>
      <c r="R26" s="3"/>
      <c r="S26" s="3"/>
      <c r="T26" s="3"/>
      <c r="U26" s="3"/>
      <c r="V26" s="3"/>
      <c r="W26" s="3"/>
      <c r="X26" s="3"/>
      <c r="Y26" s="3"/>
      <c r="Z26" s="3"/>
    </row>
    <row r="27" spans="1:26" ht="15.75" customHeight="1" x14ac:dyDescent="0.25">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5.75" customHeight="1" x14ac:dyDescent="0.25">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21" customHeight="1" x14ac:dyDescent="0.4">
      <c r="A29" s="3"/>
      <c r="B29" s="842" t="s">
        <v>775</v>
      </c>
      <c r="C29" s="842"/>
      <c r="D29" s="888"/>
      <c r="E29" s="3">
        <v>2011</v>
      </c>
      <c r="F29" s="3"/>
      <c r="G29" s="3"/>
      <c r="H29" s="3"/>
      <c r="I29" s="3"/>
      <c r="J29" s="3"/>
      <c r="K29" s="3"/>
      <c r="L29" s="3"/>
      <c r="M29" s="3"/>
      <c r="N29" s="3"/>
      <c r="O29" s="3"/>
      <c r="P29" s="3"/>
      <c r="Q29" s="3"/>
      <c r="R29" s="3"/>
      <c r="S29" s="3"/>
      <c r="T29" s="3"/>
      <c r="U29" s="3"/>
      <c r="V29" s="3"/>
      <c r="W29" s="3"/>
      <c r="X29" s="3"/>
      <c r="Y29" s="3"/>
      <c r="Z29" s="3"/>
    </row>
    <row r="30" spans="1:26" ht="15.75" customHeight="1" x14ac:dyDescent="0.25">
      <c r="A30" s="3"/>
      <c r="B30" s="3"/>
      <c r="C30" s="3"/>
      <c r="D30" s="20"/>
      <c r="E30" s="3"/>
      <c r="F30" s="3"/>
      <c r="G30" s="3"/>
      <c r="H30" s="3"/>
      <c r="I30" s="3"/>
      <c r="J30" s="3"/>
      <c r="K30" s="3"/>
      <c r="L30" s="3"/>
      <c r="M30" s="3"/>
      <c r="N30" s="3"/>
      <c r="O30" s="3"/>
      <c r="P30" s="3"/>
      <c r="Q30" s="3"/>
      <c r="R30" s="3"/>
      <c r="S30" s="3"/>
      <c r="T30" s="3"/>
      <c r="U30" s="3"/>
      <c r="V30" s="3"/>
      <c r="W30" s="3"/>
      <c r="X30" s="3"/>
      <c r="Y30" s="3"/>
      <c r="Z30" s="3"/>
    </row>
    <row r="31" spans="1:26" ht="15.75" customHeight="1" x14ac:dyDescent="0.25">
      <c r="A31" s="3"/>
      <c r="B31" s="797"/>
      <c r="C31" s="800" t="s">
        <v>685</v>
      </c>
      <c r="D31" s="800" t="s">
        <v>738</v>
      </c>
      <c r="E31" s="800" t="s">
        <v>686</v>
      </c>
      <c r="F31" s="800" t="s">
        <v>688</v>
      </c>
      <c r="G31" s="801" t="s">
        <v>686</v>
      </c>
      <c r="H31" s="13"/>
      <c r="I31" s="3"/>
      <c r="J31" s="3"/>
      <c r="K31" s="13"/>
      <c r="L31" s="3"/>
      <c r="M31" s="3"/>
      <c r="N31" s="3"/>
      <c r="O31" s="3"/>
      <c r="P31" s="3"/>
      <c r="Q31" s="3"/>
      <c r="R31" s="3"/>
      <c r="S31" s="3"/>
      <c r="T31" s="3"/>
      <c r="U31" s="3"/>
      <c r="V31" s="3"/>
      <c r="W31" s="3"/>
      <c r="X31" s="3"/>
      <c r="Y31" s="3"/>
      <c r="Z31" s="3"/>
    </row>
    <row r="32" spans="1:26" ht="15.75" customHeight="1" x14ac:dyDescent="0.25">
      <c r="A32" s="3"/>
      <c r="B32" s="230" t="s">
        <v>9</v>
      </c>
      <c r="C32" s="13" t="s">
        <v>690</v>
      </c>
      <c r="D32" s="13" t="s">
        <v>776</v>
      </c>
      <c r="E32" s="13" t="s">
        <v>777</v>
      </c>
      <c r="F32" s="13"/>
      <c r="G32" s="899" t="s">
        <v>763</v>
      </c>
      <c r="H32" s="13"/>
      <c r="I32" s="3"/>
      <c r="J32" s="13"/>
      <c r="K32" s="13"/>
      <c r="L32" s="3"/>
      <c r="M32" s="3"/>
      <c r="N32" s="3"/>
      <c r="O32" s="3"/>
      <c r="P32" s="3"/>
      <c r="Q32" s="3"/>
      <c r="R32" s="3"/>
      <c r="S32" s="3"/>
      <c r="T32" s="3"/>
      <c r="U32" s="3"/>
      <c r="V32" s="3"/>
      <c r="W32" s="3"/>
      <c r="X32" s="3"/>
      <c r="Y32" s="3"/>
      <c r="Z32" s="3"/>
    </row>
    <row r="33" spans="1:26" ht="15.75" customHeight="1" x14ac:dyDescent="0.25">
      <c r="A33" s="3"/>
      <c r="B33" s="623" t="s">
        <v>53</v>
      </c>
      <c r="C33" s="624">
        <v>0</v>
      </c>
      <c r="D33" s="900">
        <v>0.3006909179967</v>
      </c>
      <c r="E33" s="648">
        <f t="shared" ref="E33:E38" si="5">C33*D33</f>
        <v>0</v>
      </c>
      <c r="F33" s="624">
        <f t="shared" ref="F33:F38" si="6">$J$10</f>
        <v>27.9</v>
      </c>
      <c r="G33" s="929">
        <f t="shared" ref="G33:G38" si="7">E33*F33/1000000</f>
        <v>0</v>
      </c>
      <c r="H33" s="905"/>
      <c r="I33" s="3"/>
      <c r="J33" s="864"/>
      <c r="K33" s="865"/>
      <c r="L33" s="864"/>
      <c r="M33" s="572"/>
      <c r="N33" s="3"/>
      <c r="O33" s="3"/>
      <c r="P33" s="3"/>
      <c r="Q33" s="3"/>
      <c r="R33" s="3"/>
      <c r="S33" s="3"/>
      <c r="T33" s="3"/>
      <c r="U33" s="3"/>
      <c r="V33" s="3"/>
      <c r="W33" s="3"/>
      <c r="X33" s="3"/>
      <c r="Y33" s="3"/>
      <c r="Z33" s="3"/>
    </row>
    <row r="34" spans="1:26" ht="15.75" customHeight="1" x14ac:dyDescent="0.25">
      <c r="A34" s="3"/>
      <c r="B34" s="623" t="s">
        <v>703</v>
      </c>
      <c r="C34" s="624">
        <v>15596</v>
      </c>
      <c r="D34" s="900">
        <v>1.0023030599889999E-2</v>
      </c>
      <c r="E34" s="648">
        <f t="shared" si="5"/>
        <v>156.31918523588442</v>
      </c>
      <c r="F34" s="624">
        <f t="shared" si="6"/>
        <v>27.9</v>
      </c>
      <c r="G34" s="929">
        <f t="shared" si="7"/>
        <v>4.3613052680811755E-3</v>
      </c>
      <c r="H34" s="905"/>
      <c r="I34" s="3"/>
      <c r="J34" s="864"/>
      <c r="K34" s="865"/>
      <c r="L34" s="864"/>
      <c r="M34" s="572"/>
      <c r="N34" s="3"/>
      <c r="O34" s="3"/>
      <c r="P34" s="3"/>
      <c r="Q34" s="3"/>
      <c r="R34" s="3"/>
      <c r="S34" s="3"/>
      <c r="T34" s="3"/>
      <c r="U34" s="3"/>
      <c r="V34" s="3"/>
      <c r="W34" s="3"/>
      <c r="X34" s="3"/>
      <c r="Y34" s="3"/>
      <c r="Z34" s="3"/>
    </row>
    <row r="35" spans="1:26" ht="15.75" customHeight="1" x14ac:dyDescent="0.25">
      <c r="A35" s="3"/>
      <c r="B35" s="623" t="s">
        <v>753</v>
      </c>
      <c r="C35" s="624">
        <v>436</v>
      </c>
      <c r="D35" s="900">
        <v>1.0023030599889999E-2</v>
      </c>
      <c r="E35" s="648">
        <f t="shared" si="5"/>
        <v>4.3700413415520396</v>
      </c>
      <c r="F35" s="624">
        <f t="shared" si="6"/>
        <v>27.9</v>
      </c>
      <c r="G35" s="929">
        <f t="shared" si="7"/>
        <v>1.2192415342930189E-4</v>
      </c>
      <c r="H35" s="905"/>
      <c r="I35" s="3"/>
      <c r="J35" s="864"/>
      <c r="K35" s="865"/>
      <c r="L35" s="864"/>
      <c r="M35" s="572"/>
      <c r="N35" s="3"/>
      <c r="O35" s="3"/>
      <c r="P35" s="3"/>
      <c r="Q35" s="3"/>
      <c r="R35" s="3"/>
      <c r="S35" s="3"/>
      <c r="T35" s="3"/>
      <c r="U35" s="3"/>
      <c r="V35" s="3"/>
      <c r="W35" s="3"/>
      <c r="X35" s="3"/>
      <c r="Y35" s="3"/>
      <c r="Z35" s="3"/>
    </row>
    <row r="36" spans="1:26" ht="15.75" customHeight="1" x14ac:dyDescent="0.25">
      <c r="A36" s="3"/>
      <c r="B36" s="623" t="s">
        <v>755</v>
      </c>
      <c r="C36" s="624">
        <v>8139</v>
      </c>
      <c r="D36" s="900">
        <v>1.0023030599889999E-2</v>
      </c>
      <c r="E36" s="648">
        <f t="shared" si="5"/>
        <v>81.577446052504698</v>
      </c>
      <c r="F36" s="624">
        <f t="shared" si="6"/>
        <v>27.9</v>
      </c>
      <c r="G36" s="929">
        <f t="shared" si="7"/>
        <v>2.2760107448648809E-3</v>
      </c>
      <c r="H36" s="905"/>
      <c r="I36" s="3"/>
      <c r="J36" s="864"/>
      <c r="K36" s="865"/>
      <c r="L36" s="864"/>
      <c r="M36" s="572"/>
      <c r="N36" s="3"/>
      <c r="O36" s="3"/>
      <c r="P36" s="3"/>
      <c r="Q36" s="3"/>
      <c r="R36" s="3"/>
      <c r="S36" s="3"/>
      <c r="T36" s="3"/>
      <c r="U36" s="3"/>
      <c r="V36" s="3"/>
      <c r="W36" s="3"/>
      <c r="X36" s="3"/>
      <c r="Y36" s="3"/>
      <c r="Z36" s="3"/>
    </row>
    <row r="37" spans="1:26" ht="15.75" customHeight="1" x14ac:dyDescent="0.25">
      <c r="A37" s="3"/>
      <c r="B37" s="623" t="s">
        <v>77</v>
      </c>
      <c r="C37" s="624">
        <v>79993</v>
      </c>
      <c r="D37" s="900">
        <v>4.7477513367900001E-3</v>
      </c>
      <c r="E37" s="648">
        <f t="shared" si="5"/>
        <v>379.78687268384249</v>
      </c>
      <c r="F37" s="624">
        <f t="shared" si="6"/>
        <v>27.9</v>
      </c>
      <c r="G37" s="929">
        <f t="shared" si="7"/>
        <v>1.0596053747879204E-2</v>
      </c>
      <c r="H37" s="905"/>
      <c r="I37" s="3"/>
      <c r="J37" s="864"/>
      <c r="K37" s="865"/>
      <c r="L37" s="864"/>
      <c r="M37" s="572"/>
      <c r="N37" s="3"/>
      <c r="O37" s="3"/>
      <c r="P37" s="3"/>
      <c r="Q37" s="3"/>
      <c r="R37" s="3"/>
      <c r="S37" s="3"/>
      <c r="T37" s="3"/>
      <c r="U37" s="3"/>
      <c r="V37" s="3"/>
      <c r="W37" s="3"/>
      <c r="X37" s="3"/>
      <c r="Y37" s="3"/>
      <c r="Z37" s="3"/>
    </row>
    <row r="38" spans="1:26" ht="15.75" customHeight="1" x14ac:dyDescent="0.25">
      <c r="A38" s="3"/>
      <c r="B38" s="623" t="s">
        <v>129</v>
      </c>
      <c r="C38" s="624">
        <v>8913</v>
      </c>
      <c r="D38" s="900">
        <v>0.28486508020740003</v>
      </c>
      <c r="E38" s="648">
        <f t="shared" si="5"/>
        <v>2539.0024598885566</v>
      </c>
      <c r="F38" s="624">
        <f t="shared" si="6"/>
        <v>27.9</v>
      </c>
      <c r="G38" s="929">
        <f t="shared" si="7"/>
        <v>7.0838168630890722E-2</v>
      </c>
      <c r="H38" s="905"/>
      <c r="I38" s="3"/>
      <c r="J38" s="864"/>
      <c r="K38" s="865"/>
      <c r="L38" s="864"/>
      <c r="M38" s="572"/>
      <c r="N38" s="3"/>
      <c r="O38" s="3"/>
      <c r="P38" s="3"/>
      <c r="Q38" s="3"/>
      <c r="R38" s="3"/>
      <c r="S38" s="3"/>
      <c r="T38" s="3"/>
      <c r="U38" s="3"/>
      <c r="V38" s="3"/>
      <c r="W38" s="3"/>
      <c r="X38" s="3"/>
      <c r="Y38" s="3"/>
      <c r="Z38" s="3"/>
    </row>
    <row r="39" spans="1:26" ht="15.75" customHeight="1" x14ac:dyDescent="0.25">
      <c r="A39" s="3"/>
      <c r="B39" s="318"/>
      <c r="C39" s="532"/>
      <c r="D39" s="532"/>
      <c r="E39" s="532"/>
      <c r="F39" s="936" t="s">
        <v>205</v>
      </c>
      <c r="G39" s="939">
        <f>SUM(G33:G38)</f>
        <v>8.819346254514529E-2</v>
      </c>
      <c r="H39" s="3"/>
      <c r="I39" s="3"/>
      <c r="J39" s="864"/>
      <c r="K39" s="908"/>
      <c r="L39" s="3"/>
      <c r="M39" s="909"/>
      <c r="N39" s="3"/>
      <c r="O39" s="3"/>
      <c r="P39" s="3"/>
      <c r="Q39" s="3"/>
      <c r="R39" s="3"/>
      <c r="S39" s="3"/>
      <c r="T39" s="3"/>
      <c r="U39" s="3"/>
      <c r="V39" s="3"/>
      <c r="W39" s="3"/>
      <c r="X39" s="3"/>
      <c r="Y39" s="3"/>
      <c r="Z39" s="3"/>
    </row>
    <row r="40" spans="1:26" ht="15.75" customHeight="1" x14ac:dyDescent="0.25">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x14ac:dyDescent="0.25">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x14ac:dyDescent="0.25">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x14ac:dyDescent="0.25">
      <c r="A43" s="3"/>
      <c r="B43" s="39" t="s">
        <v>783</v>
      </c>
      <c r="C43" s="39"/>
      <c r="D43" s="942"/>
      <c r="E43" s="39"/>
      <c r="F43" s="3"/>
      <c r="G43" s="3"/>
      <c r="H43" s="3"/>
      <c r="I43" s="3"/>
      <c r="J43" s="3"/>
      <c r="K43" s="3"/>
      <c r="L43" s="3"/>
      <c r="M43" s="3"/>
      <c r="N43" s="3"/>
      <c r="O43" s="3"/>
      <c r="P43" s="3"/>
      <c r="Q43" s="3"/>
      <c r="R43" s="3"/>
      <c r="S43" s="3"/>
      <c r="T43" s="3"/>
      <c r="U43" s="3"/>
      <c r="V43" s="3"/>
      <c r="W43" s="3"/>
      <c r="X43" s="3"/>
      <c r="Y43" s="3"/>
      <c r="Z43" s="3"/>
    </row>
    <row r="44" spans="1:26" ht="15.75" customHeight="1" x14ac:dyDescent="0.25">
      <c r="A44" s="3"/>
      <c r="B44" s="3"/>
      <c r="C44" s="3"/>
      <c r="D44" s="20"/>
      <c r="E44" s="3"/>
      <c r="F44" s="3"/>
      <c r="G44" s="3"/>
      <c r="H44" s="3"/>
      <c r="I44" s="3"/>
      <c r="J44" s="3"/>
      <c r="K44" s="3"/>
      <c r="L44" s="3"/>
      <c r="M44" s="3"/>
      <c r="N44" s="3"/>
      <c r="O44" s="3"/>
      <c r="P44" s="3"/>
      <c r="Q44" s="3"/>
      <c r="R44" s="3"/>
      <c r="S44" s="3"/>
      <c r="T44" s="3"/>
      <c r="U44" s="3"/>
      <c r="V44" s="3"/>
      <c r="W44" s="3"/>
      <c r="X44" s="3"/>
      <c r="Y44" s="3"/>
      <c r="Z44" s="3"/>
    </row>
    <row r="45" spans="1:26" ht="15.75" customHeight="1" x14ac:dyDescent="0.25">
      <c r="A45" s="3"/>
      <c r="B45" s="797"/>
      <c r="C45" s="755" t="s">
        <v>686</v>
      </c>
      <c r="D45" s="755" t="s">
        <v>686</v>
      </c>
      <c r="E45" s="755" t="s">
        <v>686</v>
      </c>
      <c r="F45" s="755" t="s">
        <v>686</v>
      </c>
      <c r="G45" s="13"/>
      <c r="H45" s="3"/>
      <c r="I45" s="3"/>
      <c r="J45" s="3"/>
      <c r="K45" s="3"/>
      <c r="L45" s="3"/>
      <c r="M45" s="3"/>
      <c r="N45" s="3"/>
      <c r="O45" s="3"/>
      <c r="P45" s="3"/>
      <c r="Q45" s="3"/>
      <c r="R45" s="3"/>
      <c r="S45" s="3"/>
      <c r="T45" s="3"/>
      <c r="U45" s="3"/>
      <c r="V45" s="3"/>
      <c r="W45" s="3"/>
      <c r="X45" s="3"/>
      <c r="Y45" s="3"/>
      <c r="Z45" s="3"/>
    </row>
    <row r="46" spans="1:26" ht="15.75" customHeight="1" x14ac:dyDescent="0.25">
      <c r="A46" s="3"/>
      <c r="B46" s="278"/>
      <c r="C46" s="856" t="s">
        <v>788</v>
      </c>
      <c r="D46" s="856" t="s">
        <v>789</v>
      </c>
      <c r="E46" s="856" t="s">
        <v>790</v>
      </c>
      <c r="F46" s="856" t="s">
        <v>205</v>
      </c>
      <c r="G46" s="13"/>
      <c r="H46" s="3"/>
      <c r="I46" s="3"/>
      <c r="J46" s="3"/>
      <c r="K46" s="3"/>
      <c r="L46" s="3"/>
      <c r="M46" s="3"/>
      <c r="N46" s="3"/>
      <c r="O46" s="3"/>
      <c r="P46" s="3"/>
      <c r="Q46" s="3"/>
      <c r="R46" s="3"/>
      <c r="S46" s="3"/>
      <c r="T46" s="3"/>
      <c r="U46" s="3"/>
      <c r="V46" s="3"/>
      <c r="W46" s="3"/>
      <c r="X46" s="3"/>
      <c r="Y46" s="3"/>
      <c r="Z46" s="3"/>
    </row>
    <row r="47" spans="1:26" ht="15.75" customHeight="1" x14ac:dyDescent="0.25">
      <c r="A47" s="3"/>
      <c r="B47" s="230" t="s">
        <v>9</v>
      </c>
      <c r="C47" s="856" t="s">
        <v>791</v>
      </c>
      <c r="D47" s="856" t="s">
        <v>792</v>
      </c>
      <c r="E47" s="856" t="s">
        <v>793</v>
      </c>
      <c r="F47" s="856" t="s">
        <v>794</v>
      </c>
      <c r="G47" s="13"/>
      <c r="H47" s="3"/>
      <c r="I47" s="3"/>
      <c r="J47" s="3"/>
      <c r="K47" s="3"/>
      <c r="L47" s="3"/>
      <c r="M47" s="3"/>
      <c r="N47" s="3"/>
      <c r="O47" s="3"/>
      <c r="P47" s="3"/>
      <c r="Q47" s="3"/>
      <c r="R47" s="3"/>
      <c r="S47" s="3"/>
      <c r="T47" s="3"/>
      <c r="U47" s="3"/>
      <c r="V47" s="3"/>
      <c r="W47" s="3"/>
      <c r="X47" s="3"/>
      <c r="Y47" s="3"/>
      <c r="Z47" s="3"/>
    </row>
    <row r="48" spans="1:26" ht="15.75" customHeight="1" x14ac:dyDescent="0.25">
      <c r="A48" s="3"/>
      <c r="B48" s="623" t="s">
        <v>53</v>
      </c>
      <c r="C48" s="946">
        <f t="shared" ref="C48:C52" si="8">G9</f>
        <v>0</v>
      </c>
      <c r="D48" s="947">
        <f t="shared" ref="D48:D53" si="9">G20</f>
        <v>0</v>
      </c>
      <c r="E48" s="947">
        <f t="shared" ref="E48:E53" si="10">G33</f>
        <v>0</v>
      </c>
      <c r="F48" s="947">
        <f t="shared" ref="F48:F53" si="11">C48+D48+E48</f>
        <v>0</v>
      </c>
      <c r="G48" s="948"/>
      <c r="H48" s="3"/>
      <c r="I48" s="3"/>
      <c r="J48" s="3"/>
      <c r="K48" s="3"/>
      <c r="L48" s="3"/>
      <c r="M48" s="3"/>
      <c r="N48" s="3"/>
      <c r="O48" s="3"/>
      <c r="P48" s="3"/>
      <c r="Q48" s="3"/>
      <c r="R48" s="3"/>
      <c r="S48" s="3"/>
      <c r="T48" s="3"/>
      <c r="U48" s="3"/>
      <c r="V48" s="3"/>
      <c r="W48" s="3"/>
      <c r="X48" s="3"/>
      <c r="Y48" s="3"/>
      <c r="Z48" s="3"/>
    </row>
    <row r="49" spans="1:26" ht="15.75" customHeight="1" x14ac:dyDescent="0.25">
      <c r="A49" s="3"/>
      <c r="B49" s="623" t="s">
        <v>703</v>
      </c>
      <c r="C49" s="946">
        <f t="shared" si="8"/>
        <v>1.1524622558165332</v>
      </c>
      <c r="D49" s="947">
        <f t="shared" si="9"/>
        <v>2.5605082541637868E-3</v>
      </c>
      <c r="E49" s="947">
        <f t="shared" si="10"/>
        <v>4.3613052680811755E-3</v>
      </c>
      <c r="F49" s="947">
        <f t="shared" si="11"/>
        <v>1.159384069338778</v>
      </c>
      <c r="G49" s="948"/>
      <c r="H49" s="3"/>
      <c r="I49" s="3"/>
      <c r="J49" s="3"/>
      <c r="K49" s="3"/>
      <c r="L49" s="3"/>
      <c r="M49" s="3"/>
      <c r="N49" s="3"/>
      <c r="O49" s="3"/>
      <c r="P49" s="3"/>
      <c r="Q49" s="3"/>
      <c r="R49" s="3"/>
      <c r="S49" s="3"/>
      <c r="T49" s="3"/>
      <c r="U49" s="3"/>
      <c r="V49" s="3"/>
      <c r="W49" s="3"/>
      <c r="X49" s="3"/>
      <c r="Y49" s="3"/>
      <c r="Z49" s="3"/>
    </row>
    <row r="50" spans="1:26" ht="15.75" customHeight="1" x14ac:dyDescent="0.25">
      <c r="A50" s="3"/>
      <c r="B50" s="623" t="s">
        <v>753</v>
      </c>
      <c r="C50" s="946">
        <f t="shared" si="8"/>
        <v>3.1884537805561462E-2</v>
      </c>
      <c r="D50" s="947">
        <f t="shared" si="9"/>
        <v>7.1581277174622397E-5</v>
      </c>
      <c r="E50" s="947">
        <f t="shared" si="10"/>
        <v>1.2192415342930189E-4</v>
      </c>
      <c r="F50" s="947">
        <f t="shared" si="11"/>
        <v>3.2078043236165386E-2</v>
      </c>
      <c r="G50" s="948"/>
      <c r="H50" s="3"/>
      <c r="I50" s="3"/>
      <c r="J50" s="3"/>
      <c r="K50" s="3"/>
      <c r="L50" s="3"/>
      <c r="M50" s="3"/>
      <c r="N50" s="3"/>
      <c r="O50" s="3"/>
      <c r="P50" s="3"/>
      <c r="Q50" s="3"/>
      <c r="R50" s="3"/>
      <c r="S50" s="3"/>
      <c r="T50" s="3"/>
      <c r="U50" s="3"/>
      <c r="V50" s="3"/>
      <c r="W50" s="3"/>
      <c r="X50" s="3"/>
      <c r="Y50" s="3"/>
      <c r="Z50" s="3"/>
    </row>
    <row r="51" spans="1:26" ht="15.75" customHeight="1" x14ac:dyDescent="0.25">
      <c r="A51" s="3"/>
      <c r="B51" s="623" t="s">
        <v>755</v>
      </c>
      <c r="C51" s="946">
        <f t="shared" si="8"/>
        <v>0.50234547219610759</v>
      </c>
      <c r="D51" s="947">
        <f t="shared" si="9"/>
        <v>1.336238566340027E-3</v>
      </c>
      <c r="E51" s="947">
        <f t="shared" si="10"/>
        <v>2.2760107448648809E-3</v>
      </c>
      <c r="F51" s="947">
        <f t="shared" si="11"/>
        <v>0.50595772150731244</v>
      </c>
      <c r="G51" s="948"/>
      <c r="H51" s="3"/>
      <c r="I51" s="3"/>
      <c r="J51" s="3"/>
      <c r="K51" s="3"/>
      <c r="L51" s="3"/>
      <c r="M51" s="3"/>
      <c r="N51" s="3"/>
      <c r="O51" s="3"/>
      <c r="P51" s="3"/>
      <c r="Q51" s="3"/>
      <c r="R51" s="3"/>
      <c r="S51" s="3"/>
      <c r="T51" s="3"/>
      <c r="U51" s="3"/>
      <c r="V51" s="3"/>
      <c r="W51" s="3"/>
      <c r="X51" s="3"/>
      <c r="Y51" s="3"/>
      <c r="Z51" s="3"/>
    </row>
    <row r="52" spans="1:26" ht="15.75" customHeight="1" x14ac:dyDescent="0.25">
      <c r="A52" s="3"/>
      <c r="B52" s="623" t="s">
        <v>77</v>
      </c>
      <c r="C52" s="946">
        <f t="shared" si="8"/>
        <v>4.2400523536439811</v>
      </c>
      <c r="D52" s="947">
        <f t="shared" si="9"/>
        <v>2.07363632485378E-3</v>
      </c>
      <c r="E52" s="947">
        <f t="shared" si="10"/>
        <v>1.0596053747879204E-2</v>
      </c>
      <c r="F52" s="947">
        <f t="shared" si="11"/>
        <v>4.2527220437167141</v>
      </c>
      <c r="G52" s="948"/>
      <c r="H52" s="3"/>
      <c r="I52" s="3"/>
      <c r="J52" s="3"/>
      <c r="K52" s="3"/>
      <c r="L52" s="3"/>
      <c r="M52" s="3"/>
      <c r="N52" s="3"/>
      <c r="O52" s="3"/>
      <c r="P52" s="3"/>
      <c r="Q52" s="3"/>
      <c r="R52" s="3"/>
      <c r="S52" s="3"/>
      <c r="T52" s="3"/>
      <c r="U52" s="3"/>
      <c r="V52" s="3"/>
      <c r="W52" s="3"/>
      <c r="X52" s="3"/>
      <c r="Y52" s="3"/>
      <c r="Z52" s="3"/>
    </row>
    <row r="53" spans="1:26" ht="15.75" customHeight="1" x14ac:dyDescent="0.25">
      <c r="A53" s="3"/>
      <c r="B53" s="623" t="s">
        <v>129</v>
      </c>
      <c r="C53" s="2398">
        <v>0</v>
      </c>
      <c r="D53" s="947">
        <f t="shared" si="9"/>
        <v>9.241968953994345E-3</v>
      </c>
      <c r="E53" s="947">
        <f t="shared" si="10"/>
        <v>7.0838168630890722E-2</v>
      </c>
      <c r="F53" s="947">
        <f t="shared" si="11"/>
        <v>8.0080137584885067E-2</v>
      </c>
      <c r="G53" s="948"/>
      <c r="H53" s="3"/>
      <c r="I53" s="3"/>
      <c r="J53" s="3"/>
      <c r="K53" s="3"/>
      <c r="L53" s="3"/>
      <c r="M53" s="3"/>
      <c r="N53" s="3"/>
      <c r="O53" s="3"/>
      <c r="P53" s="3"/>
      <c r="Q53" s="3"/>
      <c r="R53" s="3"/>
      <c r="S53" s="3"/>
      <c r="T53" s="3"/>
      <c r="U53" s="3"/>
      <c r="V53" s="3"/>
      <c r="W53" s="3"/>
      <c r="X53" s="3"/>
      <c r="Y53" s="3"/>
      <c r="Z53" s="3"/>
    </row>
    <row r="54" spans="1:26" ht="15.75" customHeight="1" x14ac:dyDescent="0.25">
      <c r="A54" s="3"/>
      <c r="B54" s="318"/>
      <c r="C54" s="532"/>
      <c r="D54" s="532"/>
      <c r="E54" s="951" t="s">
        <v>205</v>
      </c>
      <c r="F54" s="952">
        <f>SUM(F48:F53)</f>
        <v>6.0302220153838553</v>
      </c>
      <c r="G54" s="953"/>
      <c r="H54" s="3"/>
      <c r="I54" s="3"/>
      <c r="J54" s="3"/>
      <c r="K54" s="3"/>
      <c r="L54" s="3"/>
      <c r="M54" s="3"/>
      <c r="N54" s="3"/>
      <c r="O54" s="3"/>
      <c r="P54" s="3"/>
      <c r="Q54" s="3"/>
      <c r="R54" s="3"/>
      <c r="S54" s="3"/>
      <c r="T54" s="3"/>
      <c r="U54" s="3"/>
      <c r="V54" s="3"/>
      <c r="W54" s="3"/>
      <c r="X54" s="3"/>
      <c r="Y54" s="3"/>
      <c r="Z54" s="3"/>
    </row>
    <row r="55" spans="1:26" ht="15.75" customHeight="1" thickTop="1" thickBot="1" x14ac:dyDescent="0.3">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thickTop="1" x14ac:dyDescent="0.25">
      <c r="A56" s="3"/>
      <c r="B56" s="2399"/>
      <c r="C56" s="2400" t="s">
        <v>3</v>
      </c>
      <c r="D56" s="2400" t="s">
        <v>18</v>
      </c>
      <c r="E56" s="2401" t="s">
        <v>14</v>
      </c>
      <c r="F56" s="2401" t="s">
        <v>205</v>
      </c>
      <c r="G56" s="3"/>
      <c r="H56" s="3"/>
      <c r="I56" s="3"/>
      <c r="J56" s="3"/>
      <c r="K56" s="3"/>
      <c r="L56" s="3"/>
      <c r="M56" s="3"/>
      <c r="N56" s="3"/>
      <c r="O56" s="3"/>
      <c r="P56" s="3"/>
      <c r="Q56" s="3"/>
      <c r="R56" s="3"/>
      <c r="S56" s="3"/>
      <c r="T56" s="3"/>
      <c r="U56" s="3"/>
      <c r="V56" s="3"/>
      <c r="W56" s="3"/>
      <c r="X56" s="3"/>
      <c r="Y56" s="3"/>
      <c r="Z56" s="3"/>
    </row>
    <row r="57" spans="1:26" ht="15.75" customHeight="1" thickBot="1" x14ac:dyDescent="0.3">
      <c r="A57" s="3"/>
      <c r="B57" s="2402" t="s">
        <v>2185</v>
      </c>
      <c r="C57" s="2403" t="s">
        <v>2186</v>
      </c>
      <c r="D57" s="2403" t="s">
        <v>2186</v>
      </c>
      <c r="E57" s="2404" t="s">
        <v>2186</v>
      </c>
      <c r="F57" s="2404" t="s">
        <v>2186</v>
      </c>
      <c r="G57" s="3"/>
      <c r="H57" s="3"/>
      <c r="I57" s="3"/>
      <c r="J57" s="3"/>
      <c r="K57" s="3"/>
      <c r="L57" s="3"/>
      <c r="M57" s="3"/>
      <c r="N57" s="3"/>
      <c r="O57" s="3"/>
      <c r="P57" s="3"/>
      <c r="Q57" s="3"/>
      <c r="R57" s="3"/>
      <c r="S57" s="3"/>
      <c r="T57" s="3"/>
      <c r="U57" s="3"/>
      <c r="V57" s="3"/>
      <c r="W57" s="3"/>
      <c r="X57" s="3"/>
      <c r="Y57" s="3"/>
      <c r="Z57" s="3"/>
    </row>
    <row r="58" spans="1:26" ht="15.75" customHeight="1" x14ac:dyDescent="0.25">
      <c r="A58" s="3"/>
      <c r="B58" s="2405" t="s">
        <v>53</v>
      </c>
      <c r="C58" s="2406">
        <f t="shared" ref="C58:F58" si="12">C48</f>
        <v>0</v>
      </c>
      <c r="D58" s="2406">
        <f t="shared" si="12"/>
        <v>0</v>
      </c>
      <c r="E58" s="2407">
        <f t="shared" si="12"/>
        <v>0</v>
      </c>
      <c r="F58" s="2407">
        <f t="shared" si="12"/>
        <v>0</v>
      </c>
      <c r="G58" s="3"/>
      <c r="H58" s="3"/>
      <c r="I58" s="3"/>
      <c r="J58" s="3"/>
      <c r="K58" s="3"/>
      <c r="L58" s="3"/>
      <c r="M58" s="3"/>
      <c r="N58" s="3"/>
      <c r="O58" s="3"/>
      <c r="P58" s="3"/>
      <c r="Q58" s="3"/>
      <c r="R58" s="3"/>
      <c r="S58" s="3"/>
      <c r="T58" s="3"/>
      <c r="U58" s="3"/>
      <c r="V58" s="3"/>
      <c r="W58" s="3"/>
      <c r="X58" s="3"/>
      <c r="Y58" s="3"/>
      <c r="Z58" s="3"/>
    </row>
    <row r="59" spans="1:26" ht="15.75" customHeight="1" x14ac:dyDescent="0.25">
      <c r="A59" s="3"/>
      <c r="B59" s="2408" t="s">
        <v>166</v>
      </c>
      <c r="C59" s="2409">
        <f t="shared" ref="C59:F59" si="13">C52+C51</f>
        <v>4.7423978258400883</v>
      </c>
      <c r="D59" s="2409">
        <f t="shared" si="13"/>
        <v>3.4098748911938069E-3</v>
      </c>
      <c r="E59" s="2410">
        <f t="shared" si="13"/>
        <v>1.2872064492744084E-2</v>
      </c>
      <c r="F59" s="2410">
        <f t="shared" si="13"/>
        <v>4.7586797652240262</v>
      </c>
      <c r="G59" s="3"/>
      <c r="H59" s="3"/>
      <c r="I59" s="3"/>
      <c r="J59" s="3"/>
      <c r="K59" s="3"/>
      <c r="L59" s="3"/>
      <c r="M59" s="3"/>
      <c r="N59" s="3"/>
      <c r="O59" s="3"/>
      <c r="P59" s="3"/>
      <c r="Q59" s="3"/>
      <c r="R59" s="3"/>
      <c r="S59" s="3"/>
      <c r="T59" s="3"/>
      <c r="U59" s="3"/>
      <c r="V59" s="3"/>
      <c r="W59" s="3"/>
      <c r="X59" s="3"/>
      <c r="Y59" s="3"/>
      <c r="Z59" s="3"/>
    </row>
    <row r="60" spans="1:26" ht="15.75" customHeight="1" x14ac:dyDescent="0.25">
      <c r="A60" s="3"/>
      <c r="B60" s="2408" t="s">
        <v>179</v>
      </c>
      <c r="C60" s="2409">
        <f t="shared" ref="C60:F60" si="14">C49+C50</f>
        <v>1.1843467936220946</v>
      </c>
      <c r="D60" s="2409">
        <f t="shared" si="14"/>
        <v>2.6320895313384093E-3</v>
      </c>
      <c r="E60" s="2410">
        <f t="shared" si="14"/>
        <v>4.4832294215104776E-3</v>
      </c>
      <c r="F60" s="2410">
        <f t="shared" si="14"/>
        <v>1.1914621125749434</v>
      </c>
      <c r="G60" s="3"/>
      <c r="H60" s="3"/>
      <c r="I60" s="3"/>
      <c r="J60" s="3"/>
      <c r="K60" s="3"/>
      <c r="L60" s="3"/>
      <c r="M60" s="3"/>
      <c r="N60" s="3"/>
      <c r="O60" s="3"/>
      <c r="P60" s="3"/>
      <c r="Q60" s="3"/>
      <c r="R60" s="3"/>
      <c r="S60" s="3"/>
      <c r="T60" s="3"/>
      <c r="U60" s="3"/>
      <c r="V60" s="3"/>
      <c r="W60" s="3"/>
      <c r="X60" s="3"/>
      <c r="Y60" s="3"/>
      <c r="Z60" s="3"/>
    </row>
    <row r="61" spans="1:26" ht="15.75" customHeight="1" thickBot="1" x14ac:dyDescent="0.3">
      <c r="A61" s="3"/>
      <c r="B61" s="2411" t="s">
        <v>129</v>
      </c>
      <c r="C61" s="2412">
        <f t="shared" ref="C61:F61" si="15">C53</f>
        <v>0</v>
      </c>
      <c r="D61" s="2412">
        <f t="shared" si="15"/>
        <v>9.241968953994345E-3</v>
      </c>
      <c r="E61" s="2413">
        <f t="shared" si="15"/>
        <v>7.0838168630890722E-2</v>
      </c>
      <c r="F61" s="2413">
        <f t="shared" si="15"/>
        <v>8.0080137584885067E-2</v>
      </c>
      <c r="G61" s="3"/>
      <c r="H61" s="3"/>
      <c r="I61" s="3"/>
      <c r="J61" s="3"/>
      <c r="K61" s="3"/>
      <c r="L61" s="3"/>
      <c r="M61" s="3"/>
      <c r="N61" s="3"/>
      <c r="O61" s="3"/>
      <c r="P61" s="3"/>
      <c r="Q61" s="3"/>
      <c r="R61" s="3"/>
      <c r="S61" s="3"/>
      <c r="T61" s="3"/>
      <c r="U61" s="3"/>
      <c r="V61" s="3"/>
      <c r="W61" s="3"/>
      <c r="X61" s="3"/>
      <c r="Y61" s="3"/>
      <c r="Z61" s="3"/>
    </row>
    <row r="62" spans="1:26" ht="15.75" customHeight="1" thickBot="1" x14ac:dyDescent="0.3">
      <c r="A62" s="3"/>
      <c r="B62" s="2414"/>
      <c r="C62" s="2415"/>
      <c r="D62" s="2415"/>
      <c r="E62" s="2416" t="s">
        <v>205</v>
      </c>
      <c r="F62" s="2417">
        <f>SUM(F58:F61)</f>
        <v>6.0302220153838553</v>
      </c>
      <c r="G62" s="3"/>
      <c r="H62" s="3"/>
      <c r="I62" s="3"/>
      <c r="J62" s="3"/>
      <c r="K62" s="3"/>
      <c r="L62" s="3"/>
      <c r="M62" s="3"/>
      <c r="N62" s="3"/>
      <c r="O62" s="3"/>
      <c r="P62" s="3"/>
      <c r="Q62" s="3"/>
      <c r="R62" s="3"/>
      <c r="S62" s="3"/>
      <c r="T62" s="3"/>
      <c r="U62" s="3"/>
      <c r="V62" s="3"/>
      <c r="W62" s="3"/>
      <c r="X62" s="3"/>
      <c r="Y62" s="3"/>
      <c r="Z62" s="3"/>
    </row>
    <row r="63" spans="1:26" ht="15.75" customHeight="1" thickTop="1" x14ac:dyDescent="0.25">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x14ac:dyDescent="0.25">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x14ac:dyDescent="0.25">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x14ac:dyDescent="0.25">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x14ac:dyDescent="0.25">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x14ac:dyDescent="0.25">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x14ac:dyDescent="0.25">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x14ac:dyDescent="0.25">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x14ac:dyDescent="0.25">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x14ac:dyDescent="0.25">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x14ac:dyDescent="0.25">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x14ac:dyDescent="0.2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25">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2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x14ac:dyDescent="0.25">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x14ac:dyDescent="0.2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2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2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2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2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2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2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2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2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2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2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2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2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2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2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2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2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2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2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2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2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2"/>
    <row r="265" spans="1:26" ht="15.75" customHeight="1" x14ac:dyDescent="0.2"/>
    <row r="266" spans="1:26" ht="15.75" customHeight="1" x14ac:dyDescent="0.2"/>
    <row r="267" spans="1:26" ht="15.75" customHeight="1" x14ac:dyDescent="0.2"/>
    <row r="268" spans="1:26" ht="15.75" customHeight="1" x14ac:dyDescent="0.2"/>
    <row r="269" spans="1:26" ht="15.75" customHeight="1" x14ac:dyDescent="0.2"/>
    <row r="270" spans="1:26" ht="15.75" customHeight="1" x14ac:dyDescent="0.2"/>
    <row r="271" spans="1:26" ht="15.75" customHeight="1" x14ac:dyDescent="0.2"/>
    <row r="272" spans="1:26"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sheetData>
  <mergeCells count="1">
    <mergeCell ref="I7:J7"/>
  </mergeCells>
  <pageMargins left="0.7" right="0.7" top="0.75" bottom="0.75" header="0" footer="0"/>
  <pageSetup orientation="landscape"/>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6.83203125" defaultRowHeight="15" customHeight="1" x14ac:dyDescent="0.2"/>
  <cols>
    <col min="1" max="1" width="9.33203125" customWidth="1"/>
    <col min="2" max="2" width="23.1640625" customWidth="1"/>
    <col min="3" max="3" width="19.6640625" customWidth="1"/>
    <col min="4" max="4" width="23.1640625" customWidth="1"/>
    <col min="5" max="5" width="15.83203125" customWidth="1"/>
    <col min="6" max="6" width="18.5" customWidth="1"/>
    <col min="7" max="7" width="15.6640625" customWidth="1"/>
    <col min="8" max="14" width="9.33203125" customWidth="1"/>
    <col min="15" max="26" width="8" customWidth="1"/>
  </cols>
  <sheetData>
    <row r="1" spans="1:26" x14ac:dyDescent="0.25">
      <c r="A1" s="3" t="s">
        <v>725</v>
      </c>
      <c r="B1" s="16"/>
      <c r="C1" s="3"/>
      <c r="D1" s="3"/>
      <c r="E1" s="3"/>
      <c r="F1" s="22"/>
      <c r="G1" s="3"/>
      <c r="H1" s="3"/>
      <c r="I1" s="3"/>
      <c r="J1" s="3"/>
      <c r="K1" s="3"/>
      <c r="L1" s="3"/>
      <c r="M1" s="3"/>
      <c r="N1" s="3"/>
      <c r="O1" s="3"/>
      <c r="P1" s="3"/>
      <c r="Q1" s="3"/>
      <c r="R1" s="3"/>
      <c r="S1" s="3"/>
      <c r="T1" s="3"/>
      <c r="U1" s="3"/>
      <c r="V1" s="3"/>
      <c r="W1" s="3"/>
      <c r="X1" s="3"/>
      <c r="Y1" s="3"/>
      <c r="Z1" s="3"/>
    </row>
    <row r="2" spans="1:26" ht="73.5" customHeight="1" x14ac:dyDescent="0.25">
      <c r="A2" s="3"/>
      <c r="B2" s="3"/>
      <c r="C2" s="3"/>
      <c r="D2" s="3"/>
      <c r="E2" s="3"/>
      <c r="F2" s="3"/>
      <c r="G2" s="3"/>
      <c r="H2" s="3"/>
      <c r="I2" s="3"/>
      <c r="J2" s="3"/>
      <c r="K2" s="3"/>
      <c r="L2" s="3"/>
      <c r="M2" s="3"/>
      <c r="N2" s="3"/>
      <c r="O2" s="3"/>
      <c r="P2" s="3"/>
      <c r="Q2" s="3"/>
      <c r="R2" s="3"/>
      <c r="S2" s="3"/>
      <c r="T2" s="3"/>
      <c r="U2" s="3"/>
      <c r="V2" s="3"/>
      <c r="W2" s="3"/>
      <c r="X2" s="3"/>
      <c r="Y2" s="3"/>
      <c r="Z2" s="3"/>
    </row>
    <row r="3" spans="1:26" x14ac:dyDescent="0.25">
      <c r="A3" s="3"/>
      <c r="B3" s="3"/>
      <c r="C3" s="3"/>
      <c r="D3" s="3"/>
      <c r="E3" s="3"/>
      <c r="F3" s="3"/>
      <c r="G3" s="3"/>
      <c r="H3" s="3"/>
      <c r="I3" s="3"/>
      <c r="J3" s="3"/>
      <c r="K3" s="3"/>
      <c r="L3" s="3"/>
      <c r="M3" s="3"/>
      <c r="N3" s="3"/>
      <c r="O3" s="3"/>
      <c r="P3" s="3"/>
      <c r="Q3" s="3"/>
      <c r="R3" s="3"/>
      <c r="S3" s="3"/>
      <c r="T3" s="3"/>
      <c r="U3" s="3"/>
      <c r="V3" s="3"/>
      <c r="W3" s="3"/>
      <c r="X3" s="3"/>
      <c r="Y3" s="3"/>
      <c r="Z3" s="3"/>
    </row>
    <row r="4" spans="1:26" ht="21" customHeight="1" x14ac:dyDescent="0.4">
      <c r="A4" s="3"/>
      <c r="B4" s="835" t="s">
        <v>731</v>
      </c>
      <c r="C4" s="837"/>
      <c r="D4" s="837"/>
      <c r="E4" s="645">
        <v>2011</v>
      </c>
      <c r="F4" s="645"/>
      <c r="G4" s="840"/>
      <c r="H4" s="3"/>
      <c r="I4" s="3"/>
      <c r="J4" s="3"/>
      <c r="K4" s="3"/>
      <c r="L4" s="3"/>
      <c r="M4" s="3"/>
      <c r="N4" s="3"/>
      <c r="O4" s="3"/>
      <c r="P4" s="3"/>
      <c r="Q4" s="3"/>
      <c r="R4" s="3"/>
      <c r="S4" s="3"/>
      <c r="T4" s="3"/>
      <c r="U4" s="3"/>
      <c r="V4" s="3"/>
      <c r="W4" s="3"/>
      <c r="X4" s="3"/>
      <c r="Y4" s="3"/>
      <c r="Z4" s="3"/>
    </row>
    <row r="5" spans="1:26" x14ac:dyDescent="0.25">
      <c r="A5" s="3"/>
      <c r="B5" s="278"/>
      <c r="C5" s="3"/>
      <c r="D5" s="3"/>
      <c r="E5" s="3"/>
      <c r="F5" s="3"/>
      <c r="G5" s="649"/>
      <c r="H5" s="3"/>
      <c r="I5" s="2312" t="s">
        <v>1</v>
      </c>
      <c r="J5" s="2313"/>
      <c r="K5" s="3"/>
      <c r="L5" s="3"/>
      <c r="M5" s="13"/>
      <c r="N5" s="3"/>
      <c r="O5" s="3"/>
      <c r="P5" s="3"/>
      <c r="Q5" s="3"/>
      <c r="R5" s="3"/>
      <c r="S5" s="3"/>
      <c r="T5" s="3"/>
      <c r="U5" s="3"/>
      <c r="V5" s="3"/>
      <c r="W5" s="3"/>
      <c r="X5" s="3"/>
      <c r="Y5" s="3"/>
      <c r="Z5" s="3"/>
    </row>
    <row r="6" spans="1:26" x14ac:dyDescent="0.25">
      <c r="A6" s="3"/>
      <c r="B6" s="844"/>
      <c r="C6" s="846" t="s">
        <v>685</v>
      </c>
      <c r="D6" s="846" t="s">
        <v>738</v>
      </c>
      <c r="E6" s="846" t="s">
        <v>739</v>
      </c>
      <c r="F6" s="846" t="s">
        <v>686</v>
      </c>
      <c r="G6" s="847" t="s">
        <v>686</v>
      </c>
      <c r="H6" s="3"/>
      <c r="I6" s="236"/>
      <c r="J6" s="236"/>
      <c r="K6" s="13"/>
      <c r="L6" s="3"/>
      <c r="M6" s="13"/>
      <c r="N6" s="3"/>
      <c r="O6" s="3"/>
      <c r="P6" s="3"/>
      <c r="Q6" s="3"/>
      <c r="R6" s="3"/>
      <c r="S6" s="3"/>
      <c r="T6" s="3"/>
      <c r="U6" s="3"/>
      <c r="V6" s="3"/>
      <c r="W6" s="3"/>
      <c r="X6" s="3"/>
      <c r="Y6" s="3"/>
      <c r="Z6" s="3"/>
    </row>
    <row r="7" spans="1:26" x14ac:dyDescent="0.25">
      <c r="A7" s="3"/>
      <c r="B7" s="62" t="s">
        <v>9</v>
      </c>
      <c r="C7" s="850" t="s">
        <v>690</v>
      </c>
      <c r="D7" s="850" t="s">
        <v>740</v>
      </c>
      <c r="E7" s="850" t="s">
        <v>741</v>
      </c>
      <c r="F7" s="850" t="s">
        <v>742</v>
      </c>
      <c r="G7" s="851" t="s">
        <v>743</v>
      </c>
      <c r="H7" s="13"/>
      <c r="I7" s="241" t="s">
        <v>188</v>
      </c>
      <c r="J7" s="243">
        <f>Summary!E4</f>
        <v>1</v>
      </c>
      <c r="K7" s="13"/>
      <c r="L7" s="3"/>
      <c r="M7" s="13"/>
      <c r="N7" s="3"/>
      <c r="O7" s="3"/>
      <c r="P7" s="3"/>
      <c r="Q7" s="3"/>
      <c r="R7" s="3"/>
      <c r="S7" s="3"/>
      <c r="T7" s="3"/>
      <c r="U7" s="3"/>
      <c r="V7" s="3"/>
      <c r="W7" s="3"/>
      <c r="X7" s="3"/>
      <c r="Y7" s="3"/>
      <c r="Z7" s="3"/>
    </row>
    <row r="8" spans="1:26" x14ac:dyDescent="0.25">
      <c r="A8" s="3"/>
      <c r="B8" s="278" t="s">
        <v>53</v>
      </c>
      <c r="C8" s="727">
        <v>617</v>
      </c>
      <c r="D8" s="730">
        <v>56.792727272727269</v>
      </c>
      <c r="E8" s="857">
        <v>1</v>
      </c>
      <c r="F8" s="860">
        <f t="shared" ref="F8:F14" si="0">C8*1000*D8*E8/2000</f>
        <v>17520.556363636362</v>
      </c>
      <c r="G8" s="862">
        <f t="shared" ref="G8:G14" si="1">F8*(44/12)*0.90718474/1000000</f>
        <v>5.8279398354469596E-2</v>
      </c>
      <c r="H8" s="864"/>
      <c r="I8" s="241" t="s">
        <v>192</v>
      </c>
      <c r="J8" s="243">
        <f>Summary!E5</f>
        <v>27.9</v>
      </c>
      <c r="K8" s="865"/>
      <c r="L8" s="864"/>
      <c r="M8" s="865"/>
      <c r="N8" s="3"/>
      <c r="O8" s="3"/>
      <c r="P8" s="3"/>
      <c r="Q8" s="3"/>
      <c r="R8" s="3"/>
      <c r="S8" s="3"/>
      <c r="T8" s="3"/>
      <c r="U8" s="3"/>
      <c r="V8" s="3"/>
      <c r="W8" s="3"/>
      <c r="X8" s="3"/>
      <c r="Y8" s="3"/>
      <c r="Z8" s="3"/>
    </row>
    <row r="9" spans="1:26" x14ac:dyDescent="0.25">
      <c r="A9" s="3"/>
      <c r="B9" s="278" t="s">
        <v>703</v>
      </c>
      <c r="C9" s="624">
        <v>8363</v>
      </c>
      <c r="D9" s="730">
        <v>44.43</v>
      </c>
      <c r="E9" s="858">
        <v>1</v>
      </c>
      <c r="F9" s="672">
        <f t="shared" si="0"/>
        <v>185784.04500000001</v>
      </c>
      <c r="G9" s="773">
        <f t="shared" si="1"/>
        <v>0.6179816520514021</v>
      </c>
      <c r="H9" s="864"/>
      <c r="I9" s="241" t="s">
        <v>194</v>
      </c>
      <c r="J9" s="243">
        <f>Summary!E6</f>
        <v>273</v>
      </c>
      <c r="K9" s="865"/>
      <c r="L9" s="864"/>
      <c r="M9" s="865"/>
      <c r="N9" s="3"/>
      <c r="O9" s="3"/>
      <c r="P9" s="3"/>
      <c r="Q9" s="3"/>
      <c r="R9" s="3"/>
      <c r="S9" s="3"/>
      <c r="T9" s="3"/>
      <c r="U9" s="3"/>
      <c r="V9" s="3"/>
      <c r="W9" s="3"/>
      <c r="X9" s="3"/>
      <c r="Y9" s="3"/>
      <c r="Z9" s="3"/>
    </row>
    <row r="10" spans="1:26" x14ac:dyDescent="0.25">
      <c r="A10" s="3"/>
      <c r="B10" s="278" t="s">
        <v>753</v>
      </c>
      <c r="C10" s="624">
        <v>132</v>
      </c>
      <c r="D10" s="730">
        <v>43.97</v>
      </c>
      <c r="E10" s="858">
        <v>1</v>
      </c>
      <c r="F10" s="672">
        <f t="shared" si="0"/>
        <v>2902.02</v>
      </c>
      <c r="G10" s="773">
        <f t="shared" si="1"/>
        <v>9.6531169503075998E-3</v>
      </c>
      <c r="H10" s="864"/>
      <c r="I10" s="241" t="s">
        <v>197</v>
      </c>
      <c r="J10" s="243">
        <f>Summary!E7</f>
        <v>24300</v>
      </c>
      <c r="K10" s="865"/>
      <c r="L10" s="864"/>
      <c r="M10" s="865"/>
      <c r="N10" s="3"/>
      <c r="O10" s="3"/>
      <c r="P10" s="3"/>
      <c r="Q10" s="3"/>
      <c r="R10" s="3"/>
      <c r="S10" s="3"/>
      <c r="T10" s="3"/>
      <c r="U10" s="3"/>
      <c r="V10" s="3"/>
      <c r="W10" s="3"/>
      <c r="X10" s="3"/>
      <c r="Y10" s="3"/>
      <c r="Z10" s="3"/>
    </row>
    <row r="11" spans="1:26" x14ac:dyDescent="0.25">
      <c r="A11" s="3"/>
      <c r="B11" s="278" t="s">
        <v>755</v>
      </c>
      <c r="C11" s="624">
        <v>3276</v>
      </c>
      <c r="D11" s="730">
        <v>37.110283550140529</v>
      </c>
      <c r="E11" s="858">
        <v>1</v>
      </c>
      <c r="F11" s="672">
        <f t="shared" si="0"/>
        <v>60786.64445513019</v>
      </c>
      <c r="G11" s="773">
        <f t="shared" si="1"/>
        <v>0.20219729290016566</v>
      </c>
      <c r="H11" s="864"/>
      <c r="I11" s="241"/>
      <c r="J11" s="243"/>
      <c r="K11" s="865"/>
      <c r="L11" s="864"/>
      <c r="M11" s="865"/>
      <c r="N11" s="3"/>
      <c r="O11" s="3"/>
      <c r="P11" s="3"/>
      <c r="Q11" s="3"/>
      <c r="R11" s="3"/>
      <c r="S11" s="3"/>
      <c r="T11" s="3"/>
      <c r="U11" s="3"/>
      <c r="V11" s="3"/>
      <c r="W11" s="3"/>
      <c r="X11" s="3"/>
      <c r="Y11" s="3"/>
      <c r="Z11" s="3"/>
    </row>
    <row r="12" spans="1:26" x14ac:dyDescent="0.25">
      <c r="A12" s="3"/>
      <c r="B12" s="278" t="s">
        <v>757</v>
      </c>
      <c r="C12" s="624">
        <v>176</v>
      </c>
      <c r="D12" s="730">
        <v>42.900741155457617</v>
      </c>
      <c r="E12" s="858">
        <v>1</v>
      </c>
      <c r="F12" s="672">
        <f t="shared" si="0"/>
        <v>3775.2652216802699</v>
      </c>
      <c r="G12" s="773">
        <f t="shared" si="1"/>
        <v>1.2557830994723879E-2</v>
      </c>
      <c r="H12" s="864"/>
      <c r="I12" s="3"/>
      <c r="J12" s="864"/>
      <c r="K12" s="865"/>
      <c r="L12" s="864"/>
      <c r="M12" s="865"/>
      <c r="N12" s="3"/>
      <c r="O12" s="3"/>
      <c r="P12" s="3"/>
      <c r="Q12" s="3"/>
      <c r="R12" s="3"/>
      <c r="S12" s="3"/>
      <c r="T12" s="3"/>
      <c r="U12" s="3"/>
      <c r="V12" s="3"/>
      <c r="W12" s="3"/>
      <c r="X12" s="3"/>
      <c r="Y12" s="3"/>
      <c r="Z12" s="3"/>
    </row>
    <row r="13" spans="1:26" x14ac:dyDescent="0.25">
      <c r="A13" s="3"/>
      <c r="B13" s="278" t="s">
        <v>704</v>
      </c>
      <c r="C13" s="624">
        <v>28</v>
      </c>
      <c r="D13" s="730">
        <v>45.11</v>
      </c>
      <c r="E13" s="858">
        <v>1</v>
      </c>
      <c r="F13" s="672">
        <f t="shared" si="0"/>
        <v>631.54</v>
      </c>
      <c r="G13" s="773">
        <f t="shared" si="1"/>
        <v>2.1007193192318667E-3</v>
      </c>
      <c r="H13" s="864"/>
      <c r="I13" s="3"/>
      <c r="J13" s="864"/>
      <c r="K13" s="865"/>
      <c r="L13" s="864"/>
      <c r="M13" s="865"/>
      <c r="N13" s="3"/>
      <c r="O13" s="3"/>
      <c r="P13" s="3"/>
      <c r="Q13" s="3"/>
      <c r="R13" s="3"/>
      <c r="S13" s="3"/>
      <c r="T13" s="3"/>
      <c r="U13" s="3"/>
      <c r="V13" s="3"/>
      <c r="W13" s="3"/>
      <c r="X13" s="3"/>
      <c r="Y13" s="3"/>
      <c r="Z13" s="3"/>
    </row>
    <row r="14" spans="1:26" x14ac:dyDescent="0.25">
      <c r="A14" s="3"/>
      <c r="B14" s="278" t="s">
        <v>77</v>
      </c>
      <c r="C14" s="811">
        <v>69374</v>
      </c>
      <c r="D14" s="730">
        <v>31.87</v>
      </c>
      <c r="E14" s="876">
        <v>1</v>
      </c>
      <c r="F14" s="877">
        <f t="shared" si="0"/>
        <v>1105474.69</v>
      </c>
      <c r="G14" s="879">
        <f t="shared" si="1"/>
        <v>3.6771891538221788</v>
      </c>
      <c r="H14" s="864"/>
      <c r="I14" s="3"/>
      <c r="J14" s="864"/>
      <c r="K14" s="865"/>
      <c r="L14" s="864"/>
      <c r="M14" s="865"/>
      <c r="N14" s="3"/>
      <c r="O14" s="3"/>
      <c r="P14" s="3"/>
      <c r="Q14" s="3"/>
      <c r="R14" s="3"/>
      <c r="S14" s="3"/>
      <c r="T14" s="3"/>
      <c r="U14" s="3"/>
      <c r="V14" s="3"/>
      <c r="W14" s="3"/>
      <c r="X14" s="3"/>
      <c r="Y14" s="3"/>
      <c r="Z14" s="3"/>
    </row>
    <row r="15" spans="1:26" x14ac:dyDescent="0.25">
      <c r="A15" s="3"/>
      <c r="B15" s="881"/>
      <c r="C15" s="608"/>
      <c r="D15" s="608"/>
      <c r="E15" s="608"/>
      <c r="F15" s="882" t="s">
        <v>205</v>
      </c>
      <c r="G15" s="885">
        <f>SUM(G8:G14)</f>
        <v>4.5799591643924797</v>
      </c>
      <c r="H15" s="3"/>
      <c r="I15" s="3"/>
      <c r="J15" s="3"/>
      <c r="K15" s="3"/>
      <c r="L15" s="3"/>
      <c r="M15" s="3"/>
      <c r="N15" s="3"/>
      <c r="O15" s="3"/>
      <c r="P15" s="3"/>
      <c r="Q15" s="3"/>
      <c r="R15" s="3"/>
      <c r="S15" s="3"/>
      <c r="T15" s="3"/>
      <c r="U15" s="3"/>
      <c r="V15" s="3"/>
      <c r="W15" s="3"/>
      <c r="X15" s="3"/>
      <c r="Y15" s="3"/>
      <c r="Z15" s="3"/>
    </row>
    <row r="16" spans="1:26" x14ac:dyDescent="0.25">
      <c r="A16" s="3"/>
      <c r="B16" s="3"/>
      <c r="C16" s="3"/>
      <c r="D16" s="3"/>
      <c r="E16" s="3"/>
      <c r="F16" s="3"/>
      <c r="G16" s="3"/>
      <c r="H16" s="3"/>
      <c r="I16" s="3"/>
      <c r="J16" s="3"/>
      <c r="K16" s="3"/>
      <c r="L16" s="3"/>
      <c r="M16" s="3"/>
      <c r="N16" s="3"/>
      <c r="O16" s="3"/>
      <c r="P16" s="3"/>
      <c r="Q16" s="3"/>
      <c r="R16" s="3"/>
      <c r="S16" s="3"/>
      <c r="T16" s="3"/>
      <c r="U16" s="3"/>
      <c r="V16" s="3"/>
      <c r="W16" s="3"/>
      <c r="X16" s="3"/>
      <c r="Y16" s="3"/>
      <c r="Z16" s="3"/>
    </row>
    <row r="17" spans="1:26" x14ac:dyDescent="0.25">
      <c r="A17" s="3"/>
      <c r="B17" s="3"/>
      <c r="C17" s="3"/>
      <c r="D17" s="3"/>
      <c r="E17" s="3"/>
      <c r="F17" s="3"/>
      <c r="G17" s="3"/>
      <c r="H17" s="3"/>
      <c r="I17" s="3"/>
      <c r="J17" s="3"/>
      <c r="K17" s="3"/>
      <c r="L17" s="3"/>
      <c r="M17" s="3"/>
      <c r="N17" s="3"/>
      <c r="O17" s="3"/>
      <c r="P17" s="3"/>
      <c r="Q17" s="3"/>
      <c r="R17" s="3"/>
      <c r="S17" s="3"/>
      <c r="T17" s="3"/>
      <c r="U17" s="3"/>
      <c r="V17" s="3"/>
      <c r="W17" s="3"/>
      <c r="X17" s="3"/>
      <c r="Y17" s="3"/>
      <c r="Z17" s="3"/>
    </row>
    <row r="18" spans="1:26" ht="18" customHeight="1" x14ac:dyDescent="0.35">
      <c r="A18" s="3"/>
      <c r="B18" s="835" t="s">
        <v>759</v>
      </c>
      <c r="C18" s="837"/>
      <c r="D18" s="837"/>
      <c r="E18" s="645">
        <v>2011</v>
      </c>
      <c r="F18" s="645"/>
      <c r="G18" s="840"/>
      <c r="H18" s="3"/>
      <c r="I18" s="3"/>
      <c r="J18" s="3"/>
      <c r="K18" s="3"/>
      <c r="L18" s="3"/>
      <c r="M18" s="3"/>
      <c r="N18" s="3"/>
      <c r="O18" s="3"/>
      <c r="P18" s="3"/>
      <c r="Q18" s="3"/>
      <c r="R18" s="3"/>
      <c r="S18" s="3"/>
      <c r="T18" s="3"/>
      <c r="U18" s="3"/>
      <c r="V18" s="3"/>
      <c r="W18" s="3"/>
      <c r="X18" s="3"/>
      <c r="Y18" s="3"/>
      <c r="Z18" s="3"/>
    </row>
    <row r="19" spans="1:26" x14ac:dyDescent="0.25">
      <c r="A19" s="3"/>
      <c r="B19" s="278"/>
      <c r="C19" s="3"/>
      <c r="D19" s="3"/>
      <c r="E19" s="3"/>
      <c r="F19" s="3"/>
      <c r="G19" s="649"/>
      <c r="H19" s="3"/>
      <c r="I19" s="3"/>
      <c r="J19" s="3"/>
      <c r="K19" s="3"/>
      <c r="L19" s="3"/>
      <c r="M19" s="13"/>
      <c r="N19" s="3"/>
      <c r="O19" s="3"/>
      <c r="P19" s="3"/>
      <c r="Q19" s="3"/>
      <c r="R19" s="3"/>
      <c r="S19" s="3"/>
      <c r="T19" s="3"/>
      <c r="U19" s="3"/>
      <c r="V19" s="3"/>
      <c r="W19" s="3"/>
      <c r="X19" s="3"/>
      <c r="Y19" s="3"/>
      <c r="Z19" s="3"/>
    </row>
    <row r="20" spans="1:26" x14ac:dyDescent="0.25">
      <c r="A20" s="3"/>
      <c r="B20" s="844"/>
      <c r="C20" s="846" t="s">
        <v>685</v>
      </c>
      <c r="D20" s="846" t="s">
        <v>738</v>
      </c>
      <c r="E20" s="846" t="s">
        <v>19</v>
      </c>
      <c r="F20" s="846" t="s">
        <v>688</v>
      </c>
      <c r="G20" s="847" t="s">
        <v>686</v>
      </c>
      <c r="H20" s="3"/>
      <c r="I20" s="3"/>
      <c r="J20" s="3"/>
      <c r="K20" s="13"/>
      <c r="L20" s="3"/>
      <c r="M20" s="13"/>
      <c r="N20" s="3"/>
      <c r="O20" s="3"/>
      <c r="P20" s="3"/>
      <c r="Q20" s="3"/>
      <c r="R20" s="3"/>
      <c r="S20" s="3"/>
      <c r="T20" s="3"/>
      <c r="U20" s="3"/>
      <c r="V20" s="3"/>
      <c r="W20" s="3"/>
      <c r="X20" s="3"/>
      <c r="Y20" s="3"/>
      <c r="Z20" s="3"/>
    </row>
    <row r="21" spans="1:26" ht="15.75" customHeight="1" x14ac:dyDescent="0.25">
      <c r="A21" s="3"/>
      <c r="B21" s="62" t="s">
        <v>9</v>
      </c>
      <c r="C21" s="850" t="s">
        <v>690</v>
      </c>
      <c r="D21" s="850" t="s">
        <v>761</v>
      </c>
      <c r="E21" s="850" t="s">
        <v>762</v>
      </c>
      <c r="F21" s="850"/>
      <c r="G21" s="851" t="s">
        <v>763</v>
      </c>
      <c r="H21" s="13"/>
      <c r="I21" s="3"/>
      <c r="J21" s="3"/>
      <c r="K21" s="13"/>
      <c r="L21" s="3"/>
      <c r="M21" s="13"/>
      <c r="N21" s="3"/>
      <c r="O21" s="3"/>
      <c r="P21" s="3"/>
      <c r="Q21" s="3"/>
      <c r="R21" s="3"/>
      <c r="S21" s="3"/>
      <c r="T21" s="3"/>
      <c r="U21" s="3"/>
      <c r="V21" s="3"/>
      <c r="W21" s="3"/>
      <c r="X21" s="3"/>
      <c r="Y21" s="3"/>
      <c r="Z21" s="3"/>
    </row>
    <row r="22" spans="1:26" ht="15.75" customHeight="1" x14ac:dyDescent="0.25">
      <c r="A22" s="3"/>
      <c r="B22" s="893" t="s">
        <v>53</v>
      </c>
      <c r="C22" s="727">
        <v>617</v>
      </c>
      <c r="D22" s="895">
        <v>1.5034545899835E-3</v>
      </c>
      <c r="E22" s="896">
        <f t="shared" ref="E22:E29" si="2">C22*D22</f>
        <v>0.92763148201981949</v>
      </c>
      <c r="F22" s="727">
        <f t="shared" ref="F22:F29" si="3">$J$9</f>
        <v>273</v>
      </c>
      <c r="G22" s="862">
        <f t="shared" ref="G22:G29" si="4">E22*F22/1000000</f>
        <v>2.5324339459141071E-4</v>
      </c>
      <c r="H22" s="864"/>
      <c r="I22" s="3"/>
      <c r="J22" s="864"/>
      <c r="K22" s="865"/>
      <c r="L22" s="864"/>
      <c r="M22" s="572"/>
      <c r="N22" s="3"/>
      <c r="O22" s="3"/>
      <c r="P22" s="3"/>
      <c r="Q22" s="3"/>
      <c r="R22" s="3"/>
      <c r="S22" s="3"/>
      <c r="T22" s="3"/>
      <c r="U22" s="3"/>
      <c r="V22" s="3"/>
      <c r="W22" s="3"/>
      <c r="X22" s="3"/>
      <c r="Y22" s="3"/>
      <c r="Z22" s="3"/>
    </row>
    <row r="23" spans="1:26" ht="15.75" customHeight="1" x14ac:dyDescent="0.25">
      <c r="A23" s="3"/>
      <c r="B23" s="623" t="s">
        <v>703</v>
      </c>
      <c r="C23" s="624">
        <v>8363</v>
      </c>
      <c r="D23" s="900">
        <v>6.0138183599339984E-4</v>
      </c>
      <c r="E23" s="648">
        <f t="shared" si="2"/>
        <v>5.0293562944128025</v>
      </c>
      <c r="F23" s="624">
        <f t="shared" si="3"/>
        <v>273</v>
      </c>
      <c r="G23" s="773">
        <f t="shared" si="4"/>
        <v>1.3730142683746952E-3</v>
      </c>
      <c r="H23" s="864"/>
      <c r="I23" s="3"/>
      <c r="J23" s="864"/>
      <c r="K23" s="865"/>
      <c r="L23" s="864"/>
      <c r="M23" s="572"/>
      <c r="N23" s="3"/>
      <c r="O23" s="3"/>
      <c r="P23" s="3"/>
      <c r="Q23" s="3"/>
      <c r="R23" s="3"/>
      <c r="S23" s="3"/>
      <c r="T23" s="3"/>
      <c r="U23" s="3"/>
      <c r="V23" s="3"/>
      <c r="W23" s="3"/>
      <c r="X23" s="3"/>
      <c r="Y23" s="3"/>
      <c r="Z23" s="3"/>
    </row>
    <row r="24" spans="1:26" ht="15.75" customHeight="1" x14ac:dyDescent="0.25">
      <c r="A24" s="3"/>
      <c r="B24" s="623" t="s">
        <v>753</v>
      </c>
      <c r="C24" s="624">
        <v>132</v>
      </c>
      <c r="D24" s="900">
        <v>6.0138183599339984E-4</v>
      </c>
      <c r="E24" s="648">
        <f t="shared" si="2"/>
        <v>7.9382402351128784E-2</v>
      </c>
      <c r="F24" s="624">
        <f t="shared" si="3"/>
        <v>273</v>
      </c>
      <c r="G24" s="773">
        <f t="shared" si="4"/>
        <v>2.1671395841858156E-5</v>
      </c>
      <c r="H24" s="864"/>
      <c r="I24" s="3"/>
      <c r="J24" s="864"/>
      <c r="K24" s="865"/>
      <c r="L24" s="864"/>
      <c r="M24" s="572"/>
      <c r="N24" s="3"/>
      <c r="O24" s="3"/>
      <c r="P24" s="3"/>
      <c r="Q24" s="3"/>
      <c r="R24" s="3"/>
      <c r="S24" s="3"/>
      <c r="T24" s="3"/>
      <c r="U24" s="3"/>
      <c r="V24" s="3"/>
      <c r="W24" s="3"/>
      <c r="X24" s="3"/>
      <c r="Y24" s="3"/>
      <c r="Z24" s="3"/>
    </row>
    <row r="25" spans="1:26" ht="15.75" customHeight="1" x14ac:dyDescent="0.25">
      <c r="A25" s="3"/>
      <c r="B25" s="623" t="s">
        <v>755</v>
      </c>
      <c r="C25" s="624">
        <v>3276</v>
      </c>
      <c r="D25" s="900">
        <v>6.0138183599339984E-4</v>
      </c>
      <c r="E25" s="648">
        <f t="shared" si="2"/>
        <v>1.970126894714378</v>
      </c>
      <c r="F25" s="624">
        <f t="shared" si="3"/>
        <v>273</v>
      </c>
      <c r="G25" s="773">
        <f t="shared" si="4"/>
        <v>5.3784464225702512E-4</v>
      </c>
      <c r="H25" s="864"/>
      <c r="I25" s="3"/>
      <c r="J25" s="864"/>
      <c r="K25" s="865"/>
      <c r="L25" s="864"/>
      <c r="M25" s="572"/>
      <c r="N25" s="3"/>
      <c r="O25" s="3"/>
      <c r="P25" s="3"/>
      <c r="Q25" s="3"/>
      <c r="R25" s="3"/>
      <c r="S25" s="3"/>
      <c r="T25" s="3"/>
      <c r="U25" s="3"/>
      <c r="V25" s="3"/>
      <c r="W25" s="3"/>
      <c r="X25" s="3"/>
      <c r="Y25" s="3"/>
      <c r="Z25" s="3"/>
    </row>
    <row r="26" spans="1:26" ht="15.75" customHeight="1" x14ac:dyDescent="0.25">
      <c r="A26" s="3"/>
      <c r="B26" s="623" t="s">
        <v>757</v>
      </c>
      <c r="C26" s="624">
        <v>176</v>
      </c>
      <c r="D26" s="900">
        <v>6.0138183599339984E-4</v>
      </c>
      <c r="E26" s="648">
        <f t="shared" si="2"/>
        <v>0.10584320313483837</v>
      </c>
      <c r="F26" s="624">
        <f t="shared" si="3"/>
        <v>273</v>
      </c>
      <c r="G26" s="773">
        <f t="shared" si="4"/>
        <v>2.8895194455810876E-5</v>
      </c>
      <c r="H26" s="864"/>
      <c r="I26" s="3"/>
      <c r="J26" s="864"/>
      <c r="K26" s="865"/>
      <c r="L26" s="864"/>
      <c r="M26" s="572"/>
      <c r="N26" s="3"/>
      <c r="O26" s="3"/>
      <c r="P26" s="3"/>
      <c r="Q26" s="3"/>
      <c r="R26" s="3"/>
      <c r="S26" s="3"/>
      <c r="T26" s="3"/>
      <c r="U26" s="3"/>
      <c r="V26" s="3"/>
      <c r="W26" s="3"/>
      <c r="X26" s="3"/>
      <c r="Y26" s="3"/>
      <c r="Z26" s="3"/>
    </row>
    <row r="27" spans="1:26" ht="15.75" customHeight="1" x14ac:dyDescent="0.25">
      <c r="A27" s="3"/>
      <c r="B27" s="623" t="s">
        <v>704</v>
      </c>
      <c r="C27" s="624">
        <v>28</v>
      </c>
      <c r="D27" s="900">
        <v>6.0138183599339984E-4</v>
      </c>
      <c r="E27" s="648">
        <f t="shared" si="2"/>
        <v>1.6838691407815194E-2</v>
      </c>
      <c r="F27" s="624">
        <f t="shared" si="3"/>
        <v>273</v>
      </c>
      <c r="G27" s="773">
        <f t="shared" si="4"/>
        <v>4.5969627543335484E-6</v>
      </c>
      <c r="H27" s="864"/>
      <c r="I27" s="3"/>
      <c r="J27" s="864"/>
      <c r="K27" s="865"/>
      <c r="L27" s="864"/>
      <c r="M27" s="572"/>
      <c r="N27" s="3"/>
      <c r="O27" s="3"/>
      <c r="P27" s="3"/>
      <c r="Q27" s="3"/>
      <c r="R27" s="3"/>
      <c r="S27" s="3"/>
      <c r="T27" s="3"/>
      <c r="U27" s="3"/>
      <c r="V27" s="3"/>
      <c r="W27" s="3"/>
      <c r="X27" s="3"/>
      <c r="Y27" s="3"/>
      <c r="Z27" s="3"/>
    </row>
    <row r="28" spans="1:26" ht="15.75" customHeight="1" x14ac:dyDescent="0.25">
      <c r="A28" s="3"/>
      <c r="B28" s="623" t="s">
        <v>77</v>
      </c>
      <c r="C28" s="624">
        <v>69374</v>
      </c>
      <c r="D28" s="900">
        <v>9.4955026735800017E-5</v>
      </c>
      <c r="E28" s="648">
        <f t="shared" si="2"/>
        <v>6.5874100247693903</v>
      </c>
      <c r="F28" s="624">
        <f t="shared" si="3"/>
        <v>273</v>
      </c>
      <c r="G28" s="773">
        <f t="shared" si="4"/>
        <v>1.7983629367620436E-3</v>
      </c>
      <c r="H28" s="864"/>
      <c r="I28" s="3"/>
      <c r="J28" s="864"/>
      <c r="K28" s="865"/>
      <c r="L28" s="864"/>
      <c r="M28" s="572"/>
      <c r="N28" s="3"/>
      <c r="O28" s="3"/>
      <c r="P28" s="3"/>
      <c r="Q28" s="3"/>
      <c r="R28" s="3"/>
      <c r="S28" s="3"/>
      <c r="T28" s="3"/>
      <c r="U28" s="3"/>
      <c r="V28" s="3"/>
      <c r="W28" s="3"/>
      <c r="X28" s="3"/>
      <c r="Y28" s="3"/>
      <c r="Z28" s="3"/>
    </row>
    <row r="29" spans="1:26" ht="15.75" customHeight="1" x14ac:dyDescent="0.25">
      <c r="A29" s="3"/>
      <c r="B29" s="623" t="s">
        <v>129</v>
      </c>
      <c r="C29" s="624">
        <v>3556</v>
      </c>
      <c r="D29" s="900">
        <v>3.7982010694320003E-3</v>
      </c>
      <c r="E29" s="648">
        <f t="shared" si="2"/>
        <v>13.506403002900193</v>
      </c>
      <c r="F29" s="624">
        <f t="shared" si="3"/>
        <v>273</v>
      </c>
      <c r="G29" s="773">
        <f t="shared" si="4"/>
        <v>3.6872480197917526E-3</v>
      </c>
      <c r="H29" s="864"/>
      <c r="I29" s="3"/>
      <c r="J29" s="864"/>
      <c r="K29" s="865"/>
      <c r="L29" s="864"/>
      <c r="M29" s="572"/>
      <c r="N29" s="3"/>
      <c r="O29" s="3"/>
      <c r="P29" s="3"/>
      <c r="Q29" s="3"/>
      <c r="R29" s="3"/>
      <c r="S29" s="3"/>
      <c r="T29" s="3"/>
      <c r="U29" s="3"/>
      <c r="V29" s="3"/>
      <c r="W29" s="3"/>
      <c r="X29" s="3"/>
      <c r="Y29" s="3"/>
      <c r="Z29" s="3"/>
    </row>
    <row r="30" spans="1:26" ht="15.75" customHeight="1" x14ac:dyDescent="0.25">
      <c r="A30" s="3"/>
      <c r="B30" s="318"/>
      <c r="C30" s="534"/>
      <c r="D30" s="532"/>
      <c r="E30" s="532"/>
      <c r="F30" s="906" t="s">
        <v>205</v>
      </c>
      <c r="G30" s="907">
        <f>SUM(G22:G29)</f>
        <v>7.7048768148289294E-3</v>
      </c>
      <c r="H30" s="3"/>
      <c r="I30" s="3"/>
      <c r="J30" s="864"/>
      <c r="K30" s="908"/>
      <c r="L30" s="864"/>
      <c r="M30" s="909"/>
      <c r="N30" s="3"/>
      <c r="O30" s="3"/>
      <c r="P30" s="3"/>
      <c r="Q30" s="3"/>
      <c r="R30" s="3"/>
      <c r="S30" s="3"/>
      <c r="T30" s="3"/>
      <c r="U30" s="3"/>
      <c r="V30" s="3"/>
      <c r="W30" s="3"/>
      <c r="X30" s="3"/>
      <c r="Y30" s="3"/>
      <c r="Z30" s="3"/>
    </row>
    <row r="31" spans="1:26" ht="15.75" customHeight="1" x14ac:dyDescent="0.25">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5.75" customHeight="1" x14ac:dyDescent="0.25">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21" customHeight="1" x14ac:dyDescent="0.4">
      <c r="A33" s="3"/>
      <c r="B33" s="835" t="s">
        <v>771</v>
      </c>
      <c r="C33" s="837"/>
      <c r="D33" s="837"/>
      <c r="E33" s="645">
        <v>2011</v>
      </c>
      <c r="F33" s="645"/>
      <c r="G33" s="840"/>
      <c r="H33" s="3"/>
      <c r="I33" s="3"/>
      <c r="J33" s="3"/>
      <c r="K33" s="3"/>
      <c r="L33" s="3"/>
      <c r="M33" s="3"/>
      <c r="N33" s="3"/>
      <c r="O33" s="3"/>
      <c r="P33" s="3"/>
      <c r="Q33" s="3"/>
      <c r="R33" s="3"/>
      <c r="S33" s="3"/>
      <c r="T33" s="3"/>
      <c r="U33" s="3"/>
      <c r="V33" s="3"/>
      <c r="W33" s="3"/>
      <c r="X33" s="3"/>
      <c r="Y33" s="3"/>
      <c r="Z33" s="3"/>
    </row>
    <row r="34" spans="1:26" ht="15.75" customHeight="1" x14ac:dyDescent="0.25">
      <c r="A34" s="3"/>
      <c r="B34" s="278"/>
      <c r="C34" s="3"/>
      <c r="D34" s="3"/>
      <c r="E34" s="3"/>
      <c r="F34" s="3"/>
      <c r="G34" s="649"/>
      <c r="H34" s="3"/>
      <c r="I34" s="3"/>
      <c r="J34" s="3"/>
      <c r="K34" s="3"/>
      <c r="L34" s="3"/>
      <c r="M34" s="13"/>
      <c r="N34" s="3"/>
      <c r="O34" s="3"/>
      <c r="P34" s="3"/>
      <c r="Q34" s="3"/>
      <c r="R34" s="3"/>
      <c r="S34" s="3"/>
      <c r="T34" s="3"/>
      <c r="U34" s="3"/>
      <c r="V34" s="3"/>
      <c r="W34" s="3"/>
      <c r="X34" s="3"/>
      <c r="Y34" s="3"/>
      <c r="Z34" s="3"/>
    </row>
    <row r="35" spans="1:26" ht="15.75" customHeight="1" x14ac:dyDescent="0.25">
      <c r="A35" s="3"/>
      <c r="B35" s="587"/>
      <c r="C35" s="915" t="s">
        <v>685</v>
      </c>
      <c r="D35" s="915" t="s">
        <v>738</v>
      </c>
      <c r="E35" s="915" t="s">
        <v>686</v>
      </c>
      <c r="F35" s="915" t="s">
        <v>688</v>
      </c>
      <c r="G35" s="917" t="s">
        <v>686</v>
      </c>
      <c r="H35" s="3"/>
      <c r="I35" s="3"/>
      <c r="J35" s="3"/>
      <c r="K35" s="13"/>
      <c r="L35" s="3"/>
      <c r="M35" s="3"/>
      <c r="N35" s="3"/>
      <c r="O35" s="3"/>
      <c r="P35" s="3"/>
      <c r="Q35" s="3"/>
      <c r="R35" s="3"/>
      <c r="S35" s="3"/>
      <c r="T35" s="3"/>
      <c r="U35" s="3"/>
      <c r="V35" s="3"/>
      <c r="W35" s="3"/>
      <c r="X35" s="3"/>
      <c r="Y35" s="3"/>
      <c r="Z35" s="3"/>
    </row>
    <row r="36" spans="1:26" ht="15.75" customHeight="1" x14ac:dyDescent="0.25">
      <c r="A36" s="3"/>
      <c r="B36" s="722" t="s">
        <v>9</v>
      </c>
      <c r="C36" s="919" t="s">
        <v>690</v>
      </c>
      <c r="D36" s="919" t="s">
        <v>772</v>
      </c>
      <c r="E36" s="919" t="s">
        <v>773</v>
      </c>
      <c r="F36" s="919"/>
      <c r="G36" s="922" t="s">
        <v>774</v>
      </c>
      <c r="H36" s="13"/>
      <c r="I36" s="3"/>
      <c r="J36" s="3"/>
      <c r="K36" s="13"/>
      <c r="L36" s="3"/>
      <c r="M36" s="3"/>
      <c r="N36" s="3"/>
      <c r="O36" s="3"/>
      <c r="P36" s="3"/>
      <c r="Q36" s="3"/>
      <c r="R36" s="3"/>
      <c r="S36" s="3"/>
      <c r="T36" s="3"/>
      <c r="U36" s="3"/>
      <c r="V36" s="3"/>
      <c r="W36" s="3"/>
      <c r="X36" s="3"/>
      <c r="Y36" s="3"/>
      <c r="Z36" s="3"/>
    </row>
    <row r="37" spans="1:26" ht="15.75" customHeight="1" x14ac:dyDescent="0.25">
      <c r="A37" s="3"/>
      <c r="B37" s="893" t="s">
        <v>53</v>
      </c>
      <c r="C37" s="727">
        <v>617</v>
      </c>
      <c r="D37" s="895">
        <v>1.0023030599889999E-2</v>
      </c>
      <c r="E37" s="924">
        <f t="shared" ref="E37:E44" si="5">C37*D37</f>
        <v>6.1842098801321299</v>
      </c>
      <c r="F37" s="727">
        <f t="shared" ref="F37:F44" si="6">$J$8</f>
        <v>27.9</v>
      </c>
      <c r="G37" s="926">
        <f t="shared" ref="G37:G44" si="7">E37*F37/1000000</f>
        <v>1.7253945565568642E-4</v>
      </c>
      <c r="H37" s="864"/>
      <c r="I37" s="3"/>
      <c r="J37" s="864"/>
      <c r="K37" s="865"/>
      <c r="L37" s="864"/>
      <c r="M37" s="572"/>
      <c r="N37" s="3"/>
      <c r="O37" s="3"/>
      <c r="P37" s="3"/>
      <c r="Q37" s="3"/>
      <c r="R37" s="3"/>
      <c r="S37" s="3"/>
      <c r="T37" s="3"/>
      <c r="U37" s="3"/>
      <c r="V37" s="3"/>
      <c r="W37" s="3"/>
      <c r="X37" s="3"/>
      <c r="Y37" s="3"/>
      <c r="Z37" s="3"/>
    </row>
    <row r="38" spans="1:26" ht="15.75" customHeight="1" x14ac:dyDescent="0.25">
      <c r="A38" s="3"/>
      <c r="B38" s="623" t="s">
        <v>703</v>
      </c>
      <c r="C38" s="624">
        <v>8363</v>
      </c>
      <c r="D38" s="900">
        <v>1.0023030599889999E-2</v>
      </c>
      <c r="E38" s="927">
        <f t="shared" si="5"/>
        <v>83.822604906880059</v>
      </c>
      <c r="F38" s="624">
        <f t="shared" si="6"/>
        <v>27.9</v>
      </c>
      <c r="G38" s="928">
        <f t="shared" si="7"/>
        <v>2.3386506769019532E-3</v>
      </c>
      <c r="H38" s="864"/>
      <c r="I38" s="3"/>
      <c r="J38" s="864"/>
      <c r="K38" s="865"/>
      <c r="L38" s="864"/>
      <c r="M38" s="572"/>
      <c r="N38" s="3"/>
      <c r="O38" s="3"/>
      <c r="P38" s="3"/>
      <c r="Q38" s="3"/>
      <c r="R38" s="3"/>
      <c r="S38" s="3"/>
      <c r="T38" s="3"/>
      <c r="U38" s="3"/>
      <c r="V38" s="3"/>
      <c r="W38" s="3"/>
      <c r="X38" s="3"/>
      <c r="Y38" s="3"/>
      <c r="Z38" s="3"/>
    </row>
    <row r="39" spans="1:26" ht="15.75" customHeight="1" x14ac:dyDescent="0.25">
      <c r="A39" s="3"/>
      <c r="B39" s="623" t="s">
        <v>753</v>
      </c>
      <c r="C39" s="624">
        <v>132</v>
      </c>
      <c r="D39" s="900">
        <v>1.0023030599889999E-2</v>
      </c>
      <c r="E39" s="927">
        <f t="shared" si="5"/>
        <v>1.32304003918548</v>
      </c>
      <c r="F39" s="624">
        <f t="shared" si="6"/>
        <v>27.9</v>
      </c>
      <c r="G39" s="928">
        <f t="shared" si="7"/>
        <v>3.6912817093274892E-5</v>
      </c>
      <c r="H39" s="864"/>
      <c r="I39" s="3"/>
      <c r="J39" s="864"/>
      <c r="K39" s="865"/>
      <c r="L39" s="864"/>
      <c r="M39" s="572"/>
      <c r="N39" s="3"/>
      <c r="O39" s="3"/>
      <c r="P39" s="3"/>
      <c r="Q39" s="3"/>
      <c r="R39" s="3"/>
      <c r="S39" s="3"/>
      <c r="T39" s="3"/>
      <c r="U39" s="3"/>
      <c r="V39" s="3"/>
      <c r="W39" s="3"/>
      <c r="X39" s="3"/>
      <c r="Y39" s="3"/>
      <c r="Z39" s="3"/>
    </row>
    <row r="40" spans="1:26" ht="15.75" customHeight="1" x14ac:dyDescent="0.25">
      <c r="A40" s="3"/>
      <c r="B40" s="623" t="s">
        <v>755</v>
      </c>
      <c r="C40" s="624">
        <v>3276</v>
      </c>
      <c r="D40" s="900">
        <v>1.0023030599889999E-2</v>
      </c>
      <c r="E40" s="927">
        <f t="shared" si="5"/>
        <v>32.83544824523964</v>
      </c>
      <c r="F40" s="624">
        <f t="shared" si="6"/>
        <v>27.9</v>
      </c>
      <c r="G40" s="928">
        <f t="shared" si="7"/>
        <v>9.1610900604218587E-4</v>
      </c>
      <c r="H40" s="864"/>
      <c r="I40" s="3"/>
      <c r="J40" s="864"/>
      <c r="K40" s="865"/>
      <c r="L40" s="864"/>
      <c r="M40" s="572"/>
      <c r="N40" s="3"/>
      <c r="O40" s="3"/>
      <c r="P40" s="3"/>
      <c r="Q40" s="3"/>
      <c r="R40" s="3"/>
      <c r="S40" s="3"/>
      <c r="T40" s="3"/>
      <c r="U40" s="3"/>
      <c r="V40" s="3"/>
      <c r="W40" s="3"/>
      <c r="X40" s="3"/>
      <c r="Y40" s="3"/>
      <c r="Z40" s="3"/>
    </row>
    <row r="41" spans="1:26" ht="15.75" customHeight="1" x14ac:dyDescent="0.25">
      <c r="A41" s="3"/>
      <c r="B41" s="623" t="s">
        <v>757</v>
      </c>
      <c r="C41" s="624">
        <v>176</v>
      </c>
      <c r="D41" s="900">
        <v>1.0023030599889999E-2</v>
      </c>
      <c r="E41" s="927">
        <f t="shared" si="5"/>
        <v>1.76405338558064</v>
      </c>
      <c r="F41" s="624">
        <f t="shared" si="6"/>
        <v>27.9</v>
      </c>
      <c r="G41" s="928">
        <f t="shared" si="7"/>
        <v>4.9217089457699847E-5</v>
      </c>
      <c r="H41" s="864"/>
      <c r="I41" s="3"/>
      <c r="J41" s="864"/>
      <c r="K41" s="865"/>
      <c r="L41" s="864"/>
      <c r="M41" s="572"/>
      <c r="N41" s="3"/>
      <c r="O41" s="3"/>
      <c r="P41" s="3"/>
      <c r="Q41" s="3"/>
      <c r="R41" s="3"/>
      <c r="S41" s="3"/>
      <c r="T41" s="3"/>
      <c r="U41" s="3"/>
      <c r="V41" s="3"/>
      <c r="W41" s="3"/>
      <c r="X41" s="3"/>
      <c r="Y41" s="3"/>
      <c r="Z41" s="3"/>
    </row>
    <row r="42" spans="1:26" ht="15.75" customHeight="1" x14ac:dyDescent="0.25">
      <c r="A42" s="3"/>
      <c r="B42" s="623" t="s">
        <v>704</v>
      </c>
      <c r="C42" s="624">
        <v>28</v>
      </c>
      <c r="D42" s="900">
        <v>1.0023030599889999E-2</v>
      </c>
      <c r="E42" s="927">
        <f t="shared" si="5"/>
        <v>0.28064485679691997</v>
      </c>
      <c r="F42" s="624">
        <f t="shared" si="6"/>
        <v>27.9</v>
      </c>
      <c r="G42" s="928">
        <f t="shared" si="7"/>
        <v>7.8299915046340661E-6</v>
      </c>
      <c r="H42" s="864"/>
      <c r="I42" s="3"/>
      <c r="J42" s="864"/>
      <c r="K42" s="865"/>
      <c r="L42" s="864"/>
      <c r="M42" s="572"/>
      <c r="N42" s="3"/>
      <c r="O42" s="3"/>
      <c r="P42" s="3"/>
      <c r="Q42" s="3"/>
      <c r="R42" s="3"/>
      <c r="S42" s="3"/>
      <c r="T42" s="3"/>
      <c r="U42" s="3"/>
      <c r="V42" s="3"/>
      <c r="W42" s="3"/>
      <c r="X42" s="3"/>
      <c r="Y42" s="3"/>
      <c r="Z42" s="3"/>
    </row>
    <row r="43" spans="1:26" ht="15.75" customHeight="1" x14ac:dyDescent="0.25">
      <c r="A43" s="3"/>
      <c r="B43" s="623" t="s">
        <v>77</v>
      </c>
      <c r="C43" s="624">
        <v>69374</v>
      </c>
      <c r="D43" s="900">
        <v>4.7477513367900001E-3</v>
      </c>
      <c r="E43" s="927">
        <f t="shared" si="5"/>
        <v>329.37050123846944</v>
      </c>
      <c r="F43" s="624">
        <f t="shared" si="6"/>
        <v>27.9</v>
      </c>
      <c r="G43" s="928">
        <f t="shared" si="7"/>
        <v>9.189436984553297E-3</v>
      </c>
      <c r="H43" s="864"/>
      <c r="I43" s="3"/>
      <c r="J43" s="864"/>
      <c r="K43" s="865"/>
      <c r="L43" s="864"/>
      <c r="M43" s="572"/>
      <c r="N43" s="3"/>
      <c r="O43" s="3"/>
      <c r="P43" s="3"/>
      <c r="Q43" s="3"/>
      <c r="R43" s="3"/>
      <c r="S43" s="3"/>
      <c r="T43" s="3"/>
      <c r="U43" s="3"/>
      <c r="V43" s="3"/>
      <c r="W43" s="3"/>
      <c r="X43" s="3"/>
      <c r="Y43" s="3"/>
      <c r="Z43" s="3"/>
    </row>
    <row r="44" spans="1:26" ht="15.75" customHeight="1" x14ac:dyDescent="0.25">
      <c r="A44" s="3"/>
      <c r="B44" s="623" t="s">
        <v>129</v>
      </c>
      <c r="C44" s="624">
        <v>3556</v>
      </c>
      <c r="D44" s="900">
        <v>0.28486508020740003</v>
      </c>
      <c r="E44" s="927">
        <f t="shared" si="5"/>
        <v>1012.9802252175145</v>
      </c>
      <c r="F44" s="811">
        <f t="shared" si="6"/>
        <v>27.9</v>
      </c>
      <c r="G44" s="930">
        <f t="shared" si="7"/>
        <v>2.8262148283568655E-2</v>
      </c>
      <c r="H44" s="864"/>
      <c r="I44" s="3"/>
      <c r="J44" s="864"/>
      <c r="K44" s="865"/>
      <c r="L44" s="864"/>
      <c r="M44" s="572"/>
      <c r="N44" s="3"/>
      <c r="O44" s="3"/>
      <c r="P44" s="3"/>
      <c r="Q44" s="3"/>
      <c r="R44" s="3"/>
      <c r="S44" s="3"/>
      <c r="T44" s="3"/>
      <c r="U44" s="3"/>
      <c r="V44" s="3"/>
      <c r="W44" s="3"/>
      <c r="X44" s="3"/>
      <c r="Y44" s="3"/>
      <c r="Z44" s="3"/>
    </row>
    <row r="45" spans="1:26" ht="15.75" customHeight="1" x14ac:dyDescent="0.25">
      <c r="A45" s="3"/>
      <c r="B45" s="318"/>
      <c r="C45" s="532"/>
      <c r="D45" s="532"/>
      <c r="E45" s="532"/>
      <c r="F45" s="931" t="s">
        <v>205</v>
      </c>
      <c r="G45" s="932">
        <f>SUM(G37:G44)</f>
        <v>4.0972844304777385E-2</v>
      </c>
      <c r="H45" s="3"/>
      <c r="I45" s="3"/>
      <c r="J45" s="864"/>
      <c r="K45" s="908"/>
      <c r="L45" s="864"/>
      <c r="M45" s="909"/>
      <c r="N45" s="3"/>
      <c r="O45" s="3"/>
      <c r="P45" s="3"/>
      <c r="Q45" s="3"/>
      <c r="R45" s="3"/>
      <c r="S45" s="3"/>
      <c r="T45" s="3"/>
      <c r="U45" s="3"/>
      <c r="V45" s="3"/>
      <c r="W45" s="3"/>
      <c r="X45" s="3"/>
      <c r="Y45" s="3"/>
      <c r="Z45" s="3"/>
    </row>
    <row r="46" spans="1:26" ht="15.75" customHeight="1" x14ac:dyDescent="0.25">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x14ac:dyDescent="0.25">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x14ac:dyDescent="0.25">
      <c r="A48" s="3"/>
      <c r="B48" s="933" t="s">
        <v>778</v>
      </c>
      <c r="C48" s="934"/>
      <c r="D48" s="934"/>
      <c r="E48" s="935"/>
      <c r="F48" s="3"/>
      <c r="G48" s="3"/>
      <c r="H48" s="3"/>
      <c r="I48" s="3"/>
      <c r="J48" s="3"/>
      <c r="K48" s="3"/>
      <c r="L48" s="3"/>
      <c r="M48" s="3"/>
      <c r="N48" s="3"/>
      <c r="O48" s="3"/>
      <c r="P48" s="3"/>
      <c r="Q48" s="3"/>
      <c r="R48" s="3"/>
      <c r="S48" s="3"/>
      <c r="T48" s="3"/>
      <c r="U48" s="3"/>
      <c r="V48" s="3"/>
      <c r="W48" s="3"/>
      <c r="X48" s="3"/>
      <c r="Y48" s="3"/>
      <c r="Z48" s="3"/>
    </row>
    <row r="49" spans="1:26" ht="15.75" customHeight="1" x14ac:dyDescent="0.25">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x14ac:dyDescent="0.25">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x14ac:dyDescent="0.25">
      <c r="A51" s="3"/>
      <c r="B51" s="937"/>
      <c r="C51" s="938"/>
      <c r="D51" s="754" t="s">
        <v>779</v>
      </c>
      <c r="E51" s="754" t="s">
        <v>780</v>
      </c>
      <c r="F51" s="754" t="s">
        <v>781</v>
      </c>
      <c r="G51" s="755" t="s">
        <v>782</v>
      </c>
      <c r="H51" s="3"/>
      <c r="I51" s="3"/>
      <c r="J51" s="3"/>
      <c r="K51" s="3"/>
      <c r="L51" s="3"/>
      <c r="M51" s="3"/>
      <c r="N51" s="3"/>
      <c r="O51" s="3"/>
      <c r="P51" s="3"/>
      <c r="Q51" s="3"/>
      <c r="R51" s="3"/>
      <c r="S51" s="3"/>
      <c r="T51" s="3"/>
      <c r="U51" s="3"/>
      <c r="V51" s="3"/>
      <c r="W51" s="3"/>
      <c r="X51" s="3"/>
      <c r="Y51" s="3"/>
      <c r="Z51" s="3"/>
    </row>
    <row r="52" spans="1:26" ht="15.75" customHeight="1" x14ac:dyDescent="0.25">
      <c r="A52" s="3"/>
      <c r="B52" s="244"/>
      <c r="C52" s="940" t="s">
        <v>685</v>
      </c>
      <c r="D52" s="853" t="s">
        <v>686</v>
      </c>
      <c r="E52" s="853" t="s">
        <v>686</v>
      </c>
      <c r="F52" s="853" t="s">
        <v>686</v>
      </c>
      <c r="G52" s="856" t="s">
        <v>686</v>
      </c>
      <c r="H52" s="3"/>
      <c r="I52" s="3"/>
      <c r="J52" s="3"/>
      <c r="K52" s="3"/>
      <c r="L52" s="3"/>
      <c r="M52" s="3"/>
      <c r="N52" s="3"/>
      <c r="O52" s="3"/>
      <c r="P52" s="3"/>
      <c r="Q52" s="3"/>
      <c r="R52" s="3"/>
      <c r="S52" s="3"/>
      <c r="T52" s="3"/>
      <c r="U52" s="3"/>
      <c r="V52" s="3"/>
      <c r="W52" s="3"/>
      <c r="X52" s="3"/>
      <c r="Y52" s="3"/>
      <c r="Z52" s="3"/>
    </row>
    <row r="53" spans="1:26" ht="15.75" customHeight="1" x14ac:dyDescent="0.25">
      <c r="A53" s="3"/>
      <c r="B53" s="941" t="s">
        <v>9</v>
      </c>
      <c r="C53" s="940" t="s">
        <v>690</v>
      </c>
      <c r="D53" s="765" t="s">
        <v>784</v>
      </c>
      <c r="E53" s="765" t="s">
        <v>785</v>
      </c>
      <c r="F53" s="765" t="s">
        <v>786</v>
      </c>
      <c r="G53" s="766" t="s">
        <v>787</v>
      </c>
      <c r="H53" s="3"/>
      <c r="I53" s="3"/>
      <c r="J53" s="3"/>
      <c r="K53" s="3"/>
      <c r="L53" s="3"/>
      <c r="M53" s="3"/>
      <c r="N53" s="3"/>
      <c r="O53" s="3"/>
      <c r="P53" s="3"/>
      <c r="Q53" s="3"/>
      <c r="R53" s="3"/>
      <c r="S53" s="3"/>
      <c r="T53" s="3"/>
      <c r="U53" s="3"/>
      <c r="V53" s="3"/>
      <c r="W53" s="3"/>
      <c r="X53" s="3"/>
      <c r="Y53" s="3"/>
      <c r="Z53" s="3"/>
    </row>
    <row r="54" spans="1:26" ht="15.75" customHeight="1" x14ac:dyDescent="0.25">
      <c r="A54" s="3"/>
      <c r="B54" s="244" t="s">
        <v>53</v>
      </c>
      <c r="C54" s="624">
        <v>617</v>
      </c>
      <c r="D54" s="943">
        <f t="shared" ref="D54:D60" si="8">G8</f>
        <v>5.8279398354469596E-2</v>
      </c>
      <c r="E54" s="944">
        <f t="shared" ref="E54:E61" si="9">G37</f>
        <v>1.7253945565568642E-4</v>
      </c>
      <c r="F54" s="943">
        <f t="shared" ref="F54:F61" si="10">G22</f>
        <v>2.5324339459141071E-4</v>
      </c>
      <c r="G54" s="945">
        <f t="shared" ref="G54:G61" si="11">D54+E54+F54</f>
        <v>5.870518120471669E-2</v>
      </c>
      <c r="H54" s="3"/>
      <c r="I54" s="3"/>
      <c r="J54" s="3"/>
      <c r="K54" s="3"/>
      <c r="L54" s="3"/>
      <c r="M54" s="3"/>
      <c r="N54" s="3"/>
      <c r="O54" s="3"/>
      <c r="P54" s="3"/>
      <c r="Q54" s="3"/>
      <c r="R54" s="3"/>
      <c r="S54" s="3"/>
      <c r="T54" s="3"/>
      <c r="U54" s="3"/>
      <c r="V54" s="3"/>
      <c r="W54" s="3"/>
      <c r="X54" s="3"/>
      <c r="Y54" s="3"/>
      <c r="Z54" s="3"/>
    </row>
    <row r="55" spans="1:26" ht="15.75" customHeight="1" x14ac:dyDescent="0.25">
      <c r="A55" s="3"/>
      <c r="B55" s="244" t="s">
        <v>703</v>
      </c>
      <c r="C55" s="624">
        <v>8363</v>
      </c>
      <c r="D55" s="943">
        <f t="shared" si="8"/>
        <v>0.6179816520514021</v>
      </c>
      <c r="E55" s="944">
        <f t="shared" si="9"/>
        <v>2.3386506769019532E-3</v>
      </c>
      <c r="F55" s="943">
        <f t="shared" si="10"/>
        <v>1.3730142683746952E-3</v>
      </c>
      <c r="G55" s="945">
        <f t="shared" si="11"/>
        <v>0.62169331699667874</v>
      </c>
      <c r="H55" s="3"/>
      <c r="I55" s="3"/>
      <c r="J55" s="3"/>
      <c r="K55" s="3"/>
      <c r="L55" s="3"/>
      <c r="M55" s="3"/>
      <c r="N55" s="3"/>
      <c r="O55" s="3"/>
      <c r="P55" s="3"/>
      <c r="Q55" s="3"/>
      <c r="R55" s="3"/>
      <c r="S55" s="3"/>
      <c r="T55" s="3"/>
      <c r="U55" s="3"/>
      <c r="V55" s="3"/>
      <c r="W55" s="3"/>
      <c r="X55" s="3"/>
      <c r="Y55" s="3"/>
      <c r="Z55" s="3"/>
    </row>
    <row r="56" spans="1:26" ht="15.75" customHeight="1" x14ac:dyDescent="0.25">
      <c r="A56" s="3"/>
      <c r="B56" s="244" t="s">
        <v>753</v>
      </c>
      <c r="C56" s="624">
        <v>132</v>
      </c>
      <c r="D56" s="943">
        <f t="shared" si="8"/>
        <v>9.6531169503075998E-3</v>
      </c>
      <c r="E56" s="944">
        <f t="shared" si="9"/>
        <v>3.6912817093274892E-5</v>
      </c>
      <c r="F56" s="943">
        <f t="shared" si="10"/>
        <v>2.1671395841858156E-5</v>
      </c>
      <c r="G56" s="945">
        <f t="shared" si="11"/>
        <v>9.7117011632427332E-3</v>
      </c>
      <c r="H56" s="3"/>
      <c r="I56" s="3"/>
      <c r="J56" s="3"/>
      <c r="K56" s="3"/>
      <c r="L56" s="3"/>
      <c r="M56" s="3"/>
      <c r="N56" s="3"/>
      <c r="O56" s="3"/>
      <c r="P56" s="3"/>
      <c r="Q56" s="3"/>
      <c r="R56" s="3"/>
      <c r="S56" s="3"/>
      <c r="T56" s="3"/>
      <c r="U56" s="3"/>
      <c r="V56" s="3"/>
      <c r="W56" s="3"/>
      <c r="X56" s="3"/>
      <c r="Y56" s="3"/>
      <c r="Z56" s="3"/>
    </row>
    <row r="57" spans="1:26" ht="15.75" customHeight="1" x14ac:dyDescent="0.25">
      <c r="A57" s="3"/>
      <c r="B57" s="244" t="s">
        <v>755</v>
      </c>
      <c r="C57" s="624">
        <v>3276</v>
      </c>
      <c r="D57" s="943">
        <f t="shared" si="8"/>
        <v>0.20219729290016566</v>
      </c>
      <c r="E57" s="944">
        <f t="shared" si="9"/>
        <v>9.1610900604218587E-4</v>
      </c>
      <c r="F57" s="943">
        <f t="shared" si="10"/>
        <v>5.3784464225702512E-4</v>
      </c>
      <c r="G57" s="945">
        <f t="shared" si="11"/>
        <v>0.20365124654846489</v>
      </c>
      <c r="H57" s="3"/>
      <c r="I57" s="3"/>
      <c r="J57" s="3"/>
      <c r="K57" s="3"/>
      <c r="L57" s="3"/>
      <c r="M57" s="3"/>
      <c r="N57" s="3"/>
      <c r="O57" s="3"/>
      <c r="P57" s="3"/>
      <c r="Q57" s="3"/>
      <c r="R57" s="3"/>
      <c r="S57" s="3"/>
      <c r="T57" s="3"/>
      <c r="U57" s="3"/>
      <c r="V57" s="3"/>
      <c r="W57" s="3"/>
      <c r="X57" s="3"/>
      <c r="Y57" s="3"/>
      <c r="Z57" s="3"/>
    </row>
    <row r="58" spans="1:26" ht="15.75" customHeight="1" x14ac:dyDescent="0.25">
      <c r="A58" s="3"/>
      <c r="B58" s="244" t="s">
        <v>757</v>
      </c>
      <c r="C58" s="624">
        <v>176</v>
      </c>
      <c r="D58" s="943">
        <f t="shared" si="8"/>
        <v>1.2557830994723879E-2</v>
      </c>
      <c r="E58" s="944">
        <f t="shared" si="9"/>
        <v>4.9217089457699847E-5</v>
      </c>
      <c r="F58" s="943">
        <f t="shared" si="10"/>
        <v>2.8895194455810876E-5</v>
      </c>
      <c r="G58" s="945">
        <f t="shared" si="11"/>
        <v>1.2635943278637389E-2</v>
      </c>
      <c r="H58" s="3"/>
      <c r="I58" s="3"/>
      <c r="J58" s="3"/>
      <c r="K58" s="3"/>
      <c r="L58" s="3"/>
      <c r="M58" s="3"/>
      <c r="N58" s="3"/>
      <c r="O58" s="3"/>
      <c r="P58" s="3"/>
      <c r="Q58" s="3"/>
      <c r="R58" s="3"/>
      <c r="S58" s="3"/>
      <c r="T58" s="3"/>
      <c r="U58" s="3"/>
      <c r="V58" s="3"/>
      <c r="W58" s="3"/>
      <c r="X58" s="3"/>
      <c r="Y58" s="3"/>
      <c r="Z58" s="3"/>
    </row>
    <row r="59" spans="1:26" ht="15.75" customHeight="1" x14ac:dyDescent="0.25">
      <c r="A59" s="3"/>
      <c r="B59" s="244" t="s">
        <v>704</v>
      </c>
      <c r="C59" s="624">
        <v>28</v>
      </c>
      <c r="D59" s="943">
        <f t="shared" si="8"/>
        <v>2.1007193192318667E-3</v>
      </c>
      <c r="E59" s="944">
        <f t="shared" si="9"/>
        <v>7.8299915046340661E-6</v>
      </c>
      <c r="F59" s="943">
        <f t="shared" si="10"/>
        <v>4.5969627543335484E-6</v>
      </c>
      <c r="G59" s="945">
        <f t="shared" si="11"/>
        <v>2.1131462734908344E-3</v>
      </c>
      <c r="H59" s="3"/>
      <c r="I59" s="3"/>
      <c r="J59" s="3"/>
      <c r="K59" s="3"/>
      <c r="L59" s="3"/>
      <c r="M59" s="3"/>
      <c r="N59" s="3"/>
      <c r="O59" s="3"/>
      <c r="P59" s="3"/>
      <c r="Q59" s="3"/>
      <c r="R59" s="3"/>
      <c r="S59" s="3"/>
      <c r="T59" s="3"/>
      <c r="U59" s="3"/>
      <c r="V59" s="3"/>
      <c r="W59" s="3"/>
      <c r="X59" s="3"/>
      <c r="Y59" s="3"/>
      <c r="Z59" s="3"/>
    </row>
    <row r="60" spans="1:26" ht="15.75" customHeight="1" x14ac:dyDescent="0.25">
      <c r="A60" s="3"/>
      <c r="B60" s="244" t="s">
        <v>77</v>
      </c>
      <c r="C60" s="624">
        <v>69374</v>
      </c>
      <c r="D60" s="943">
        <f t="shared" si="8"/>
        <v>3.6771891538221788</v>
      </c>
      <c r="E60" s="944">
        <f t="shared" si="9"/>
        <v>9.189436984553297E-3</v>
      </c>
      <c r="F60" s="943">
        <f t="shared" si="10"/>
        <v>1.7983629367620436E-3</v>
      </c>
      <c r="G60" s="945">
        <f t="shared" si="11"/>
        <v>3.6881769537434939</v>
      </c>
      <c r="H60" s="3"/>
      <c r="I60" s="3"/>
      <c r="J60" s="3"/>
      <c r="K60" s="3"/>
      <c r="L60" s="3"/>
      <c r="M60" s="3"/>
      <c r="N60" s="3"/>
      <c r="O60" s="3"/>
      <c r="P60" s="3"/>
      <c r="Q60" s="3"/>
      <c r="R60" s="3"/>
      <c r="S60" s="3"/>
      <c r="T60" s="3"/>
      <c r="U60" s="3"/>
      <c r="V60" s="3"/>
      <c r="W60" s="3"/>
      <c r="X60" s="3"/>
      <c r="Y60" s="3"/>
      <c r="Z60" s="3"/>
    </row>
    <row r="61" spans="1:26" ht="15.75" customHeight="1" x14ac:dyDescent="0.25">
      <c r="A61" s="3"/>
      <c r="B61" s="244" t="s">
        <v>129</v>
      </c>
      <c r="C61" s="624">
        <v>3556</v>
      </c>
      <c r="D61" s="81">
        <v>0</v>
      </c>
      <c r="E61" s="944">
        <f t="shared" si="9"/>
        <v>2.8262148283568655E-2</v>
      </c>
      <c r="F61" s="943">
        <f t="shared" si="10"/>
        <v>3.6872480197917526E-3</v>
      </c>
      <c r="G61" s="949">
        <f t="shared" si="11"/>
        <v>3.1949396303360411E-2</v>
      </c>
      <c r="H61" s="3"/>
      <c r="I61" s="3"/>
      <c r="J61" s="3"/>
      <c r="K61" s="3"/>
      <c r="L61" s="3"/>
      <c r="M61" s="3"/>
      <c r="N61" s="3"/>
      <c r="O61" s="3"/>
      <c r="P61" s="3"/>
      <c r="Q61" s="3"/>
      <c r="R61" s="3"/>
      <c r="S61" s="3"/>
      <c r="T61" s="3"/>
      <c r="U61" s="3"/>
      <c r="V61" s="3"/>
      <c r="W61" s="3"/>
      <c r="X61" s="3"/>
      <c r="Y61" s="3"/>
      <c r="Z61" s="3"/>
    </row>
    <row r="62" spans="1:26" ht="15.75" customHeight="1" x14ac:dyDescent="0.25">
      <c r="A62" s="3"/>
      <c r="B62" s="916"/>
      <c r="C62" s="886"/>
      <c r="D62" s="886"/>
      <c r="E62" s="886"/>
      <c r="F62" s="931" t="s">
        <v>205</v>
      </c>
      <c r="G62" s="950">
        <f>SUM(G54:G61)</f>
        <v>4.6286368855120861</v>
      </c>
      <c r="H62" s="3"/>
      <c r="I62" s="3"/>
      <c r="J62" s="3"/>
      <c r="K62" s="3"/>
      <c r="L62" s="3"/>
      <c r="M62" s="3"/>
      <c r="N62" s="3"/>
      <c r="O62" s="3"/>
      <c r="P62" s="3"/>
      <c r="Q62" s="3"/>
      <c r="R62" s="3"/>
      <c r="S62" s="3"/>
      <c r="T62" s="3"/>
      <c r="U62" s="3"/>
      <c r="V62" s="3"/>
      <c r="W62" s="3"/>
      <c r="X62" s="3"/>
      <c r="Y62" s="3"/>
      <c r="Z62" s="3"/>
    </row>
    <row r="63" spans="1:26" ht="15.75" customHeight="1" thickTop="1" thickBot="1" x14ac:dyDescent="0.3">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thickTop="1" x14ac:dyDescent="0.25">
      <c r="A64" s="3"/>
      <c r="B64" s="2399"/>
      <c r="C64" s="2400" t="s">
        <v>3</v>
      </c>
      <c r="D64" s="2419" t="s">
        <v>14</v>
      </c>
      <c r="E64" s="2419" t="s">
        <v>18</v>
      </c>
      <c r="F64" s="2420" t="s">
        <v>205</v>
      </c>
      <c r="H64" s="3"/>
      <c r="I64" s="3"/>
      <c r="J64" s="3"/>
      <c r="K64" s="3"/>
      <c r="L64" s="3"/>
      <c r="M64" s="3"/>
      <c r="N64" s="3"/>
      <c r="O64" s="3"/>
      <c r="P64" s="3"/>
      <c r="Q64" s="3"/>
      <c r="R64" s="3"/>
      <c r="S64" s="3"/>
      <c r="T64" s="3"/>
      <c r="U64" s="3"/>
      <c r="V64" s="3"/>
      <c r="W64" s="3"/>
      <c r="X64" s="3"/>
      <c r="Y64" s="3"/>
      <c r="Z64" s="3"/>
    </row>
    <row r="65" spans="1:26" ht="15.75" customHeight="1" thickBot="1" x14ac:dyDescent="0.3">
      <c r="A65" s="3"/>
      <c r="B65" s="2402" t="s">
        <v>2185</v>
      </c>
      <c r="C65" s="2403" t="s">
        <v>2186</v>
      </c>
      <c r="D65" s="2403" t="s">
        <v>2186</v>
      </c>
      <c r="E65" s="2421" t="s">
        <v>2186</v>
      </c>
      <c r="F65" s="2422" t="s">
        <v>2186</v>
      </c>
      <c r="H65" s="3"/>
      <c r="I65" s="3"/>
      <c r="J65" s="3"/>
      <c r="K65" s="3"/>
      <c r="L65" s="3"/>
      <c r="M65" s="3"/>
      <c r="N65" s="3"/>
      <c r="O65" s="3"/>
      <c r="P65" s="3"/>
      <c r="Q65" s="3"/>
      <c r="R65" s="3"/>
      <c r="S65" s="3"/>
      <c r="T65" s="3"/>
      <c r="U65" s="3"/>
      <c r="V65" s="3"/>
      <c r="W65" s="3"/>
      <c r="X65" s="3"/>
      <c r="Y65" s="3"/>
      <c r="Z65" s="3"/>
    </row>
    <row r="66" spans="1:26" ht="15.75" customHeight="1" x14ac:dyDescent="0.25">
      <c r="A66" s="3"/>
      <c r="B66" s="2405" t="s">
        <v>53</v>
      </c>
      <c r="C66" s="2423">
        <f>D54</f>
        <v>5.8279398354469596E-2</v>
      </c>
      <c r="D66" s="2423">
        <f>E54</f>
        <v>1.7253945565568642E-4</v>
      </c>
      <c r="E66" s="2424">
        <f>F54</f>
        <v>2.5324339459141071E-4</v>
      </c>
      <c r="F66" s="2425">
        <f>G54</f>
        <v>5.870518120471669E-2</v>
      </c>
      <c r="H66" s="3"/>
      <c r="I66" s="3"/>
      <c r="J66" s="3"/>
      <c r="K66" s="3"/>
      <c r="L66" s="3"/>
      <c r="M66" s="3"/>
      <c r="N66" s="3"/>
      <c r="O66" s="3"/>
      <c r="P66" s="3"/>
      <c r="Q66" s="3"/>
      <c r="R66" s="3"/>
      <c r="S66" s="3"/>
      <c r="T66" s="3"/>
      <c r="U66" s="3"/>
      <c r="V66" s="3"/>
      <c r="W66" s="3"/>
      <c r="X66" s="3"/>
      <c r="Y66" s="3"/>
      <c r="Z66" s="3"/>
    </row>
    <row r="67" spans="1:26" ht="15.75" customHeight="1" x14ac:dyDescent="0.25">
      <c r="A67" s="3"/>
      <c r="B67" s="2408" t="s">
        <v>166</v>
      </c>
      <c r="C67" s="2426">
        <f>D60+D57</f>
        <v>3.8793864467223447</v>
      </c>
      <c r="D67" s="2426">
        <f>E60+E57</f>
        <v>1.0105545990595483E-2</v>
      </c>
      <c r="E67" s="2427">
        <f>F60+F57</f>
        <v>2.3362075790190687E-3</v>
      </c>
      <c r="F67" s="2428">
        <f>G60+G57</f>
        <v>3.8918282002919589</v>
      </c>
      <c r="H67" s="3"/>
      <c r="I67" s="3"/>
      <c r="J67" s="3"/>
      <c r="K67" s="3"/>
      <c r="L67" s="3"/>
      <c r="M67" s="3"/>
      <c r="N67" s="3"/>
      <c r="O67" s="3"/>
      <c r="P67" s="3"/>
      <c r="Q67" s="3"/>
      <c r="R67" s="3"/>
      <c r="S67" s="3"/>
      <c r="T67" s="3"/>
      <c r="U67" s="3"/>
      <c r="V67" s="3"/>
      <c r="W67" s="3"/>
      <c r="X67" s="3"/>
      <c r="Y67" s="3"/>
      <c r="Z67" s="3"/>
    </row>
    <row r="68" spans="1:26" ht="15.75" customHeight="1" x14ac:dyDescent="0.25">
      <c r="A68" s="3"/>
      <c r="B68" s="2408" t="s">
        <v>179</v>
      </c>
      <c r="C68" s="2426">
        <f>D55+D56+D58+D59</f>
        <v>0.64229331931566536</v>
      </c>
      <c r="D68" s="2426">
        <f>E55+E56+E58+E59</f>
        <v>2.432610574957562E-3</v>
      </c>
      <c r="E68" s="2427">
        <f>F55+F56+F58+F59</f>
        <v>1.4281778214266978E-3</v>
      </c>
      <c r="F68" s="2428">
        <f>G55+G56+G58+G59</f>
        <v>0.64615410771204962</v>
      </c>
      <c r="H68" s="3"/>
      <c r="I68" s="3"/>
      <c r="J68" s="3"/>
      <c r="K68" s="3"/>
      <c r="L68" s="3"/>
      <c r="M68" s="3"/>
      <c r="N68" s="3"/>
      <c r="O68" s="3"/>
      <c r="P68" s="3"/>
      <c r="Q68" s="3"/>
      <c r="R68" s="3"/>
      <c r="S68" s="3"/>
      <c r="T68" s="3"/>
      <c r="U68" s="3"/>
      <c r="V68" s="3"/>
      <c r="W68" s="3"/>
      <c r="X68" s="3"/>
      <c r="Y68" s="3"/>
      <c r="Z68" s="3"/>
    </row>
    <row r="69" spans="1:26" ht="15.75" thickBot="1" x14ac:dyDescent="0.3">
      <c r="A69" s="3"/>
      <c r="B69" s="2411" t="s">
        <v>129</v>
      </c>
      <c r="C69" s="2412">
        <f>D61</f>
        <v>0</v>
      </c>
      <c r="D69" s="2412">
        <f>E61</f>
        <v>2.8262148283568655E-2</v>
      </c>
      <c r="E69" s="2429">
        <f>F61</f>
        <v>3.6872480197917526E-3</v>
      </c>
      <c r="F69" s="2430">
        <f>G61</f>
        <v>3.1949396303360411E-2</v>
      </c>
      <c r="H69" s="3"/>
      <c r="I69" s="3"/>
      <c r="J69" s="3"/>
      <c r="K69" s="3"/>
      <c r="L69" s="3"/>
      <c r="M69" s="3"/>
      <c r="N69" s="3"/>
      <c r="O69" s="3"/>
      <c r="P69" s="3"/>
      <c r="Q69" s="3"/>
      <c r="R69" s="3"/>
      <c r="S69" s="3"/>
      <c r="T69" s="3"/>
      <c r="U69" s="3"/>
      <c r="V69" s="3"/>
      <c r="W69" s="3"/>
      <c r="X69" s="3"/>
      <c r="Y69" s="3"/>
      <c r="Z69" s="3"/>
    </row>
    <row r="70" spans="1:26" ht="15.75" customHeight="1" thickBot="1" x14ac:dyDescent="0.3">
      <c r="A70" s="3"/>
      <c r="B70" s="2414"/>
      <c r="C70" s="2415"/>
      <c r="D70" s="2415"/>
      <c r="E70" s="2416" t="s">
        <v>205</v>
      </c>
      <c r="F70" s="2431">
        <f>SUM(F66:F69)</f>
        <v>4.6286368855120861</v>
      </c>
      <c r="H70" s="3"/>
      <c r="I70" s="3"/>
      <c r="J70" s="3"/>
      <c r="K70" s="3"/>
      <c r="L70" s="3"/>
      <c r="M70" s="3"/>
      <c r="N70" s="3"/>
      <c r="O70" s="3"/>
      <c r="P70" s="3"/>
      <c r="Q70" s="3"/>
      <c r="R70" s="3"/>
      <c r="S70" s="3"/>
      <c r="T70" s="3"/>
      <c r="U70" s="3"/>
      <c r="V70" s="3"/>
      <c r="W70" s="3"/>
      <c r="X70" s="3"/>
      <c r="Y70" s="3"/>
      <c r="Z70" s="3"/>
    </row>
    <row r="71" spans="1:26" ht="15.75" customHeight="1" thickTop="1" x14ac:dyDescent="0.25">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x14ac:dyDescent="0.25">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x14ac:dyDescent="0.25">
      <c r="A73" s="3"/>
      <c r="B73" s="954"/>
      <c r="C73" s="2418"/>
      <c r="D73" s="2418"/>
      <c r="E73" s="2418"/>
      <c r="F73" s="2418"/>
      <c r="G73" s="2418"/>
      <c r="H73" s="3"/>
      <c r="I73" s="3"/>
      <c r="J73" s="3"/>
      <c r="K73" s="3"/>
      <c r="L73" s="3"/>
      <c r="M73" s="3"/>
      <c r="N73" s="3"/>
      <c r="O73" s="3"/>
      <c r="P73" s="3"/>
      <c r="Q73" s="3"/>
      <c r="R73" s="3"/>
      <c r="S73" s="3"/>
      <c r="T73" s="3"/>
      <c r="U73" s="3"/>
      <c r="V73" s="3"/>
      <c r="W73" s="3"/>
      <c r="X73" s="3"/>
      <c r="Y73" s="3"/>
      <c r="Z73" s="3"/>
    </row>
    <row r="74" spans="1:26" ht="15.75" customHeight="1" x14ac:dyDescent="0.2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25">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2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x14ac:dyDescent="0.25">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x14ac:dyDescent="0.2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2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2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2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2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2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2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2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2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2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2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2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2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2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2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2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2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2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2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2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2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2"/>
    <row r="275" spans="1:26" ht="15.75" customHeight="1" x14ac:dyDescent="0.2"/>
    <row r="276" spans="1:26" ht="15.75" customHeight="1" x14ac:dyDescent="0.2"/>
    <row r="277" spans="1:26" ht="15.75" customHeight="1" x14ac:dyDescent="0.2"/>
    <row r="278" spans="1:26" ht="15.75" customHeight="1" x14ac:dyDescent="0.2"/>
    <row r="279" spans="1:26" ht="15.75" customHeight="1" x14ac:dyDescent="0.2"/>
    <row r="280" spans="1:26" ht="15.75" customHeight="1" x14ac:dyDescent="0.2"/>
    <row r="281" spans="1:26" ht="15.75" customHeight="1" x14ac:dyDescent="0.2"/>
    <row r="282" spans="1:26" ht="15.75" customHeight="1" x14ac:dyDescent="0.2"/>
    <row r="283" spans="1:26" ht="15.75" customHeight="1" x14ac:dyDescent="0.2"/>
    <row r="284" spans="1:26" ht="15.75" customHeight="1" x14ac:dyDescent="0.2"/>
    <row r="285" spans="1:26" ht="15.75" customHeight="1" x14ac:dyDescent="0.2"/>
    <row r="286" spans="1:26" ht="15.75" customHeight="1" x14ac:dyDescent="0.2"/>
    <row r="287" spans="1:26" ht="15.75" customHeight="1" x14ac:dyDescent="0.2"/>
    <row r="288" spans="1:26"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I5:J5"/>
  </mergeCells>
  <pageMargins left="0.7" right="0.7" top="0.75" bottom="0.75" header="0" footer="0"/>
  <pageSetup orientation="landscape"/>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997"/>
  <sheetViews>
    <sheetView workbookViewId="0"/>
  </sheetViews>
  <sheetFormatPr defaultColWidth="16.83203125" defaultRowHeight="15" customHeight="1" x14ac:dyDescent="0.2"/>
  <cols>
    <col min="1" max="1" width="9.33203125" customWidth="1"/>
    <col min="2" max="2" width="42.33203125" customWidth="1"/>
    <col min="3" max="3" width="17.83203125" customWidth="1"/>
    <col min="4" max="4" width="19.33203125" customWidth="1"/>
    <col min="5" max="5" width="24.83203125" customWidth="1"/>
    <col min="6" max="7" width="20.33203125" customWidth="1"/>
    <col min="8" max="8" width="15.1640625" customWidth="1"/>
    <col min="9" max="9" width="22" customWidth="1"/>
    <col min="10" max="10" width="17.1640625" customWidth="1"/>
    <col min="11" max="11" width="9.33203125" customWidth="1"/>
    <col min="12" max="12" width="10.5" customWidth="1"/>
    <col min="13" max="16" width="9.33203125" customWidth="1"/>
    <col min="17" max="26" width="8" customWidth="1"/>
  </cols>
  <sheetData>
    <row r="1" spans="1:26" x14ac:dyDescent="0.25">
      <c r="A1" s="3"/>
      <c r="B1" s="2432"/>
      <c r="C1" s="20"/>
      <c r="D1" s="20"/>
      <c r="E1" s="20"/>
      <c r="F1" s="22"/>
      <c r="G1" s="20"/>
      <c r="H1" s="20"/>
      <c r="I1" s="20"/>
      <c r="J1" s="20"/>
      <c r="K1" s="20"/>
      <c r="L1" s="20"/>
      <c r="M1" s="20"/>
      <c r="N1" s="20"/>
      <c r="O1" s="20"/>
      <c r="P1" s="20"/>
      <c r="Q1" s="20"/>
      <c r="R1" s="20"/>
      <c r="S1" s="20"/>
      <c r="T1" s="20"/>
      <c r="U1" s="20"/>
      <c r="V1" s="20"/>
      <c r="W1" s="20"/>
      <c r="X1" s="20"/>
      <c r="Y1" s="20"/>
      <c r="Z1" s="20"/>
    </row>
    <row r="2" spans="1:26" x14ac:dyDescent="0.25">
      <c r="A2" s="3"/>
      <c r="B2" s="2433" t="s">
        <v>795</v>
      </c>
      <c r="C2" s="20"/>
      <c r="D2" s="20"/>
      <c r="E2" s="20"/>
      <c r="F2" s="22"/>
      <c r="G2" s="20"/>
      <c r="H2" s="20"/>
      <c r="I2" s="20"/>
      <c r="J2" s="20"/>
      <c r="K2" s="20"/>
      <c r="L2" s="20"/>
      <c r="M2" s="20"/>
      <c r="N2" s="20"/>
      <c r="O2" s="20"/>
      <c r="P2" s="20"/>
      <c r="Q2" s="20"/>
      <c r="R2" s="20"/>
      <c r="S2" s="20"/>
      <c r="T2" s="20"/>
      <c r="U2" s="20"/>
      <c r="V2" s="20"/>
      <c r="W2" s="20"/>
      <c r="X2" s="20"/>
      <c r="Y2" s="20"/>
      <c r="Z2" s="20"/>
    </row>
    <row r="3" spans="1:26" x14ac:dyDescent="0.25">
      <c r="A3" s="3"/>
      <c r="B3" s="3"/>
      <c r="C3" s="20"/>
      <c r="D3" s="20"/>
      <c r="E3" s="20"/>
      <c r="F3" s="22"/>
      <c r="G3" s="20"/>
      <c r="H3" s="20"/>
      <c r="I3" s="20"/>
      <c r="J3" s="20"/>
      <c r="K3" s="20"/>
      <c r="L3" s="20"/>
      <c r="M3" s="20"/>
      <c r="N3" s="20"/>
      <c r="O3" s="20"/>
      <c r="P3" s="20"/>
      <c r="Q3" s="20"/>
      <c r="R3" s="20"/>
      <c r="S3" s="20"/>
      <c r="T3" s="20"/>
      <c r="U3" s="20"/>
      <c r="V3" s="20"/>
      <c r="W3" s="20"/>
      <c r="X3" s="20"/>
      <c r="Y3" s="20"/>
      <c r="Z3" s="20"/>
    </row>
    <row r="4" spans="1:26" x14ac:dyDescent="0.25">
      <c r="A4" s="3"/>
      <c r="B4" s="3"/>
      <c r="C4" s="20"/>
      <c r="D4" s="20"/>
      <c r="E4" s="20"/>
      <c r="F4" s="22"/>
      <c r="G4" s="20"/>
      <c r="H4" s="20"/>
      <c r="I4" s="20"/>
      <c r="J4" s="20"/>
      <c r="K4" s="20"/>
      <c r="L4" s="20"/>
      <c r="M4" s="20"/>
      <c r="N4" s="20"/>
      <c r="O4" s="20"/>
      <c r="P4" s="20"/>
      <c r="Q4" s="20"/>
      <c r="R4" s="20"/>
      <c r="S4" s="20"/>
      <c r="T4" s="20"/>
      <c r="U4" s="20"/>
      <c r="V4" s="20"/>
      <c r="W4" s="20"/>
      <c r="X4" s="20"/>
      <c r="Y4" s="20"/>
      <c r="Z4" s="20"/>
    </row>
    <row r="5" spans="1:26" x14ac:dyDescent="0.25">
      <c r="A5" s="3"/>
      <c r="B5" s="3"/>
      <c r="C5" s="20"/>
      <c r="D5" s="20"/>
      <c r="E5" s="20"/>
      <c r="F5" s="22" t="s">
        <v>796</v>
      </c>
      <c r="G5" s="20"/>
      <c r="H5" s="20"/>
      <c r="I5" s="20"/>
      <c r="J5" s="20"/>
      <c r="K5" s="20"/>
      <c r="L5" s="20"/>
      <c r="M5" s="20"/>
      <c r="N5" s="20"/>
      <c r="O5" s="20"/>
      <c r="P5" s="20"/>
      <c r="Q5" s="20"/>
      <c r="R5" s="20"/>
      <c r="S5" s="20"/>
      <c r="T5" s="20"/>
      <c r="U5" s="20"/>
      <c r="V5" s="20"/>
      <c r="W5" s="20"/>
      <c r="X5" s="20"/>
      <c r="Y5" s="20"/>
      <c r="Z5" s="20"/>
    </row>
    <row r="6" spans="1:26" x14ac:dyDescent="0.25">
      <c r="A6" s="2320"/>
      <c r="B6" s="2317"/>
      <c r="C6" s="2317"/>
      <c r="D6" s="2317"/>
      <c r="E6" s="2317"/>
      <c r="F6" s="2317"/>
      <c r="G6" s="2317"/>
      <c r="H6" s="2317"/>
      <c r="I6" s="2317"/>
      <c r="J6" s="2317"/>
      <c r="K6" s="20"/>
      <c r="L6" s="20"/>
      <c r="M6" s="20"/>
      <c r="N6" s="20"/>
      <c r="O6" s="20"/>
      <c r="P6" s="20"/>
      <c r="Q6" s="20"/>
      <c r="R6" s="20"/>
      <c r="S6" s="20"/>
      <c r="T6" s="20"/>
      <c r="U6" s="20"/>
      <c r="V6" s="20"/>
      <c r="W6" s="20"/>
      <c r="X6" s="20"/>
      <c r="Y6" s="20"/>
      <c r="Z6" s="20"/>
    </row>
    <row r="7" spans="1:26" x14ac:dyDescent="0.25">
      <c r="A7" s="3"/>
      <c r="B7" s="3"/>
      <c r="C7" s="3"/>
      <c r="D7" s="3"/>
      <c r="E7" s="3"/>
      <c r="F7" s="3"/>
      <c r="G7" s="3"/>
      <c r="H7" s="3"/>
      <c r="I7" s="3"/>
      <c r="J7" s="3"/>
      <c r="K7" s="3"/>
      <c r="L7" s="3"/>
      <c r="M7" s="3"/>
      <c r="N7" s="3"/>
      <c r="O7" s="3"/>
      <c r="P7" s="3"/>
      <c r="Q7" s="3"/>
      <c r="R7" s="3"/>
      <c r="S7" s="3"/>
      <c r="T7" s="3"/>
      <c r="U7" s="3"/>
      <c r="V7" s="3"/>
      <c r="W7" s="3"/>
      <c r="X7" s="3"/>
      <c r="Y7" s="3"/>
      <c r="Z7" s="3"/>
    </row>
    <row r="8" spans="1:26" ht="15" customHeight="1" x14ac:dyDescent="0.4">
      <c r="A8" s="3"/>
      <c r="B8" s="888" t="s">
        <v>797</v>
      </c>
      <c r="C8" s="888"/>
      <c r="D8" s="888">
        <v>2011</v>
      </c>
      <c r="E8" s="20"/>
      <c r="F8" s="20"/>
      <c r="G8" s="20"/>
      <c r="H8" s="20"/>
      <c r="I8" s="20"/>
      <c r="J8" s="20"/>
      <c r="K8" s="20"/>
      <c r="L8" s="20"/>
      <c r="M8" s="20"/>
      <c r="N8" s="20"/>
      <c r="O8" s="20"/>
      <c r="P8" s="3"/>
      <c r="Q8" s="3"/>
      <c r="R8" s="3"/>
      <c r="S8" s="3"/>
      <c r="T8" s="3"/>
      <c r="U8" s="3"/>
      <c r="V8" s="3"/>
      <c r="W8" s="3"/>
      <c r="X8" s="3"/>
      <c r="Y8" s="3"/>
      <c r="Z8" s="3"/>
    </row>
    <row r="9" spans="1:26" x14ac:dyDescent="0.25">
      <c r="A9" s="3"/>
      <c r="B9" s="751"/>
      <c r="C9" s="753" t="s">
        <v>34</v>
      </c>
      <c r="D9" s="753" t="s">
        <v>798</v>
      </c>
      <c r="E9" s="955"/>
      <c r="F9" s="753" t="s">
        <v>799</v>
      </c>
      <c r="G9" s="955"/>
      <c r="H9" s="955"/>
      <c r="I9" s="955"/>
      <c r="J9" s="956"/>
      <c r="K9" s="20"/>
      <c r="L9" s="2312" t="s">
        <v>1</v>
      </c>
      <c r="M9" s="2313"/>
      <c r="N9" s="20"/>
      <c r="O9" s="20"/>
      <c r="P9" s="3"/>
      <c r="Q9" s="3"/>
      <c r="R9" s="3"/>
      <c r="S9" s="3"/>
      <c r="T9" s="3"/>
      <c r="U9" s="3"/>
      <c r="V9" s="3"/>
      <c r="W9" s="3"/>
      <c r="X9" s="3"/>
      <c r="Y9" s="3"/>
      <c r="Z9" s="3"/>
    </row>
    <row r="10" spans="1:26" x14ac:dyDescent="0.25">
      <c r="A10" s="3"/>
      <c r="B10" s="957"/>
      <c r="C10" s="958" t="s">
        <v>685</v>
      </c>
      <c r="D10" s="958" t="s">
        <v>685</v>
      </c>
      <c r="E10" s="959"/>
      <c r="F10" s="958" t="s">
        <v>685</v>
      </c>
      <c r="G10" s="958" t="s">
        <v>738</v>
      </c>
      <c r="H10" s="958" t="s">
        <v>739</v>
      </c>
      <c r="I10" s="853" t="s">
        <v>686</v>
      </c>
      <c r="J10" s="856" t="s">
        <v>686</v>
      </c>
      <c r="K10" s="20"/>
      <c r="L10" s="236"/>
      <c r="M10" s="236"/>
      <c r="N10" s="13"/>
      <c r="O10" s="20"/>
      <c r="P10" s="3"/>
      <c r="Q10" s="3"/>
      <c r="R10" s="3"/>
      <c r="S10" s="3"/>
      <c r="T10" s="3"/>
      <c r="U10" s="3"/>
      <c r="V10" s="3"/>
      <c r="W10" s="3"/>
      <c r="X10" s="3"/>
      <c r="Y10" s="3"/>
      <c r="Z10" s="3"/>
    </row>
    <row r="11" spans="1:26" x14ac:dyDescent="0.25">
      <c r="A11" s="3"/>
      <c r="B11" s="763" t="s">
        <v>9</v>
      </c>
      <c r="C11" s="764" t="s">
        <v>690</v>
      </c>
      <c r="D11" s="764" t="s">
        <v>690</v>
      </c>
      <c r="E11" s="764" t="s">
        <v>800</v>
      </c>
      <c r="F11" s="764" t="s">
        <v>690</v>
      </c>
      <c r="G11" s="764" t="s">
        <v>740</v>
      </c>
      <c r="H11" s="764" t="s">
        <v>741</v>
      </c>
      <c r="I11" s="764" t="s">
        <v>742</v>
      </c>
      <c r="J11" s="766" t="s">
        <v>801</v>
      </c>
      <c r="K11" s="960"/>
      <c r="L11" s="241" t="s">
        <v>188</v>
      </c>
      <c r="M11" s="243">
        <f>Summary!E4</f>
        <v>1</v>
      </c>
      <c r="N11" s="960"/>
      <c r="O11" s="20"/>
      <c r="P11" s="3"/>
      <c r="Q11" s="3"/>
      <c r="R11" s="3"/>
      <c r="S11" s="3"/>
      <c r="T11" s="3"/>
      <c r="U11" s="3"/>
      <c r="V11" s="3"/>
      <c r="W11" s="3"/>
      <c r="X11" s="3"/>
      <c r="Y11" s="3"/>
      <c r="Z11" s="3"/>
    </row>
    <row r="12" spans="1:26" x14ac:dyDescent="0.25">
      <c r="A12" s="3"/>
      <c r="B12" s="769" t="s">
        <v>802</v>
      </c>
      <c r="C12" s="771">
        <v>0</v>
      </c>
      <c r="D12" s="771">
        <v>0</v>
      </c>
      <c r="E12" s="961">
        <v>0.1</v>
      </c>
      <c r="F12" s="962">
        <f t="shared" ref="F12:F33" si="0">C12-(D12*E12)</f>
        <v>0</v>
      </c>
      <c r="G12" s="963">
        <v>56.195454545454538</v>
      </c>
      <c r="H12" s="964">
        <v>1</v>
      </c>
      <c r="I12" s="672">
        <f t="shared" ref="I12:I14" si="1">(F12*1000*G12*H12)/2000</f>
        <v>0</v>
      </c>
      <c r="J12" s="929">
        <v>0</v>
      </c>
      <c r="K12" s="965"/>
      <c r="L12" s="241" t="s">
        <v>192</v>
      </c>
      <c r="M12" s="243">
        <f>Summary!E5</f>
        <v>27.9</v>
      </c>
      <c r="N12" s="865"/>
      <c r="O12" s="966"/>
      <c r="P12" s="3"/>
      <c r="Q12" s="3"/>
      <c r="R12" s="3"/>
      <c r="S12" s="3"/>
      <c r="T12" s="3"/>
      <c r="U12" s="3"/>
      <c r="V12" s="3"/>
      <c r="W12" s="3"/>
      <c r="X12" s="3"/>
      <c r="Y12" s="3"/>
      <c r="Z12" s="3"/>
    </row>
    <row r="13" spans="1:26" x14ac:dyDescent="0.25">
      <c r="A13" s="3"/>
      <c r="B13" s="769" t="s">
        <v>803</v>
      </c>
      <c r="C13" s="967">
        <v>21655</v>
      </c>
      <c r="D13" s="771">
        <v>227</v>
      </c>
      <c r="E13" s="961">
        <v>0</v>
      </c>
      <c r="F13" s="962">
        <f t="shared" si="0"/>
        <v>21655</v>
      </c>
      <c r="G13" s="963">
        <v>56.852727272727272</v>
      </c>
      <c r="H13" s="964">
        <v>1</v>
      </c>
      <c r="I13" s="672">
        <f t="shared" si="1"/>
        <v>615572.90454545454</v>
      </c>
      <c r="J13" s="929">
        <f>I13*(44/12)*0.90718474/1000000</f>
        <v>2.0476072663240812</v>
      </c>
      <c r="K13" s="965"/>
      <c r="L13" s="241" t="s">
        <v>194</v>
      </c>
      <c r="M13" s="243">
        <f>Summary!E6</f>
        <v>273</v>
      </c>
      <c r="N13" s="865"/>
      <c r="O13" s="966"/>
      <c r="P13" s="3"/>
      <c r="Q13" s="3"/>
      <c r="R13" s="3"/>
      <c r="S13" s="3"/>
      <c r="T13" s="3"/>
      <c r="U13" s="3"/>
      <c r="V13" s="3"/>
      <c r="W13" s="3"/>
      <c r="X13" s="3"/>
      <c r="Y13" s="3"/>
      <c r="Z13" s="3"/>
    </row>
    <row r="14" spans="1:26" x14ac:dyDescent="0.25">
      <c r="A14" s="3"/>
      <c r="B14" s="769" t="s">
        <v>805</v>
      </c>
      <c r="C14" s="967">
        <v>19835</v>
      </c>
      <c r="D14" s="771">
        <v>22046</v>
      </c>
      <c r="E14" s="961">
        <v>1</v>
      </c>
      <c r="F14" s="962">
        <f t="shared" si="0"/>
        <v>-2211</v>
      </c>
      <c r="G14" s="963">
        <v>45.27</v>
      </c>
      <c r="H14" s="964">
        <v>1</v>
      </c>
      <c r="I14" s="672">
        <f t="shared" si="1"/>
        <v>-50045.985000000001</v>
      </c>
      <c r="J14" s="929">
        <v>0</v>
      </c>
      <c r="K14" s="965"/>
      <c r="L14" s="241" t="s">
        <v>197</v>
      </c>
      <c r="M14" s="243">
        <f>Summary!E7</f>
        <v>24300</v>
      </c>
      <c r="N14" s="865"/>
      <c r="O14" s="966"/>
      <c r="P14" s="3"/>
      <c r="Q14" s="3"/>
      <c r="R14" s="3"/>
      <c r="S14" s="3"/>
      <c r="T14" s="3"/>
      <c r="U14" s="3"/>
      <c r="V14" s="3"/>
      <c r="W14" s="3"/>
      <c r="X14" s="3"/>
      <c r="Y14" s="3"/>
      <c r="Z14" s="3"/>
    </row>
    <row r="15" spans="1:26" ht="30" x14ac:dyDescent="0.25">
      <c r="A15" s="3"/>
      <c r="B15" s="968" t="s">
        <v>806</v>
      </c>
      <c r="C15" s="771">
        <v>0</v>
      </c>
      <c r="D15" s="771">
        <v>0</v>
      </c>
      <c r="E15" s="961">
        <v>0</v>
      </c>
      <c r="F15" s="962">
        <f t="shared" si="0"/>
        <v>0</v>
      </c>
      <c r="G15" s="963">
        <v>41.56</v>
      </c>
      <c r="H15" s="964">
        <v>1</v>
      </c>
      <c r="I15" s="672">
        <f t="shared" ref="I15:I16" si="2">F15*G15*H15/2000</f>
        <v>0</v>
      </c>
      <c r="J15" s="929">
        <f t="shared" ref="J15:J33" si="3">I15*(44/12)*0.90718474/1000000</f>
        <v>0</v>
      </c>
      <c r="K15" s="965"/>
      <c r="L15" s="241"/>
      <c r="M15" s="243"/>
      <c r="N15" s="865"/>
      <c r="O15" s="966"/>
      <c r="P15" s="3"/>
      <c r="Q15" s="3"/>
      <c r="R15" s="3"/>
      <c r="S15" s="3"/>
      <c r="T15" s="3"/>
      <c r="U15" s="3"/>
      <c r="V15" s="3"/>
      <c r="W15" s="3"/>
      <c r="X15" s="3"/>
      <c r="Y15" s="3"/>
      <c r="Z15" s="3"/>
    </row>
    <row r="16" spans="1:26" x14ac:dyDescent="0.25">
      <c r="A16" s="3"/>
      <c r="B16" s="968" t="s">
        <v>809</v>
      </c>
      <c r="C16" s="771">
        <v>0</v>
      </c>
      <c r="D16" s="771">
        <v>0</v>
      </c>
      <c r="E16" s="961">
        <v>0</v>
      </c>
      <c r="F16" s="962">
        <f t="shared" si="0"/>
        <v>0</v>
      </c>
      <c r="G16" s="971">
        <v>44.77366188659483</v>
      </c>
      <c r="H16" s="964">
        <v>1</v>
      </c>
      <c r="I16" s="672">
        <f t="shared" si="2"/>
        <v>0</v>
      </c>
      <c r="J16" s="929">
        <f t="shared" si="3"/>
        <v>0</v>
      </c>
      <c r="K16" s="965"/>
      <c r="L16" s="3"/>
      <c r="M16" s="966"/>
      <c r="N16" s="865"/>
      <c r="O16" s="966"/>
      <c r="P16" s="3"/>
      <c r="Q16" s="3"/>
      <c r="R16" s="3"/>
      <c r="S16" s="3"/>
      <c r="T16" s="3"/>
      <c r="U16" s="3"/>
      <c r="V16" s="3"/>
      <c r="W16" s="3"/>
      <c r="X16" s="3"/>
      <c r="Y16" s="3"/>
      <c r="Z16" s="3"/>
    </row>
    <row r="17" spans="1:26" x14ac:dyDescent="0.25">
      <c r="A17" s="3"/>
      <c r="B17" s="769" t="s">
        <v>703</v>
      </c>
      <c r="C17" s="967">
        <v>7382</v>
      </c>
      <c r="D17" s="771">
        <v>96</v>
      </c>
      <c r="E17" s="961">
        <v>0.5</v>
      </c>
      <c r="F17" s="962">
        <f t="shared" si="0"/>
        <v>7334</v>
      </c>
      <c r="G17" s="963">
        <v>44.43</v>
      </c>
      <c r="H17" s="964">
        <v>1</v>
      </c>
      <c r="I17" s="672">
        <f t="shared" ref="I17:I23" si="4">(F17*1000*G17*H17)/2000</f>
        <v>162924.81</v>
      </c>
      <c r="J17" s="929">
        <f t="shared" si="3"/>
        <v>0.54194397179779785</v>
      </c>
      <c r="K17" s="965"/>
      <c r="L17" s="3"/>
      <c r="M17" s="966"/>
      <c r="N17" s="865"/>
      <c r="O17" s="966"/>
      <c r="P17" s="3"/>
      <c r="Q17" s="3"/>
      <c r="R17" s="3"/>
      <c r="S17" s="3"/>
      <c r="T17" s="3"/>
      <c r="U17" s="3"/>
      <c r="V17" s="3"/>
      <c r="W17" s="3"/>
      <c r="X17" s="3"/>
      <c r="Y17" s="3"/>
      <c r="Z17" s="3"/>
    </row>
    <row r="18" spans="1:26" x14ac:dyDescent="0.25">
      <c r="A18" s="3"/>
      <c r="B18" s="968" t="s">
        <v>813</v>
      </c>
      <c r="C18" s="973">
        <v>0</v>
      </c>
      <c r="D18" s="771"/>
      <c r="E18" s="961">
        <v>0.61918625610433442</v>
      </c>
      <c r="F18" s="962">
        <f t="shared" si="0"/>
        <v>0</v>
      </c>
      <c r="G18" s="963">
        <v>40.86</v>
      </c>
      <c r="H18" s="964">
        <v>1</v>
      </c>
      <c r="I18" s="672">
        <f t="shared" si="4"/>
        <v>0</v>
      </c>
      <c r="J18" s="929">
        <f t="shared" si="3"/>
        <v>0</v>
      </c>
      <c r="K18" s="965"/>
      <c r="L18" s="3"/>
      <c r="M18" s="966"/>
      <c r="N18" s="865"/>
      <c r="O18" s="966"/>
      <c r="P18" s="3"/>
      <c r="Q18" s="3"/>
      <c r="R18" s="3"/>
      <c r="S18" s="3"/>
      <c r="T18" s="3"/>
      <c r="U18" s="3"/>
      <c r="V18" s="3"/>
      <c r="W18" s="3"/>
      <c r="X18" s="3"/>
      <c r="Y18" s="3"/>
      <c r="Z18" s="3"/>
    </row>
    <row r="19" spans="1:26" ht="30" x14ac:dyDescent="0.25">
      <c r="A19" s="3"/>
      <c r="B19" s="968" t="s">
        <v>815</v>
      </c>
      <c r="C19" s="973">
        <v>0</v>
      </c>
      <c r="D19" s="771"/>
      <c r="E19" s="961">
        <v>0.61918625610433442</v>
      </c>
      <c r="F19" s="962">
        <f t="shared" si="0"/>
        <v>0</v>
      </c>
      <c r="G19" s="963">
        <v>44.43</v>
      </c>
      <c r="H19" s="964">
        <v>1</v>
      </c>
      <c r="I19" s="672">
        <f t="shared" si="4"/>
        <v>0</v>
      </c>
      <c r="J19" s="929">
        <f t="shared" si="3"/>
        <v>0</v>
      </c>
      <c r="K19" s="965"/>
      <c r="L19" s="3"/>
      <c r="M19" s="966"/>
      <c r="N19" s="865"/>
      <c r="O19" s="966"/>
      <c r="P19" s="3"/>
      <c r="Q19" s="3"/>
      <c r="R19" s="3"/>
      <c r="S19" s="3"/>
      <c r="T19" s="3"/>
      <c r="U19" s="3"/>
      <c r="V19" s="3"/>
      <c r="W19" s="3"/>
      <c r="X19" s="3"/>
      <c r="Y19" s="3"/>
      <c r="Z19" s="3"/>
    </row>
    <row r="20" spans="1:26" x14ac:dyDescent="0.25">
      <c r="A20" s="3"/>
      <c r="B20" s="769" t="s">
        <v>753</v>
      </c>
      <c r="C20" s="967">
        <v>7</v>
      </c>
      <c r="D20" s="771">
        <v>0</v>
      </c>
      <c r="E20" s="961">
        <v>0</v>
      </c>
      <c r="F20" s="962">
        <f t="shared" si="0"/>
        <v>7</v>
      </c>
      <c r="G20" s="963">
        <v>43.97</v>
      </c>
      <c r="H20" s="964">
        <v>1</v>
      </c>
      <c r="I20" s="672">
        <f t="shared" si="4"/>
        <v>153.89500000000001</v>
      </c>
      <c r="J20" s="929">
        <f t="shared" si="3"/>
        <v>5.1190771706176666E-4</v>
      </c>
      <c r="K20" s="965"/>
      <c r="L20" s="3"/>
      <c r="M20" s="966"/>
      <c r="N20" s="865"/>
      <c r="O20" s="966"/>
      <c r="P20" s="3"/>
      <c r="Q20" s="3"/>
      <c r="R20" s="3"/>
      <c r="S20" s="3"/>
      <c r="T20" s="3"/>
      <c r="U20" s="3"/>
      <c r="V20" s="3"/>
      <c r="W20" s="3"/>
      <c r="X20" s="3"/>
      <c r="Y20" s="3"/>
      <c r="Z20" s="3"/>
    </row>
    <row r="21" spans="1:26" ht="15.75" customHeight="1" x14ac:dyDescent="0.25">
      <c r="A21" s="3"/>
      <c r="B21" s="769" t="s">
        <v>755</v>
      </c>
      <c r="C21" s="967">
        <v>1582</v>
      </c>
      <c r="D21" s="771">
        <v>1385</v>
      </c>
      <c r="E21" s="961">
        <v>0.61918625610433442</v>
      </c>
      <c r="F21" s="962">
        <f t="shared" si="0"/>
        <v>724.42703529549681</v>
      </c>
      <c r="G21" s="971">
        <v>37.273236373298225</v>
      </c>
      <c r="H21" s="964">
        <v>1</v>
      </c>
      <c r="I21" s="672">
        <f t="shared" si="4"/>
        <v>13500.870060888354</v>
      </c>
      <c r="J21" s="929">
        <f t="shared" si="3"/>
        <v>4.4908538751856214E-2</v>
      </c>
      <c r="K21" s="965"/>
      <c r="L21" s="3"/>
      <c r="M21" s="966"/>
      <c r="N21" s="865"/>
      <c r="O21" s="966"/>
      <c r="P21" s="3"/>
      <c r="Q21" s="3"/>
      <c r="R21" s="3"/>
      <c r="S21" s="3"/>
      <c r="T21" s="3"/>
      <c r="U21" s="3"/>
      <c r="V21" s="3"/>
      <c r="W21" s="3"/>
      <c r="X21" s="3"/>
      <c r="Y21" s="3"/>
      <c r="Z21" s="3"/>
    </row>
    <row r="22" spans="1:26" ht="15.75" customHeight="1" x14ac:dyDescent="0.25">
      <c r="A22" s="3"/>
      <c r="B22" s="769" t="s">
        <v>818</v>
      </c>
      <c r="C22" s="967">
        <v>1957</v>
      </c>
      <c r="D22" s="771">
        <v>2063</v>
      </c>
      <c r="E22" s="961">
        <v>9.2393732597307904E-2</v>
      </c>
      <c r="F22" s="962">
        <f t="shared" si="0"/>
        <v>1766.3917296517538</v>
      </c>
      <c r="G22" s="963">
        <v>43.97</v>
      </c>
      <c r="H22" s="964">
        <v>1</v>
      </c>
      <c r="I22" s="672">
        <f t="shared" si="4"/>
        <v>38834.122176393808</v>
      </c>
      <c r="J22" s="929">
        <f t="shared" si="3"/>
        <v>0.12917565110897353</v>
      </c>
      <c r="K22" s="965"/>
      <c r="L22" s="3"/>
      <c r="M22" s="966"/>
      <c r="N22" s="865"/>
      <c r="O22" s="966"/>
      <c r="P22" s="3"/>
      <c r="Q22" s="3"/>
      <c r="R22" s="3"/>
      <c r="S22" s="3"/>
      <c r="T22" s="3"/>
      <c r="U22" s="3"/>
      <c r="V22" s="3"/>
      <c r="W22" s="3"/>
      <c r="X22" s="3"/>
      <c r="Y22" s="3"/>
      <c r="Z22" s="3"/>
    </row>
    <row r="23" spans="1:26" ht="15.75" customHeight="1" x14ac:dyDescent="0.25">
      <c r="A23" s="3"/>
      <c r="B23" s="769" t="s">
        <v>757</v>
      </c>
      <c r="C23" s="967">
        <v>4129</v>
      </c>
      <c r="D23" s="771">
        <v>0</v>
      </c>
      <c r="E23" s="961">
        <v>0</v>
      </c>
      <c r="F23" s="962">
        <f t="shared" si="0"/>
        <v>4129</v>
      </c>
      <c r="G23" s="971">
        <v>42.900741155457617</v>
      </c>
      <c r="H23" s="964">
        <v>1</v>
      </c>
      <c r="I23" s="672">
        <f t="shared" si="4"/>
        <v>88568.580115442252</v>
      </c>
      <c r="J23" s="929">
        <f t="shared" si="3"/>
        <v>0.294609569188721</v>
      </c>
      <c r="K23" s="965"/>
      <c r="L23" s="3"/>
      <c r="M23" s="966"/>
      <c r="N23" s="865"/>
      <c r="O23" s="966"/>
      <c r="P23" s="3"/>
      <c r="Q23" s="3"/>
      <c r="R23" s="3"/>
      <c r="S23" s="3"/>
      <c r="T23" s="3"/>
      <c r="U23" s="3"/>
      <c r="V23" s="3"/>
      <c r="W23" s="3"/>
      <c r="X23" s="3"/>
      <c r="Y23" s="3"/>
      <c r="Z23" s="3"/>
    </row>
    <row r="24" spans="1:26" ht="15.75" customHeight="1" x14ac:dyDescent="0.25">
      <c r="A24" s="3"/>
      <c r="B24" s="968" t="s">
        <v>820</v>
      </c>
      <c r="C24" s="771">
        <v>0</v>
      </c>
      <c r="D24" s="771">
        <v>0</v>
      </c>
      <c r="E24" s="961">
        <v>0</v>
      </c>
      <c r="F24" s="962">
        <f t="shared" si="0"/>
        <v>0</v>
      </c>
      <c r="G24" s="971">
        <v>42.900741155457617</v>
      </c>
      <c r="H24" s="964">
        <v>1</v>
      </c>
      <c r="I24" s="672">
        <f>F24*G24*H24/2000</f>
        <v>0</v>
      </c>
      <c r="J24" s="929">
        <f t="shared" si="3"/>
        <v>0</v>
      </c>
      <c r="K24" s="965"/>
      <c r="L24" s="3"/>
      <c r="M24" s="966"/>
      <c r="N24" s="865"/>
      <c r="O24" s="966"/>
      <c r="P24" s="3"/>
      <c r="Q24" s="3"/>
      <c r="R24" s="3"/>
      <c r="S24" s="3"/>
      <c r="T24" s="3"/>
      <c r="U24" s="3"/>
      <c r="V24" s="3"/>
      <c r="W24" s="3"/>
      <c r="X24" s="3"/>
      <c r="Y24" s="3"/>
      <c r="Z24" s="3"/>
    </row>
    <row r="25" spans="1:26" ht="15.75" customHeight="1" x14ac:dyDescent="0.25">
      <c r="A25" s="3"/>
      <c r="B25" s="769" t="s">
        <v>822</v>
      </c>
      <c r="C25" s="967">
        <v>501</v>
      </c>
      <c r="D25" s="771">
        <v>483</v>
      </c>
      <c r="E25" s="961">
        <v>0</v>
      </c>
      <c r="F25" s="962">
        <f t="shared" si="0"/>
        <v>501</v>
      </c>
      <c r="G25" s="971">
        <v>44.77366188659483</v>
      </c>
      <c r="H25" s="964">
        <v>1</v>
      </c>
      <c r="I25" s="672">
        <f>(F25*1000*G25*H25)/2000</f>
        <v>11215.802302592005</v>
      </c>
      <c r="J25" s="929">
        <f t="shared" si="3"/>
        <v>3.7307617217817203E-2</v>
      </c>
      <c r="K25" s="965"/>
      <c r="L25" s="3"/>
      <c r="M25" s="966"/>
      <c r="N25" s="865"/>
      <c r="O25" s="966"/>
      <c r="P25" s="3"/>
      <c r="Q25" s="3"/>
      <c r="R25" s="3"/>
      <c r="S25" s="3"/>
      <c r="T25" s="3"/>
      <c r="U25" s="3"/>
      <c r="V25" s="3"/>
      <c r="W25" s="3"/>
      <c r="X25" s="3"/>
      <c r="Y25" s="3"/>
      <c r="Z25" s="3"/>
    </row>
    <row r="26" spans="1:26" ht="15.75" customHeight="1" x14ac:dyDescent="0.25">
      <c r="A26" s="3"/>
      <c r="B26" s="769" t="s">
        <v>823</v>
      </c>
      <c r="C26" s="771">
        <v>0</v>
      </c>
      <c r="D26" s="771">
        <v>0</v>
      </c>
      <c r="E26" s="961">
        <v>0.3</v>
      </c>
      <c r="F26" s="962">
        <f t="shared" si="0"/>
        <v>0</v>
      </c>
      <c r="G26" s="963">
        <v>61.34</v>
      </c>
      <c r="H26" s="964">
        <v>1</v>
      </c>
      <c r="I26" s="672">
        <f>F26*G26*H26/2000</f>
        <v>0</v>
      </c>
      <c r="J26" s="929">
        <f t="shared" si="3"/>
        <v>0</v>
      </c>
      <c r="K26" s="965"/>
      <c r="L26" s="3"/>
      <c r="M26" s="966"/>
      <c r="N26" s="865"/>
      <c r="O26" s="966"/>
      <c r="P26" s="3"/>
      <c r="Q26" s="3"/>
      <c r="R26" s="3"/>
      <c r="S26" s="3"/>
      <c r="T26" s="3"/>
      <c r="U26" s="3"/>
      <c r="V26" s="3"/>
      <c r="W26" s="3"/>
      <c r="X26" s="3"/>
      <c r="Y26" s="3"/>
      <c r="Z26" s="3"/>
    </row>
    <row r="27" spans="1:26" ht="15.75" customHeight="1" x14ac:dyDescent="0.25">
      <c r="A27" s="3"/>
      <c r="B27" s="769" t="s">
        <v>824</v>
      </c>
      <c r="C27" s="771"/>
      <c r="D27" s="771"/>
      <c r="E27" s="961">
        <v>0.61918625610433442</v>
      </c>
      <c r="F27" s="962">
        <f t="shared" si="0"/>
        <v>0</v>
      </c>
      <c r="G27" s="963">
        <v>42.06</v>
      </c>
      <c r="H27" s="964">
        <v>1</v>
      </c>
      <c r="I27" s="672">
        <f t="shared" ref="I27:I28" si="5">(F27*1000*G27*H27)/2000</f>
        <v>0</v>
      </c>
      <c r="J27" s="929">
        <f t="shared" si="3"/>
        <v>0</v>
      </c>
      <c r="K27" s="965"/>
      <c r="L27" s="3"/>
      <c r="M27" s="966"/>
      <c r="N27" s="865"/>
      <c r="O27" s="966"/>
      <c r="P27" s="3"/>
      <c r="Q27" s="3"/>
      <c r="R27" s="3"/>
      <c r="S27" s="3"/>
      <c r="T27" s="3"/>
      <c r="U27" s="3"/>
      <c r="V27" s="3"/>
      <c r="W27" s="3"/>
      <c r="X27" s="3"/>
      <c r="Y27" s="3"/>
      <c r="Z27" s="3"/>
    </row>
    <row r="28" spans="1:26" ht="15.75" customHeight="1" x14ac:dyDescent="0.25">
      <c r="A28" s="3"/>
      <c r="B28" s="769" t="s">
        <v>704</v>
      </c>
      <c r="C28" s="967">
        <v>1590</v>
      </c>
      <c r="D28" s="771">
        <v>0</v>
      </c>
      <c r="E28" s="961">
        <v>0.5</v>
      </c>
      <c r="F28" s="962">
        <f t="shared" si="0"/>
        <v>1590</v>
      </c>
      <c r="G28" s="963">
        <v>45.11</v>
      </c>
      <c r="H28" s="964">
        <v>1</v>
      </c>
      <c r="I28" s="672">
        <f t="shared" si="5"/>
        <v>35862.449999999997</v>
      </c>
      <c r="J28" s="929">
        <f t="shared" si="3"/>
        <v>0.119290847056381</v>
      </c>
      <c r="K28" s="965"/>
      <c r="L28" s="3"/>
      <c r="M28" s="966"/>
      <c r="N28" s="865"/>
      <c r="O28" s="966"/>
      <c r="P28" s="3"/>
      <c r="Q28" s="3"/>
      <c r="R28" s="3"/>
      <c r="S28" s="3"/>
      <c r="T28" s="3"/>
      <c r="U28" s="3"/>
      <c r="V28" s="3"/>
      <c r="W28" s="3"/>
      <c r="X28" s="3"/>
      <c r="Y28" s="3"/>
      <c r="Z28" s="3"/>
    </row>
    <row r="29" spans="1:26" ht="15.75" customHeight="1" x14ac:dyDescent="0.25">
      <c r="A29" s="3"/>
      <c r="B29" s="769" t="s">
        <v>826</v>
      </c>
      <c r="C29" s="771">
        <v>0</v>
      </c>
      <c r="D29" s="771">
        <v>0</v>
      </c>
      <c r="E29" s="961">
        <v>0.8</v>
      </c>
      <c r="F29" s="962">
        <f t="shared" si="0"/>
        <v>0</v>
      </c>
      <c r="G29" s="963">
        <v>40.08</v>
      </c>
      <c r="H29" s="964">
        <v>1</v>
      </c>
      <c r="I29" s="672">
        <f>F29*G29*H29/2000</f>
        <v>0</v>
      </c>
      <c r="J29" s="929">
        <f t="shared" si="3"/>
        <v>0</v>
      </c>
      <c r="K29" s="965"/>
      <c r="L29" s="3"/>
      <c r="M29" s="966"/>
      <c r="N29" s="865"/>
      <c r="O29" s="966"/>
      <c r="P29" s="3"/>
      <c r="Q29" s="3"/>
      <c r="R29" s="3"/>
      <c r="S29" s="3"/>
      <c r="T29" s="3"/>
      <c r="U29" s="3"/>
      <c r="V29" s="3"/>
      <c r="W29" s="3"/>
      <c r="X29" s="3"/>
      <c r="Y29" s="3"/>
      <c r="Z29" s="3"/>
    </row>
    <row r="30" spans="1:26" ht="15.75" customHeight="1" x14ac:dyDescent="0.25">
      <c r="A30" s="3"/>
      <c r="B30" s="769" t="s">
        <v>828</v>
      </c>
      <c r="C30" s="967">
        <v>535</v>
      </c>
      <c r="D30" s="771">
        <v>596</v>
      </c>
      <c r="E30" s="961">
        <v>0</v>
      </c>
      <c r="F30" s="962">
        <f t="shared" si="0"/>
        <v>535</v>
      </c>
      <c r="G30" s="963">
        <v>43.47</v>
      </c>
      <c r="H30" s="964">
        <v>1</v>
      </c>
      <c r="I30" s="672">
        <f>(F30*1000*G30*H30)/2000</f>
        <v>11628.225</v>
      </c>
      <c r="J30" s="929">
        <f t="shared" si="3"/>
        <v>3.8679477002050502E-2</v>
      </c>
      <c r="K30" s="965"/>
      <c r="L30" s="3"/>
      <c r="M30" s="966"/>
      <c r="N30" s="865"/>
      <c r="O30" s="966"/>
      <c r="P30" s="3"/>
      <c r="Q30" s="3"/>
      <c r="R30" s="3"/>
      <c r="S30" s="3"/>
      <c r="T30" s="3"/>
      <c r="U30" s="3"/>
      <c r="V30" s="3"/>
      <c r="W30" s="3"/>
      <c r="X30" s="3"/>
      <c r="Y30" s="3"/>
      <c r="Z30" s="3"/>
    </row>
    <row r="31" spans="1:26" ht="15.75" customHeight="1" x14ac:dyDescent="0.25">
      <c r="A31" s="3"/>
      <c r="B31" s="769" t="s">
        <v>830</v>
      </c>
      <c r="C31" s="771">
        <v>0</v>
      </c>
      <c r="D31" s="771">
        <v>0</v>
      </c>
      <c r="E31" s="961">
        <v>0</v>
      </c>
      <c r="F31" s="962">
        <f t="shared" si="0"/>
        <v>0</v>
      </c>
      <c r="G31" s="971">
        <v>44.77366188659483</v>
      </c>
      <c r="H31" s="964">
        <v>1</v>
      </c>
      <c r="I31" s="672">
        <f>F31*G31*H31/2000</f>
        <v>0</v>
      </c>
      <c r="J31" s="929">
        <f t="shared" si="3"/>
        <v>0</v>
      </c>
      <c r="K31" s="965"/>
      <c r="L31" s="3"/>
      <c r="M31" s="966"/>
      <c r="N31" s="865"/>
      <c r="O31" s="966"/>
      <c r="P31" s="3"/>
      <c r="Q31" s="3"/>
      <c r="R31" s="3"/>
      <c r="S31" s="3"/>
      <c r="T31" s="3"/>
      <c r="U31" s="3"/>
      <c r="V31" s="3"/>
      <c r="W31" s="3"/>
      <c r="X31" s="3"/>
      <c r="Y31" s="3"/>
      <c r="Z31" s="3"/>
    </row>
    <row r="32" spans="1:26" ht="15.75" customHeight="1" x14ac:dyDescent="0.25">
      <c r="A32" s="3"/>
      <c r="B32" s="769" t="s">
        <v>831</v>
      </c>
      <c r="C32" s="967">
        <v>106</v>
      </c>
      <c r="D32" s="771">
        <v>120</v>
      </c>
      <c r="E32" s="961">
        <v>0.57999999999999996</v>
      </c>
      <c r="F32" s="962">
        <f t="shared" si="0"/>
        <v>36.400000000000006</v>
      </c>
      <c r="G32" s="963">
        <v>43.6</v>
      </c>
      <c r="H32" s="964">
        <v>1</v>
      </c>
      <c r="I32" s="672">
        <f t="shared" ref="I32:I33" si="6">(F32*1000*G32*H32)/2000</f>
        <v>793.52000000000021</v>
      </c>
      <c r="J32" s="929">
        <f t="shared" si="3"/>
        <v>2.639520527910934E-3</v>
      </c>
      <c r="K32" s="965"/>
      <c r="L32" s="3"/>
      <c r="M32" s="966"/>
      <c r="N32" s="865"/>
      <c r="O32" s="966"/>
      <c r="P32" s="3"/>
      <c r="Q32" s="3"/>
      <c r="R32" s="3"/>
      <c r="S32" s="3"/>
      <c r="T32" s="3"/>
      <c r="U32" s="3"/>
      <c r="V32" s="3"/>
      <c r="W32" s="3"/>
      <c r="X32" s="3"/>
      <c r="Y32" s="3"/>
      <c r="Z32" s="3"/>
    </row>
    <row r="33" spans="1:26" ht="15.75" customHeight="1" x14ac:dyDescent="0.25">
      <c r="A33" s="3"/>
      <c r="B33" s="769" t="s">
        <v>77</v>
      </c>
      <c r="C33" s="967">
        <v>21808</v>
      </c>
      <c r="D33" s="771">
        <v>688</v>
      </c>
      <c r="E33" s="961">
        <v>0.61918625610433442</v>
      </c>
      <c r="F33" s="962">
        <f t="shared" si="0"/>
        <v>21381.999855800219</v>
      </c>
      <c r="G33" s="963">
        <v>31.87</v>
      </c>
      <c r="H33" s="964">
        <v>1</v>
      </c>
      <c r="I33" s="877">
        <f t="shared" si="6"/>
        <v>340722.16770217649</v>
      </c>
      <c r="J33" s="981">
        <f t="shared" si="3"/>
        <v>1.1333591541034964</v>
      </c>
      <c r="K33" s="965"/>
      <c r="L33" s="3"/>
      <c r="M33" s="966"/>
      <c r="N33" s="865"/>
      <c r="O33" s="966"/>
      <c r="P33" s="3"/>
      <c r="Q33" s="3"/>
      <c r="R33" s="3"/>
      <c r="S33" s="3"/>
      <c r="T33" s="3"/>
      <c r="U33" s="3"/>
      <c r="V33" s="3"/>
      <c r="W33" s="3"/>
      <c r="X33" s="3"/>
      <c r="Y33" s="3"/>
      <c r="Z33" s="3"/>
    </row>
    <row r="34" spans="1:26" ht="15.75" customHeight="1" x14ac:dyDescent="0.25">
      <c r="A34" s="3"/>
      <c r="B34" s="769"/>
      <c r="C34" s="983"/>
      <c r="D34" s="983"/>
      <c r="E34" s="983"/>
      <c r="F34" s="983"/>
      <c r="G34" s="983"/>
      <c r="H34" s="984" t="s">
        <v>205</v>
      </c>
      <c r="I34" s="110"/>
      <c r="J34" s="986">
        <f>SUM(J12:J33)</f>
        <v>4.3900335207961474</v>
      </c>
      <c r="K34" s="20"/>
      <c r="L34" s="20"/>
      <c r="M34" s="20"/>
      <c r="N34" s="20"/>
      <c r="O34" s="20"/>
      <c r="P34" s="3"/>
      <c r="Q34" s="3"/>
      <c r="R34" s="3"/>
      <c r="S34" s="3"/>
      <c r="T34" s="3"/>
      <c r="U34" s="3"/>
      <c r="V34" s="3"/>
      <c r="W34" s="3"/>
      <c r="X34" s="3"/>
      <c r="Y34" s="3"/>
      <c r="Z34" s="3"/>
    </row>
    <row r="35" spans="1:26" ht="15.75" customHeight="1" x14ac:dyDescent="0.25">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5.75" customHeight="1" x14ac:dyDescent="0.25">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5" customHeight="1" x14ac:dyDescent="0.4">
      <c r="A37" s="3"/>
      <c r="B37" s="842" t="s">
        <v>847</v>
      </c>
      <c r="C37" s="888"/>
      <c r="D37" s="888">
        <v>2011</v>
      </c>
      <c r="E37" s="20"/>
      <c r="F37" s="20"/>
      <c r="G37" s="20"/>
      <c r="H37" s="20"/>
      <c r="I37" s="20"/>
      <c r="J37" s="20"/>
      <c r="K37" s="20"/>
      <c r="L37" s="20"/>
      <c r="M37" s="20"/>
      <c r="N37" s="3"/>
      <c r="O37" s="3"/>
      <c r="P37" s="3"/>
      <c r="Q37" s="3"/>
      <c r="R37" s="3"/>
      <c r="S37" s="3"/>
      <c r="T37" s="3"/>
      <c r="U37" s="3"/>
      <c r="V37" s="3"/>
      <c r="W37" s="3"/>
      <c r="X37" s="3"/>
      <c r="Y37" s="3"/>
      <c r="Z37" s="3"/>
    </row>
    <row r="38" spans="1:26" ht="15.75" customHeight="1" x14ac:dyDescent="0.25">
      <c r="A38" s="3"/>
      <c r="B38" s="845"/>
      <c r="C38" s="753" t="s">
        <v>34</v>
      </c>
      <c r="D38" s="753" t="s">
        <v>798</v>
      </c>
      <c r="E38" s="955"/>
      <c r="F38" s="955"/>
      <c r="G38" s="955"/>
      <c r="H38" s="956"/>
      <c r="I38" s="20"/>
      <c r="J38" s="20"/>
      <c r="K38" s="20"/>
      <c r="L38" s="20"/>
      <c r="M38" s="20"/>
      <c r="N38" s="3"/>
      <c r="O38" s="3"/>
      <c r="P38" s="3"/>
      <c r="Q38" s="3"/>
      <c r="R38" s="3"/>
      <c r="S38" s="3"/>
      <c r="T38" s="3"/>
      <c r="U38" s="3"/>
      <c r="V38" s="3"/>
      <c r="W38" s="3"/>
      <c r="X38" s="3"/>
      <c r="Y38" s="3"/>
      <c r="Z38" s="3"/>
    </row>
    <row r="39" spans="1:26" ht="15.75" customHeight="1" x14ac:dyDescent="0.25">
      <c r="A39" s="3"/>
      <c r="B39" s="72"/>
      <c r="C39" s="958" t="s">
        <v>685</v>
      </c>
      <c r="D39" s="958" t="s">
        <v>685</v>
      </c>
      <c r="E39" s="853" t="s">
        <v>738</v>
      </c>
      <c r="F39" s="853" t="s">
        <v>19</v>
      </c>
      <c r="G39" s="958" t="s">
        <v>688</v>
      </c>
      <c r="H39" s="856" t="s">
        <v>686</v>
      </c>
      <c r="I39" s="20"/>
      <c r="J39" s="13"/>
      <c r="K39" s="20"/>
      <c r="L39" s="13"/>
      <c r="M39" s="20"/>
      <c r="N39" s="3"/>
      <c r="O39" s="3"/>
      <c r="P39" s="3"/>
      <c r="Q39" s="3"/>
      <c r="R39" s="3"/>
      <c r="S39" s="3"/>
      <c r="T39" s="3"/>
      <c r="U39" s="3"/>
      <c r="V39" s="3"/>
      <c r="W39" s="3"/>
      <c r="X39" s="3"/>
      <c r="Y39" s="3"/>
      <c r="Z39" s="3"/>
    </row>
    <row r="40" spans="1:26" ht="15.75" customHeight="1" x14ac:dyDescent="0.25">
      <c r="A40" s="3"/>
      <c r="B40" s="1001" t="s">
        <v>9</v>
      </c>
      <c r="C40" s="764" t="s">
        <v>690</v>
      </c>
      <c r="D40" s="764" t="s">
        <v>690</v>
      </c>
      <c r="E40" s="765" t="s">
        <v>851</v>
      </c>
      <c r="F40" s="765" t="s">
        <v>852</v>
      </c>
      <c r="G40" s="764"/>
      <c r="H40" s="766" t="s">
        <v>853</v>
      </c>
      <c r="I40" s="20"/>
      <c r="J40" s="960"/>
      <c r="K40" s="20"/>
      <c r="L40" s="13"/>
      <c r="M40" s="20"/>
      <c r="N40" s="3"/>
      <c r="O40" s="3"/>
      <c r="P40" s="3"/>
      <c r="Q40" s="3"/>
      <c r="R40" s="3"/>
      <c r="S40" s="3"/>
      <c r="T40" s="3"/>
      <c r="U40" s="3"/>
      <c r="V40" s="3"/>
      <c r="W40" s="3"/>
      <c r="X40" s="3"/>
      <c r="Y40" s="3"/>
      <c r="Z40" s="3"/>
    </row>
    <row r="41" spans="1:26" ht="15.75" customHeight="1" x14ac:dyDescent="0.25">
      <c r="A41" s="3"/>
      <c r="B41" s="769" t="s">
        <v>802</v>
      </c>
      <c r="C41" s="771">
        <v>0</v>
      </c>
      <c r="D41" s="771">
        <v>0</v>
      </c>
      <c r="E41" s="1003">
        <v>1.5034545899835E-3</v>
      </c>
      <c r="F41" s="1005">
        <f t="shared" ref="F41:F62" si="7">(C41-D41)*E41</f>
        <v>0</v>
      </c>
      <c r="G41" s="771">
        <f t="shared" ref="G41:G63" si="8">$M$13</f>
        <v>273</v>
      </c>
      <c r="H41" s="929">
        <f t="shared" ref="H41:H42" si="9">F41*G41/1000000</f>
        <v>0</v>
      </c>
      <c r="I41" s="966"/>
      <c r="J41" s="865"/>
      <c r="K41" s="966"/>
      <c r="L41" s="865"/>
      <c r="M41" s="20"/>
      <c r="N41" s="3"/>
      <c r="O41" s="3"/>
      <c r="P41" s="3"/>
      <c r="Q41" s="3"/>
      <c r="R41" s="3"/>
      <c r="S41" s="3"/>
      <c r="T41" s="3"/>
      <c r="U41" s="3"/>
      <c r="V41" s="3"/>
      <c r="W41" s="3"/>
      <c r="X41" s="3"/>
      <c r="Y41" s="3"/>
      <c r="Z41" s="3"/>
    </row>
    <row r="42" spans="1:26" ht="15.75" customHeight="1" x14ac:dyDescent="0.25">
      <c r="A42" s="3"/>
      <c r="B42" s="769" t="s">
        <v>803</v>
      </c>
      <c r="C42" s="967">
        <v>21655</v>
      </c>
      <c r="D42" s="771">
        <v>227</v>
      </c>
      <c r="E42" s="1003">
        <v>1.5034545899835E-3</v>
      </c>
      <c r="F42" s="1005">
        <f t="shared" si="7"/>
        <v>32.216024954166436</v>
      </c>
      <c r="G42" s="771">
        <f t="shared" si="8"/>
        <v>273</v>
      </c>
      <c r="H42" s="929">
        <f t="shared" si="9"/>
        <v>8.7949748124874372E-3</v>
      </c>
      <c r="I42" s="966"/>
      <c r="J42" s="865"/>
      <c r="K42" s="966"/>
      <c r="L42" s="865"/>
      <c r="M42" s="20"/>
      <c r="N42" s="3"/>
      <c r="O42" s="3"/>
      <c r="P42" s="3"/>
      <c r="Q42" s="3"/>
      <c r="R42" s="3"/>
      <c r="S42" s="3"/>
      <c r="T42" s="3"/>
      <c r="U42" s="3"/>
      <c r="V42" s="3"/>
      <c r="W42" s="3"/>
      <c r="X42" s="3"/>
      <c r="Y42" s="3"/>
      <c r="Z42" s="3"/>
    </row>
    <row r="43" spans="1:26" ht="15.75" customHeight="1" x14ac:dyDescent="0.25">
      <c r="A43" s="3"/>
      <c r="B43" s="769" t="s">
        <v>805</v>
      </c>
      <c r="C43" s="967">
        <v>19835</v>
      </c>
      <c r="D43" s="771">
        <v>22046</v>
      </c>
      <c r="E43" s="1003">
        <v>6.0138183599339984E-4</v>
      </c>
      <c r="F43" s="1005">
        <f t="shared" si="7"/>
        <v>-1.329655239381407</v>
      </c>
      <c r="G43" s="771">
        <f t="shared" si="8"/>
        <v>273</v>
      </c>
      <c r="H43" s="929">
        <f>0</f>
        <v>0</v>
      </c>
      <c r="I43" s="966"/>
      <c r="J43" s="865"/>
      <c r="K43" s="966"/>
      <c r="L43" s="865"/>
      <c r="M43" s="20"/>
      <c r="N43" s="3"/>
      <c r="O43" s="3"/>
      <c r="P43" s="3"/>
      <c r="Q43" s="3"/>
      <c r="R43" s="3"/>
      <c r="S43" s="3"/>
      <c r="T43" s="3"/>
      <c r="U43" s="3"/>
      <c r="V43" s="3"/>
      <c r="W43" s="3"/>
      <c r="X43" s="3"/>
      <c r="Y43" s="3"/>
      <c r="Z43" s="3"/>
    </row>
    <row r="44" spans="1:26" ht="15.75" customHeight="1" x14ac:dyDescent="0.25">
      <c r="A44" s="3"/>
      <c r="B44" s="968" t="s">
        <v>806</v>
      </c>
      <c r="C44" s="771">
        <v>0</v>
      </c>
      <c r="D44" s="771">
        <v>0</v>
      </c>
      <c r="E44" s="1003">
        <v>6.0138183599339984E-4</v>
      </c>
      <c r="F44" s="1005">
        <f t="shared" si="7"/>
        <v>0</v>
      </c>
      <c r="G44" s="771">
        <f t="shared" si="8"/>
        <v>273</v>
      </c>
      <c r="H44" s="929">
        <f t="shared" ref="H44:H50" si="10">F44*G44/1000000</f>
        <v>0</v>
      </c>
      <c r="I44" s="966"/>
      <c r="J44" s="865"/>
      <c r="K44" s="966"/>
      <c r="L44" s="865"/>
      <c r="M44" s="20"/>
      <c r="N44" s="3"/>
      <c r="O44" s="3"/>
      <c r="P44" s="3"/>
      <c r="Q44" s="3"/>
      <c r="R44" s="3"/>
      <c r="S44" s="3"/>
      <c r="T44" s="3"/>
      <c r="U44" s="3"/>
      <c r="V44" s="3"/>
      <c r="W44" s="3"/>
      <c r="X44" s="3"/>
      <c r="Y44" s="3"/>
      <c r="Z44" s="3"/>
    </row>
    <row r="45" spans="1:26" ht="15.75" customHeight="1" x14ac:dyDescent="0.25">
      <c r="A45" s="3"/>
      <c r="B45" s="968" t="s">
        <v>809</v>
      </c>
      <c r="C45" s="771">
        <v>0</v>
      </c>
      <c r="D45" s="771">
        <v>0</v>
      </c>
      <c r="E45" s="1003">
        <v>6.0138183599339984E-4</v>
      </c>
      <c r="F45" s="1005">
        <f t="shared" si="7"/>
        <v>0</v>
      </c>
      <c r="G45" s="771">
        <f t="shared" si="8"/>
        <v>273</v>
      </c>
      <c r="H45" s="929">
        <f t="shared" si="10"/>
        <v>0</v>
      </c>
      <c r="I45" s="966"/>
      <c r="J45" s="865"/>
      <c r="K45" s="966"/>
      <c r="L45" s="865"/>
      <c r="M45" s="20"/>
      <c r="N45" s="3"/>
      <c r="O45" s="3"/>
      <c r="P45" s="3"/>
      <c r="Q45" s="3"/>
      <c r="R45" s="3"/>
      <c r="S45" s="3"/>
      <c r="T45" s="3"/>
      <c r="U45" s="3"/>
      <c r="V45" s="3"/>
      <c r="W45" s="3"/>
      <c r="X45" s="3"/>
      <c r="Y45" s="3"/>
      <c r="Z45" s="3"/>
    </row>
    <row r="46" spans="1:26" ht="15.75" customHeight="1" x14ac:dyDescent="0.25">
      <c r="A46" s="3"/>
      <c r="B46" s="769" t="s">
        <v>703</v>
      </c>
      <c r="C46" s="967">
        <v>7382</v>
      </c>
      <c r="D46" s="771">
        <v>96</v>
      </c>
      <c r="E46" s="1003">
        <v>6.0138183599339984E-4</v>
      </c>
      <c r="F46" s="1005">
        <f t="shared" si="7"/>
        <v>4.3816680570479116</v>
      </c>
      <c r="G46" s="771">
        <f t="shared" si="8"/>
        <v>273</v>
      </c>
      <c r="H46" s="929">
        <f t="shared" si="10"/>
        <v>1.1961953795740798E-3</v>
      </c>
      <c r="I46" s="966"/>
      <c r="J46" s="865"/>
      <c r="K46" s="966"/>
      <c r="L46" s="865"/>
      <c r="M46" s="20"/>
      <c r="N46" s="3"/>
      <c r="O46" s="3"/>
      <c r="P46" s="3"/>
      <c r="Q46" s="3"/>
      <c r="R46" s="3"/>
      <c r="S46" s="3"/>
      <c r="T46" s="3"/>
      <c r="U46" s="3"/>
      <c r="V46" s="3"/>
      <c r="W46" s="3"/>
      <c r="X46" s="3"/>
      <c r="Y46" s="3"/>
      <c r="Z46" s="3"/>
    </row>
    <row r="47" spans="1:26" ht="15.75" customHeight="1" x14ac:dyDescent="0.25">
      <c r="A47" s="3"/>
      <c r="B47" s="968" t="s">
        <v>813</v>
      </c>
      <c r="C47" s="973">
        <v>0</v>
      </c>
      <c r="D47" s="771"/>
      <c r="E47" s="1003">
        <v>6.0138183599339984E-4</v>
      </c>
      <c r="F47" s="1005">
        <f t="shared" si="7"/>
        <v>0</v>
      </c>
      <c r="G47" s="771">
        <f t="shared" si="8"/>
        <v>273</v>
      </c>
      <c r="H47" s="929">
        <f t="shared" si="10"/>
        <v>0</v>
      </c>
      <c r="I47" s="966"/>
      <c r="J47" s="865"/>
      <c r="K47" s="966"/>
      <c r="L47" s="865"/>
      <c r="M47" s="20"/>
      <c r="N47" s="3"/>
      <c r="O47" s="3"/>
      <c r="P47" s="3"/>
      <c r="Q47" s="3"/>
      <c r="R47" s="3"/>
      <c r="S47" s="3"/>
      <c r="T47" s="3"/>
      <c r="U47" s="3"/>
      <c r="V47" s="3"/>
      <c r="W47" s="3"/>
      <c r="X47" s="3"/>
      <c r="Y47" s="3"/>
      <c r="Z47" s="3"/>
    </row>
    <row r="48" spans="1:26" ht="15.75" customHeight="1" x14ac:dyDescent="0.25">
      <c r="A48" s="3"/>
      <c r="B48" s="968" t="s">
        <v>815</v>
      </c>
      <c r="C48" s="973">
        <v>0</v>
      </c>
      <c r="D48" s="771"/>
      <c r="E48" s="1003">
        <v>6.0138183599339984E-4</v>
      </c>
      <c r="F48" s="1005">
        <f t="shared" si="7"/>
        <v>0</v>
      </c>
      <c r="G48" s="771">
        <f t="shared" si="8"/>
        <v>273</v>
      </c>
      <c r="H48" s="929">
        <f t="shared" si="10"/>
        <v>0</v>
      </c>
      <c r="I48" s="966"/>
      <c r="J48" s="865"/>
      <c r="K48" s="966"/>
      <c r="L48" s="865"/>
      <c r="M48" s="20"/>
      <c r="N48" s="3"/>
      <c r="O48" s="3"/>
      <c r="P48" s="3"/>
      <c r="Q48" s="3"/>
      <c r="R48" s="3"/>
      <c r="S48" s="3"/>
      <c r="T48" s="3"/>
      <c r="U48" s="3"/>
      <c r="V48" s="3"/>
      <c r="W48" s="3"/>
      <c r="X48" s="3"/>
      <c r="Y48" s="3"/>
      <c r="Z48" s="3"/>
    </row>
    <row r="49" spans="1:26" ht="15.75" customHeight="1" x14ac:dyDescent="0.25">
      <c r="A49" s="3"/>
      <c r="B49" s="769" t="s">
        <v>753</v>
      </c>
      <c r="C49" s="967">
        <v>7</v>
      </c>
      <c r="D49" s="771">
        <v>0</v>
      </c>
      <c r="E49" s="1003">
        <v>6.0138183599339984E-4</v>
      </c>
      <c r="F49" s="1005">
        <f t="shared" si="7"/>
        <v>4.2096728519537985E-3</v>
      </c>
      <c r="G49" s="771">
        <f t="shared" si="8"/>
        <v>273</v>
      </c>
      <c r="H49" s="929">
        <f t="shared" si="10"/>
        <v>1.1492406885833871E-6</v>
      </c>
      <c r="I49" s="966"/>
      <c r="J49" s="865"/>
      <c r="K49" s="966"/>
      <c r="L49" s="865"/>
      <c r="M49" s="20"/>
      <c r="N49" s="3"/>
      <c r="O49" s="3"/>
      <c r="P49" s="3"/>
      <c r="Q49" s="3"/>
      <c r="R49" s="3"/>
      <c r="S49" s="3"/>
      <c r="T49" s="3"/>
      <c r="U49" s="3"/>
      <c r="V49" s="3"/>
      <c r="W49" s="3"/>
      <c r="X49" s="3"/>
      <c r="Y49" s="3"/>
      <c r="Z49" s="3"/>
    </row>
    <row r="50" spans="1:26" ht="15.75" customHeight="1" x14ac:dyDescent="0.25">
      <c r="A50" s="3"/>
      <c r="B50" s="769" t="s">
        <v>755</v>
      </c>
      <c r="C50" s="967">
        <v>1582</v>
      </c>
      <c r="D50" s="771">
        <v>1385</v>
      </c>
      <c r="E50" s="1003">
        <v>6.0138183599339984E-4</v>
      </c>
      <c r="F50" s="1005">
        <f t="shared" si="7"/>
        <v>0.11847222169069976</v>
      </c>
      <c r="G50" s="771">
        <f t="shared" si="8"/>
        <v>273</v>
      </c>
      <c r="H50" s="929">
        <f t="shared" si="10"/>
        <v>3.2342916521561034E-5</v>
      </c>
      <c r="I50" s="966"/>
      <c r="J50" s="865"/>
      <c r="K50" s="966"/>
      <c r="L50" s="865"/>
      <c r="M50" s="20"/>
      <c r="N50" s="3"/>
      <c r="O50" s="3"/>
      <c r="P50" s="3"/>
      <c r="Q50" s="3"/>
      <c r="R50" s="3"/>
      <c r="S50" s="3"/>
      <c r="T50" s="3"/>
      <c r="U50" s="3"/>
      <c r="V50" s="3"/>
      <c r="W50" s="3"/>
      <c r="X50" s="3"/>
      <c r="Y50" s="3"/>
      <c r="Z50" s="3"/>
    </row>
    <row r="51" spans="1:26" ht="15.75" customHeight="1" x14ac:dyDescent="0.25">
      <c r="A51" s="3"/>
      <c r="B51" s="769" t="s">
        <v>818</v>
      </c>
      <c r="C51" s="967">
        <v>1957</v>
      </c>
      <c r="D51" s="771">
        <v>2063</v>
      </c>
      <c r="E51" s="1003">
        <v>6.0138183599339984E-4</v>
      </c>
      <c r="F51" s="1005">
        <f t="shared" si="7"/>
        <v>-6.3746474615300378E-2</v>
      </c>
      <c r="G51" s="771">
        <f t="shared" si="8"/>
        <v>273</v>
      </c>
      <c r="H51" s="929">
        <f>0</f>
        <v>0</v>
      </c>
      <c r="I51" s="966"/>
      <c r="J51" s="865"/>
      <c r="K51" s="966"/>
      <c r="L51" s="865"/>
      <c r="M51" s="20"/>
      <c r="N51" s="3"/>
      <c r="O51" s="3"/>
      <c r="P51" s="3"/>
      <c r="Q51" s="3"/>
      <c r="R51" s="3"/>
      <c r="S51" s="3"/>
      <c r="T51" s="3"/>
      <c r="U51" s="3"/>
      <c r="V51" s="3"/>
      <c r="W51" s="3"/>
      <c r="X51" s="3"/>
      <c r="Y51" s="3"/>
      <c r="Z51" s="3"/>
    </row>
    <row r="52" spans="1:26" ht="15.75" customHeight="1" x14ac:dyDescent="0.25">
      <c r="A52" s="3"/>
      <c r="B52" s="769" t="s">
        <v>757</v>
      </c>
      <c r="C52" s="967">
        <v>4129</v>
      </c>
      <c r="D52" s="771">
        <v>0</v>
      </c>
      <c r="E52" s="1003">
        <v>6.0138183599339984E-4</v>
      </c>
      <c r="F52" s="1005">
        <f t="shared" si="7"/>
        <v>2.483105600816748</v>
      </c>
      <c r="G52" s="771">
        <f t="shared" si="8"/>
        <v>273</v>
      </c>
      <c r="H52" s="929">
        <f t="shared" ref="H52:H58" si="11">F52*G52/1000000</f>
        <v>6.778878290229723E-4</v>
      </c>
      <c r="I52" s="966"/>
      <c r="J52" s="865"/>
      <c r="K52" s="966"/>
      <c r="L52" s="865"/>
      <c r="M52" s="20"/>
      <c r="N52" s="3"/>
      <c r="O52" s="3"/>
      <c r="P52" s="3"/>
      <c r="Q52" s="3"/>
      <c r="R52" s="3"/>
      <c r="S52" s="3"/>
      <c r="T52" s="3"/>
      <c r="U52" s="3"/>
      <c r="V52" s="3"/>
      <c r="W52" s="3"/>
      <c r="X52" s="3"/>
      <c r="Y52" s="3"/>
      <c r="Z52" s="3"/>
    </row>
    <row r="53" spans="1:26" ht="15.75" customHeight="1" x14ac:dyDescent="0.25">
      <c r="A53" s="3"/>
      <c r="B53" s="968" t="s">
        <v>820</v>
      </c>
      <c r="C53" s="771">
        <v>0</v>
      </c>
      <c r="D53" s="771">
        <v>0</v>
      </c>
      <c r="E53" s="1003">
        <v>6.0138183599339984E-4</v>
      </c>
      <c r="F53" s="1005">
        <f t="shared" si="7"/>
        <v>0</v>
      </c>
      <c r="G53" s="771">
        <f t="shared" si="8"/>
        <v>273</v>
      </c>
      <c r="H53" s="929">
        <f t="shared" si="11"/>
        <v>0</v>
      </c>
      <c r="I53" s="966"/>
      <c r="J53" s="865"/>
      <c r="K53" s="966"/>
      <c r="L53" s="865"/>
      <c r="M53" s="20"/>
      <c r="N53" s="3"/>
      <c r="O53" s="3"/>
      <c r="P53" s="3"/>
      <c r="Q53" s="3"/>
      <c r="R53" s="3"/>
      <c r="S53" s="3"/>
      <c r="T53" s="3"/>
      <c r="U53" s="3"/>
      <c r="V53" s="3"/>
      <c r="W53" s="3"/>
      <c r="X53" s="3"/>
      <c r="Y53" s="3"/>
      <c r="Z53" s="3"/>
    </row>
    <row r="54" spans="1:26" ht="15.75" customHeight="1" x14ac:dyDescent="0.25">
      <c r="A54" s="3"/>
      <c r="B54" s="769" t="s">
        <v>822</v>
      </c>
      <c r="C54" s="967">
        <v>501</v>
      </c>
      <c r="D54" s="771">
        <v>483</v>
      </c>
      <c r="E54" s="1003">
        <v>6.0138183599339984E-4</v>
      </c>
      <c r="F54" s="1005">
        <f t="shared" si="7"/>
        <v>1.0824873047881198E-2</v>
      </c>
      <c r="G54" s="771">
        <f t="shared" si="8"/>
        <v>273</v>
      </c>
      <c r="H54" s="929">
        <f t="shared" si="11"/>
        <v>2.9551903420715671E-6</v>
      </c>
      <c r="I54" s="966"/>
      <c r="J54" s="865"/>
      <c r="K54" s="966"/>
      <c r="L54" s="865"/>
      <c r="M54" s="20"/>
      <c r="N54" s="3"/>
      <c r="O54" s="3"/>
      <c r="P54" s="3"/>
      <c r="Q54" s="3"/>
      <c r="R54" s="3"/>
      <c r="S54" s="3"/>
      <c r="T54" s="3"/>
      <c r="U54" s="3"/>
      <c r="V54" s="3"/>
      <c r="W54" s="3"/>
      <c r="X54" s="3"/>
      <c r="Y54" s="3"/>
      <c r="Z54" s="3"/>
    </row>
    <row r="55" spans="1:26" ht="15.75" customHeight="1" x14ac:dyDescent="0.25">
      <c r="A55" s="3"/>
      <c r="B55" s="769" t="s">
        <v>823</v>
      </c>
      <c r="C55" s="771">
        <v>0</v>
      </c>
      <c r="D55" s="771">
        <v>0</v>
      </c>
      <c r="E55" s="1003">
        <v>6.0138183599339984E-4</v>
      </c>
      <c r="F55" s="1005">
        <f t="shared" si="7"/>
        <v>0</v>
      </c>
      <c r="G55" s="771">
        <f t="shared" si="8"/>
        <v>273</v>
      </c>
      <c r="H55" s="929">
        <f t="shared" si="11"/>
        <v>0</v>
      </c>
      <c r="I55" s="966"/>
      <c r="J55" s="865"/>
      <c r="K55" s="966"/>
      <c r="L55" s="865"/>
      <c r="M55" s="20"/>
      <c r="N55" s="3"/>
      <c r="O55" s="3"/>
      <c r="P55" s="3"/>
      <c r="Q55" s="3"/>
      <c r="R55" s="3"/>
      <c r="S55" s="3"/>
      <c r="T55" s="3"/>
      <c r="U55" s="3"/>
      <c r="V55" s="3"/>
      <c r="W55" s="3"/>
      <c r="X55" s="3"/>
      <c r="Y55" s="3"/>
      <c r="Z55" s="3"/>
    </row>
    <row r="56" spans="1:26" ht="15.75" customHeight="1" x14ac:dyDescent="0.25">
      <c r="A56" s="3"/>
      <c r="B56" s="769" t="s">
        <v>824</v>
      </c>
      <c r="C56" s="771"/>
      <c r="D56" s="771"/>
      <c r="E56" s="1003">
        <v>6.0138183599339984E-4</v>
      </c>
      <c r="F56" s="1005">
        <f t="shared" si="7"/>
        <v>0</v>
      </c>
      <c r="G56" s="771">
        <f t="shared" si="8"/>
        <v>273</v>
      </c>
      <c r="H56" s="929">
        <f t="shared" si="11"/>
        <v>0</v>
      </c>
      <c r="I56" s="966"/>
      <c r="J56" s="865"/>
      <c r="K56" s="966"/>
      <c r="L56" s="865"/>
      <c r="M56" s="20"/>
      <c r="N56" s="3"/>
      <c r="O56" s="3"/>
      <c r="P56" s="3"/>
      <c r="Q56" s="3"/>
      <c r="R56" s="3"/>
      <c r="S56" s="3"/>
      <c r="T56" s="3"/>
      <c r="U56" s="3"/>
      <c r="V56" s="3"/>
      <c r="W56" s="3"/>
      <c r="X56" s="3"/>
      <c r="Y56" s="3"/>
      <c r="Z56" s="3"/>
    </row>
    <row r="57" spans="1:26" ht="15.75" customHeight="1" x14ac:dyDescent="0.25">
      <c r="A57" s="3"/>
      <c r="B57" s="769" t="s">
        <v>704</v>
      </c>
      <c r="C57" s="967">
        <v>1590</v>
      </c>
      <c r="D57" s="771">
        <v>0</v>
      </c>
      <c r="E57" s="1003">
        <v>6.0138183599339984E-4</v>
      </c>
      <c r="F57" s="1005">
        <f t="shared" si="7"/>
        <v>0.95619711922950579</v>
      </c>
      <c r="G57" s="771">
        <f t="shared" si="8"/>
        <v>273</v>
      </c>
      <c r="H57" s="929">
        <f t="shared" si="11"/>
        <v>2.610418135496551E-4</v>
      </c>
      <c r="I57" s="966"/>
      <c r="J57" s="865"/>
      <c r="K57" s="966"/>
      <c r="L57" s="865"/>
      <c r="M57" s="20"/>
      <c r="N57" s="3"/>
      <c r="O57" s="3"/>
      <c r="P57" s="3"/>
      <c r="Q57" s="3"/>
      <c r="R57" s="3"/>
      <c r="S57" s="3"/>
      <c r="T57" s="3"/>
      <c r="U57" s="3"/>
      <c r="V57" s="3"/>
      <c r="W57" s="3"/>
      <c r="X57" s="3"/>
      <c r="Y57" s="3"/>
      <c r="Z57" s="3"/>
    </row>
    <row r="58" spans="1:26" ht="15.75" customHeight="1" x14ac:dyDescent="0.25">
      <c r="A58" s="3"/>
      <c r="B58" s="769" t="s">
        <v>826</v>
      </c>
      <c r="C58" s="771">
        <v>0</v>
      </c>
      <c r="D58" s="771">
        <v>0</v>
      </c>
      <c r="E58" s="1003">
        <v>6.0138183599339984E-4</v>
      </c>
      <c r="F58" s="1005">
        <f t="shared" si="7"/>
        <v>0</v>
      </c>
      <c r="G58" s="771">
        <f t="shared" si="8"/>
        <v>273</v>
      </c>
      <c r="H58" s="929">
        <f t="shared" si="11"/>
        <v>0</v>
      </c>
      <c r="I58" s="966"/>
      <c r="J58" s="865"/>
      <c r="K58" s="966"/>
      <c r="L58" s="865"/>
      <c r="M58" s="20"/>
      <c r="N58" s="3"/>
      <c r="O58" s="3"/>
      <c r="P58" s="3"/>
      <c r="Q58" s="3"/>
      <c r="R58" s="3"/>
      <c r="S58" s="3"/>
      <c r="T58" s="3"/>
      <c r="U58" s="3"/>
      <c r="V58" s="3"/>
      <c r="W58" s="3"/>
      <c r="X58" s="3"/>
      <c r="Y58" s="3"/>
      <c r="Z58" s="3"/>
    </row>
    <row r="59" spans="1:26" ht="15.75" customHeight="1" x14ac:dyDescent="0.25">
      <c r="A59" s="3"/>
      <c r="B59" s="769" t="s">
        <v>828</v>
      </c>
      <c r="C59" s="967">
        <v>535</v>
      </c>
      <c r="D59" s="771">
        <v>596</v>
      </c>
      <c r="E59" s="1003">
        <v>6.0138183599339984E-4</v>
      </c>
      <c r="F59" s="1005">
        <f t="shared" si="7"/>
        <v>-3.668429199559739E-2</v>
      </c>
      <c r="G59" s="771">
        <f t="shared" si="8"/>
        <v>273</v>
      </c>
      <c r="H59" s="929">
        <f>0</f>
        <v>0</v>
      </c>
      <c r="I59" s="966"/>
      <c r="J59" s="865"/>
      <c r="K59" s="966"/>
      <c r="L59" s="865"/>
      <c r="M59" s="20"/>
      <c r="N59" s="3"/>
      <c r="O59" s="3"/>
      <c r="P59" s="3"/>
      <c r="Q59" s="3"/>
      <c r="R59" s="3"/>
      <c r="S59" s="3"/>
      <c r="T59" s="3"/>
      <c r="U59" s="3"/>
      <c r="V59" s="3"/>
      <c r="W59" s="3"/>
      <c r="X59" s="3"/>
      <c r="Y59" s="3"/>
      <c r="Z59" s="3"/>
    </row>
    <row r="60" spans="1:26" ht="15.75" customHeight="1" x14ac:dyDescent="0.25">
      <c r="A60" s="3"/>
      <c r="B60" s="769" t="s">
        <v>830</v>
      </c>
      <c r="C60" s="771">
        <v>0</v>
      </c>
      <c r="D60" s="771">
        <v>0</v>
      </c>
      <c r="E60" s="1003">
        <v>6.0138183599339984E-4</v>
      </c>
      <c r="F60" s="1005">
        <f t="shared" si="7"/>
        <v>0</v>
      </c>
      <c r="G60" s="771">
        <f t="shared" si="8"/>
        <v>273</v>
      </c>
      <c r="H60" s="929">
        <f>F60*G60/1000000</f>
        <v>0</v>
      </c>
      <c r="I60" s="966"/>
      <c r="J60" s="865"/>
      <c r="K60" s="966"/>
      <c r="L60" s="865"/>
      <c r="M60" s="20"/>
      <c r="N60" s="3"/>
      <c r="O60" s="3"/>
      <c r="P60" s="3"/>
      <c r="Q60" s="3"/>
      <c r="R60" s="3"/>
      <c r="S60" s="3"/>
      <c r="T60" s="3"/>
      <c r="U60" s="3"/>
      <c r="V60" s="3"/>
      <c r="W60" s="3"/>
      <c r="X60" s="3"/>
      <c r="Y60" s="3"/>
      <c r="Z60" s="3"/>
    </row>
    <row r="61" spans="1:26" ht="15.75" customHeight="1" x14ac:dyDescent="0.25">
      <c r="A61" s="3"/>
      <c r="B61" s="769" t="s">
        <v>831</v>
      </c>
      <c r="C61" s="967">
        <v>106</v>
      </c>
      <c r="D61" s="771">
        <v>120</v>
      </c>
      <c r="E61" s="1003">
        <v>6.0138183599339984E-4</v>
      </c>
      <c r="F61" s="1005">
        <f t="shared" si="7"/>
        <v>-8.4193457039075971E-3</v>
      </c>
      <c r="G61" s="771">
        <f t="shared" si="8"/>
        <v>273</v>
      </c>
      <c r="H61" s="929">
        <f>0</f>
        <v>0</v>
      </c>
      <c r="I61" s="966"/>
      <c r="J61" s="865"/>
      <c r="K61" s="966"/>
      <c r="L61" s="865"/>
      <c r="M61" s="20"/>
      <c r="N61" s="3"/>
      <c r="O61" s="3"/>
      <c r="P61" s="3"/>
      <c r="Q61" s="3"/>
      <c r="R61" s="3"/>
      <c r="S61" s="3"/>
      <c r="T61" s="3"/>
      <c r="U61" s="3"/>
      <c r="V61" s="3"/>
      <c r="W61" s="3"/>
      <c r="X61" s="3"/>
      <c r="Y61" s="3"/>
      <c r="Z61" s="3"/>
    </row>
    <row r="62" spans="1:26" ht="15.75" customHeight="1" x14ac:dyDescent="0.25">
      <c r="A62" s="3"/>
      <c r="B62" s="769" t="s">
        <v>77</v>
      </c>
      <c r="C62" s="967">
        <v>21808</v>
      </c>
      <c r="D62" s="771">
        <v>688</v>
      </c>
      <c r="E62" s="1003">
        <v>9.4955026735800017E-5</v>
      </c>
      <c r="F62" s="1005">
        <f t="shared" si="7"/>
        <v>2.0054501646600964</v>
      </c>
      <c r="G62" s="771">
        <f t="shared" si="8"/>
        <v>273</v>
      </c>
      <c r="H62" s="929">
        <f t="shared" ref="H62:H63" si="12">F62*G62/1000000</f>
        <v>5.4748789495220624E-4</v>
      </c>
      <c r="I62" s="966"/>
      <c r="J62" s="865"/>
      <c r="K62" s="966"/>
      <c r="L62" s="865"/>
      <c r="M62" s="20"/>
      <c r="N62" s="3"/>
      <c r="O62" s="3"/>
      <c r="P62" s="3"/>
      <c r="Q62" s="3"/>
      <c r="R62" s="3"/>
      <c r="S62" s="3"/>
      <c r="T62" s="3"/>
      <c r="U62" s="3"/>
      <c r="V62" s="3"/>
      <c r="W62" s="3"/>
      <c r="X62" s="3"/>
      <c r="Y62" s="3"/>
      <c r="Z62" s="3"/>
    </row>
    <row r="63" spans="1:26" ht="15.75" customHeight="1" x14ac:dyDescent="0.25">
      <c r="A63" s="3"/>
      <c r="B63" s="623" t="s">
        <v>129</v>
      </c>
      <c r="C63" s="771">
        <v>9240</v>
      </c>
      <c r="D63" s="962" t="s">
        <v>907</v>
      </c>
      <c r="E63" s="1003">
        <v>3.7982010694320003E-3</v>
      </c>
      <c r="F63" s="1005">
        <f>C63*E63</f>
        <v>35.095377881551684</v>
      </c>
      <c r="G63" s="771">
        <f t="shared" si="8"/>
        <v>273</v>
      </c>
      <c r="H63" s="929">
        <f t="shared" si="12"/>
        <v>9.5810381616636096E-3</v>
      </c>
      <c r="I63" s="966"/>
      <c r="J63" s="865"/>
      <c r="K63" s="966"/>
      <c r="L63" s="865"/>
      <c r="M63" s="20"/>
      <c r="N63" s="3"/>
      <c r="O63" s="3"/>
      <c r="P63" s="3"/>
      <c r="Q63" s="3"/>
      <c r="R63" s="3"/>
      <c r="S63" s="3"/>
      <c r="T63" s="3"/>
      <c r="U63" s="3"/>
      <c r="V63" s="3"/>
      <c r="W63" s="3"/>
      <c r="X63" s="3"/>
      <c r="Y63" s="3"/>
      <c r="Z63" s="3"/>
    </row>
    <row r="64" spans="1:26" ht="15.75" customHeight="1" x14ac:dyDescent="0.25">
      <c r="A64" s="3"/>
      <c r="B64" s="623"/>
      <c r="C64" s="983"/>
      <c r="D64" s="983"/>
      <c r="E64" s="983"/>
      <c r="F64" s="983"/>
      <c r="G64" s="1047" t="s">
        <v>205</v>
      </c>
      <c r="H64" s="1050">
        <f>SUM(H41:H63)</f>
        <v>2.1095073238802175E-2</v>
      </c>
      <c r="I64" s="864"/>
      <c r="J64" s="908"/>
      <c r="K64" s="864"/>
      <c r="L64" s="908"/>
      <c r="M64" s="20"/>
      <c r="N64" s="3"/>
      <c r="O64" s="3"/>
      <c r="P64" s="3"/>
      <c r="Q64" s="3"/>
      <c r="R64" s="3"/>
      <c r="S64" s="3"/>
      <c r="T64" s="3"/>
      <c r="U64" s="3"/>
      <c r="V64" s="3"/>
      <c r="W64" s="3"/>
      <c r="X64" s="3"/>
      <c r="Y64" s="3"/>
      <c r="Z64" s="3"/>
    </row>
    <row r="65" spans="1:26" ht="15.75" customHeight="1" x14ac:dyDescent="0.25">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x14ac:dyDescent="0.25">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x14ac:dyDescent="0.4">
      <c r="A67" s="3"/>
      <c r="B67" s="888" t="s">
        <v>922</v>
      </c>
      <c r="C67" s="888"/>
      <c r="D67" s="888">
        <v>2011</v>
      </c>
      <c r="E67" s="20"/>
      <c r="F67" s="20"/>
      <c r="G67" s="20"/>
      <c r="H67" s="20"/>
      <c r="I67" s="20"/>
      <c r="J67" s="20"/>
      <c r="K67" s="20"/>
      <c r="L67" s="20"/>
      <c r="M67" s="20"/>
      <c r="N67" s="3"/>
      <c r="O67" s="3"/>
      <c r="P67" s="3"/>
      <c r="Q67" s="3"/>
      <c r="R67" s="3"/>
      <c r="S67" s="3"/>
      <c r="T67" s="3"/>
      <c r="U67" s="3"/>
      <c r="V67" s="3"/>
      <c r="W67" s="3"/>
      <c r="X67" s="3"/>
      <c r="Y67" s="3"/>
      <c r="Z67" s="3"/>
    </row>
    <row r="68" spans="1:26" ht="15.75" customHeight="1" x14ac:dyDescent="0.25">
      <c r="A68" s="3"/>
      <c r="B68" s="1059"/>
      <c r="C68" s="799" t="s">
        <v>34</v>
      </c>
      <c r="D68" s="799" t="s">
        <v>798</v>
      </c>
      <c r="E68" s="1060"/>
      <c r="F68" s="1060"/>
      <c r="G68" s="1060"/>
      <c r="H68" s="1061"/>
      <c r="I68" s="20"/>
      <c r="J68" s="20"/>
      <c r="K68" s="20"/>
      <c r="L68" s="20"/>
      <c r="M68" s="20"/>
      <c r="N68" s="3"/>
      <c r="O68" s="3"/>
      <c r="P68" s="3"/>
      <c r="Q68" s="3"/>
      <c r="R68" s="3"/>
      <c r="S68" s="3"/>
      <c r="T68" s="3"/>
      <c r="U68" s="3"/>
      <c r="V68" s="3"/>
      <c r="W68" s="3"/>
      <c r="X68" s="3"/>
      <c r="Y68" s="3"/>
      <c r="Z68" s="3"/>
    </row>
    <row r="69" spans="1:26" ht="15.75" customHeight="1" x14ac:dyDescent="0.25">
      <c r="A69" s="3"/>
      <c r="B69" s="1063"/>
      <c r="C69" s="960" t="s">
        <v>685</v>
      </c>
      <c r="D69" s="960" t="s">
        <v>685</v>
      </c>
      <c r="E69" s="13" t="s">
        <v>738</v>
      </c>
      <c r="F69" s="13" t="s">
        <v>686</v>
      </c>
      <c r="G69" s="960" t="s">
        <v>688</v>
      </c>
      <c r="H69" s="899" t="s">
        <v>686</v>
      </c>
      <c r="I69" s="20"/>
      <c r="J69" s="13"/>
      <c r="K69" s="20"/>
      <c r="L69" s="13"/>
      <c r="M69" s="20"/>
      <c r="N69" s="3"/>
      <c r="O69" s="3"/>
      <c r="P69" s="3"/>
      <c r="Q69" s="3"/>
      <c r="R69" s="3"/>
      <c r="S69" s="3"/>
      <c r="T69" s="3"/>
      <c r="U69" s="3"/>
      <c r="V69" s="3"/>
      <c r="W69" s="3"/>
      <c r="X69" s="3"/>
      <c r="Y69" s="3"/>
      <c r="Z69" s="3"/>
    </row>
    <row r="70" spans="1:26" ht="15.75" customHeight="1" x14ac:dyDescent="0.25">
      <c r="A70" s="3"/>
      <c r="B70" s="1065" t="s">
        <v>9</v>
      </c>
      <c r="C70" s="1066" t="s">
        <v>690</v>
      </c>
      <c r="D70" s="1066" t="s">
        <v>690</v>
      </c>
      <c r="E70" s="1067" t="s">
        <v>776</v>
      </c>
      <c r="F70" s="1067" t="s">
        <v>927</v>
      </c>
      <c r="G70" s="1066"/>
      <c r="H70" s="1070" t="s">
        <v>763</v>
      </c>
      <c r="I70" s="20"/>
      <c r="J70" s="960"/>
      <c r="K70" s="20"/>
      <c r="L70" s="13"/>
      <c r="M70" s="20"/>
      <c r="N70" s="3"/>
      <c r="O70" s="3"/>
      <c r="P70" s="3"/>
      <c r="Q70" s="3"/>
      <c r="R70" s="3"/>
      <c r="S70" s="3"/>
      <c r="T70" s="3"/>
      <c r="U70" s="3"/>
      <c r="V70" s="3"/>
      <c r="W70" s="3"/>
      <c r="X70" s="3"/>
      <c r="Y70" s="3"/>
      <c r="Z70" s="3"/>
    </row>
    <row r="71" spans="1:26" ht="15.75" customHeight="1" x14ac:dyDescent="0.25">
      <c r="A71" s="3"/>
      <c r="B71" s="1074" t="s">
        <v>802</v>
      </c>
      <c r="C71" s="771">
        <v>0</v>
      </c>
      <c r="D71" s="1075">
        <v>0</v>
      </c>
      <c r="E71" s="1076">
        <v>1.0023030599889999E-2</v>
      </c>
      <c r="F71" s="1077">
        <f t="shared" ref="F71:F92" si="13">(C71-D71)*E71</f>
        <v>0</v>
      </c>
      <c r="G71" s="843">
        <f t="shared" ref="G71:G93" si="14">$M$12</f>
        <v>27.9</v>
      </c>
      <c r="H71" s="1078">
        <f t="shared" ref="H71:H72" si="15">F71*G71/1000000</f>
        <v>0</v>
      </c>
      <c r="I71" s="966"/>
      <c r="J71" s="865"/>
      <c r="K71" s="966"/>
      <c r="L71" s="865"/>
      <c r="M71" s="20"/>
      <c r="N71" s="3"/>
      <c r="O71" s="3"/>
      <c r="P71" s="3"/>
      <c r="Q71" s="3"/>
      <c r="R71" s="3"/>
      <c r="S71" s="3"/>
      <c r="T71" s="3"/>
      <c r="U71" s="3"/>
      <c r="V71" s="3"/>
      <c r="W71" s="3"/>
      <c r="X71" s="3"/>
      <c r="Y71" s="3"/>
      <c r="Z71" s="3"/>
    </row>
    <row r="72" spans="1:26" ht="15.75" customHeight="1" x14ac:dyDescent="0.25">
      <c r="A72" s="3"/>
      <c r="B72" s="1079" t="s">
        <v>803</v>
      </c>
      <c r="C72" s="967">
        <v>21655</v>
      </c>
      <c r="D72" s="1080">
        <v>227</v>
      </c>
      <c r="E72" s="1003">
        <v>1.0023030599889999E-2</v>
      </c>
      <c r="F72" s="1081">
        <f t="shared" si="13"/>
        <v>214.7734996944429</v>
      </c>
      <c r="G72" s="771">
        <f t="shared" si="14"/>
        <v>27.9</v>
      </c>
      <c r="H72" s="1083">
        <f t="shared" si="15"/>
        <v>5.9921806414749571E-3</v>
      </c>
      <c r="I72" s="966"/>
      <c r="J72" s="865"/>
      <c r="K72" s="966"/>
      <c r="L72" s="865"/>
      <c r="M72" s="20"/>
      <c r="N72" s="3"/>
      <c r="O72" s="3"/>
      <c r="P72" s="3"/>
      <c r="Q72" s="3"/>
      <c r="R72" s="3"/>
      <c r="S72" s="3"/>
      <c r="T72" s="3"/>
      <c r="U72" s="3"/>
      <c r="V72" s="3"/>
      <c r="W72" s="3"/>
      <c r="X72" s="3"/>
      <c r="Y72" s="3"/>
      <c r="Z72" s="3"/>
    </row>
    <row r="73" spans="1:26" ht="15.75" customHeight="1" x14ac:dyDescent="0.25">
      <c r="A73" s="3"/>
      <c r="B73" s="1079" t="s">
        <v>805</v>
      </c>
      <c r="C73" s="967">
        <v>19835</v>
      </c>
      <c r="D73" s="1080">
        <v>22046</v>
      </c>
      <c r="E73" s="1003">
        <v>3.006909179967E-3</v>
      </c>
      <c r="F73" s="1081">
        <f t="shared" si="13"/>
        <v>-6.6482761969070365</v>
      </c>
      <c r="G73" s="771">
        <f t="shared" si="14"/>
        <v>27.9</v>
      </c>
      <c r="H73" s="1083">
        <f>0</f>
        <v>0</v>
      </c>
      <c r="I73" s="966"/>
      <c r="J73" s="865"/>
      <c r="K73" s="966"/>
      <c r="L73" s="865"/>
      <c r="M73" s="20"/>
      <c r="N73" s="3"/>
      <c r="O73" s="3"/>
      <c r="P73" s="3"/>
      <c r="Q73" s="3"/>
      <c r="R73" s="3"/>
      <c r="S73" s="3"/>
      <c r="T73" s="3"/>
      <c r="U73" s="3"/>
      <c r="V73" s="3"/>
      <c r="W73" s="3"/>
      <c r="X73" s="3"/>
      <c r="Y73" s="3"/>
      <c r="Z73" s="3"/>
    </row>
    <row r="74" spans="1:26" ht="15.75" customHeight="1" x14ac:dyDescent="0.25">
      <c r="A74" s="3"/>
      <c r="B74" s="1086" t="s">
        <v>806</v>
      </c>
      <c r="C74" s="771">
        <v>0</v>
      </c>
      <c r="D74" s="1080">
        <v>0</v>
      </c>
      <c r="E74" s="1003">
        <v>3.006909179967E-3</v>
      </c>
      <c r="F74" s="1081">
        <f t="shared" si="13"/>
        <v>0</v>
      </c>
      <c r="G74" s="771">
        <f t="shared" si="14"/>
        <v>27.9</v>
      </c>
      <c r="H74" s="1083">
        <f t="shared" ref="H74:H80" si="16">F74*G74/1000000</f>
        <v>0</v>
      </c>
      <c r="I74" s="966"/>
      <c r="J74" s="865"/>
      <c r="K74" s="966"/>
      <c r="L74" s="865"/>
      <c r="M74" s="20"/>
      <c r="N74" s="3"/>
      <c r="O74" s="3"/>
      <c r="P74" s="3"/>
      <c r="Q74" s="3"/>
      <c r="R74" s="3"/>
      <c r="S74" s="3"/>
      <c r="T74" s="3"/>
      <c r="U74" s="3"/>
      <c r="V74" s="3"/>
      <c r="W74" s="3"/>
      <c r="X74" s="3"/>
      <c r="Y74" s="3"/>
      <c r="Z74" s="3"/>
    </row>
    <row r="75" spans="1:26" ht="15.75" customHeight="1" x14ac:dyDescent="0.25">
      <c r="A75" s="3"/>
      <c r="B75" s="1086" t="s">
        <v>809</v>
      </c>
      <c r="C75" s="771">
        <v>0</v>
      </c>
      <c r="D75" s="1080">
        <v>0</v>
      </c>
      <c r="E75" s="1003">
        <v>3.006909179967E-3</v>
      </c>
      <c r="F75" s="1081">
        <f t="shared" si="13"/>
        <v>0</v>
      </c>
      <c r="G75" s="771">
        <f t="shared" si="14"/>
        <v>27.9</v>
      </c>
      <c r="H75" s="1083">
        <f t="shared" si="16"/>
        <v>0</v>
      </c>
      <c r="I75" s="966"/>
      <c r="J75" s="865"/>
      <c r="K75" s="966"/>
      <c r="L75" s="865"/>
      <c r="M75" s="20"/>
      <c r="N75" s="3"/>
      <c r="O75" s="3"/>
      <c r="P75" s="3"/>
      <c r="Q75" s="3"/>
      <c r="R75" s="3"/>
      <c r="S75" s="3"/>
      <c r="T75" s="3"/>
      <c r="U75" s="3"/>
      <c r="V75" s="3"/>
      <c r="W75" s="3"/>
      <c r="X75" s="3"/>
      <c r="Y75" s="3"/>
      <c r="Z75" s="3"/>
    </row>
    <row r="76" spans="1:26" ht="15.75" customHeight="1" x14ac:dyDescent="0.25">
      <c r="A76" s="3"/>
      <c r="B76" s="1079" t="s">
        <v>703</v>
      </c>
      <c r="C76" s="967">
        <v>7382</v>
      </c>
      <c r="D76" s="1080">
        <v>96</v>
      </c>
      <c r="E76" s="1003">
        <v>3.006909179967E-3</v>
      </c>
      <c r="F76" s="1081">
        <f t="shared" si="13"/>
        <v>21.908340285239561</v>
      </c>
      <c r="G76" s="771">
        <f t="shared" si="14"/>
        <v>27.9</v>
      </c>
      <c r="H76" s="1083">
        <f t="shared" si="16"/>
        <v>6.1124269395818368E-4</v>
      </c>
      <c r="I76" s="966"/>
      <c r="J76" s="865"/>
      <c r="K76" s="966"/>
      <c r="L76" s="865"/>
      <c r="M76" s="20"/>
      <c r="N76" s="3"/>
      <c r="O76" s="3"/>
      <c r="P76" s="3"/>
      <c r="Q76" s="3"/>
      <c r="R76" s="3"/>
      <c r="S76" s="3"/>
      <c r="T76" s="3"/>
      <c r="U76" s="3"/>
      <c r="V76" s="3"/>
      <c r="W76" s="3"/>
      <c r="X76" s="3"/>
      <c r="Y76" s="3"/>
      <c r="Z76" s="3"/>
    </row>
    <row r="77" spans="1:26" ht="15.75" customHeight="1" x14ac:dyDescent="0.25">
      <c r="A77" s="3"/>
      <c r="B77" s="1086" t="s">
        <v>813</v>
      </c>
      <c r="C77" s="973">
        <v>0</v>
      </c>
      <c r="D77" s="1080"/>
      <c r="E77" s="1003">
        <v>3.006909179967E-3</v>
      </c>
      <c r="F77" s="1081">
        <f t="shared" si="13"/>
        <v>0</v>
      </c>
      <c r="G77" s="771">
        <f t="shared" si="14"/>
        <v>27.9</v>
      </c>
      <c r="H77" s="1083">
        <f t="shared" si="16"/>
        <v>0</v>
      </c>
      <c r="I77" s="966"/>
      <c r="J77" s="865"/>
      <c r="K77" s="966"/>
      <c r="L77" s="865"/>
      <c r="M77" s="20"/>
      <c r="N77" s="3"/>
      <c r="O77" s="3"/>
      <c r="P77" s="3"/>
      <c r="Q77" s="3"/>
      <c r="R77" s="3"/>
      <c r="S77" s="3"/>
      <c r="T77" s="3"/>
      <c r="U77" s="3"/>
      <c r="V77" s="3"/>
      <c r="W77" s="3"/>
      <c r="X77" s="3"/>
      <c r="Y77" s="3"/>
      <c r="Z77" s="3"/>
    </row>
    <row r="78" spans="1:26" ht="15.75" customHeight="1" x14ac:dyDescent="0.25">
      <c r="A78" s="3"/>
      <c r="B78" s="1086" t="s">
        <v>815</v>
      </c>
      <c r="C78" s="973">
        <v>0</v>
      </c>
      <c r="D78" s="1080"/>
      <c r="E78" s="1003">
        <v>3.006909179967E-3</v>
      </c>
      <c r="F78" s="1081">
        <f t="shared" si="13"/>
        <v>0</v>
      </c>
      <c r="G78" s="771">
        <f t="shared" si="14"/>
        <v>27.9</v>
      </c>
      <c r="H78" s="1083">
        <f t="shared" si="16"/>
        <v>0</v>
      </c>
      <c r="I78" s="966"/>
      <c r="J78" s="865"/>
      <c r="K78" s="966"/>
      <c r="L78" s="865"/>
      <c r="M78" s="20"/>
      <c r="N78" s="3"/>
      <c r="O78" s="3"/>
      <c r="P78" s="3"/>
      <c r="Q78" s="3"/>
      <c r="R78" s="3"/>
      <c r="S78" s="3"/>
      <c r="T78" s="3"/>
      <c r="U78" s="3"/>
      <c r="V78" s="3"/>
      <c r="W78" s="3"/>
      <c r="X78" s="3"/>
      <c r="Y78" s="3"/>
      <c r="Z78" s="3"/>
    </row>
    <row r="79" spans="1:26" ht="15.75" customHeight="1" x14ac:dyDescent="0.25">
      <c r="A79" s="3"/>
      <c r="B79" s="1079" t="s">
        <v>753</v>
      </c>
      <c r="C79" s="967">
        <v>7</v>
      </c>
      <c r="D79" s="1080">
        <v>0</v>
      </c>
      <c r="E79" s="1003">
        <v>3.006909179967E-3</v>
      </c>
      <c r="F79" s="1081">
        <f t="shared" si="13"/>
        <v>2.1048364259768998E-2</v>
      </c>
      <c r="G79" s="771">
        <f t="shared" si="14"/>
        <v>27.9</v>
      </c>
      <c r="H79" s="1083">
        <f t="shared" si="16"/>
        <v>5.8724936284755502E-7</v>
      </c>
      <c r="I79" s="966"/>
      <c r="J79" s="865"/>
      <c r="K79" s="966"/>
      <c r="L79" s="865"/>
      <c r="M79" s="20"/>
      <c r="N79" s="3"/>
      <c r="O79" s="3"/>
      <c r="P79" s="3"/>
      <c r="Q79" s="3"/>
      <c r="R79" s="3"/>
      <c r="S79" s="3"/>
      <c r="T79" s="3"/>
      <c r="U79" s="3"/>
      <c r="V79" s="3"/>
      <c r="W79" s="3"/>
      <c r="X79" s="3"/>
      <c r="Y79" s="3"/>
      <c r="Z79" s="3"/>
    </row>
    <row r="80" spans="1:26" ht="15.75" customHeight="1" x14ac:dyDescent="0.25">
      <c r="A80" s="3"/>
      <c r="B80" s="1079" t="s">
        <v>755</v>
      </c>
      <c r="C80" s="967">
        <v>1582</v>
      </c>
      <c r="D80" s="1080">
        <v>1385</v>
      </c>
      <c r="E80" s="1003">
        <v>3.006909179967E-3</v>
      </c>
      <c r="F80" s="1081">
        <f t="shared" si="13"/>
        <v>0.59236110845349899</v>
      </c>
      <c r="G80" s="771">
        <f t="shared" si="14"/>
        <v>27.9</v>
      </c>
      <c r="H80" s="1083">
        <f t="shared" si="16"/>
        <v>1.6526874925852621E-5</v>
      </c>
      <c r="I80" s="966"/>
      <c r="J80" s="865"/>
      <c r="K80" s="966"/>
      <c r="L80" s="865"/>
      <c r="M80" s="20"/>
      <c r="N80" s="3"/>
      <c r="O80" s="3"/>
      <c r="P80" s="3"/>
      <c r="Q80" s="3"/>
      <c r="R80" s="3"/>
      <c r="S80" s="3"/>
      <c r="T80" s="3"/>
      <c r="U80" s="3"/>
      <c r="V80" s="3"/>
      <c r="W80" s="3"/>
      <c r="X80" s="3"/>
      <c r="Y80" s="3"/>
      <c r="Z80" s="3"/>
    </row>
    <row r="81" spans="1:26" ht="15.75" customHeight="1" x14ac:dyDescent="0.25">
      <c r="A81" s="3"/>
      <c r="B81" s="1079" t="s">
        <v>818</v>
      </c>
      <c r="C81" s="967">
        <v>1957</v>
      </c>
      <c r="D81" s="1080">
        <v>2063</v>
      </c>
      <c r="E81" s="1003">
        <v>3.006909179967E-3</v>
      </c>
      <c r="F81" s="1081">
        <f t="shared" si="13"/>
        <v>-0.31873237307650198</v>
      </c>
      <c r="G81" s="771">
        <f t="shared" si="14"/>
        <v>27.9</v>
      </c>
      <c r="H81" s="1083">
        <f>0</f>
        <v>0</v>
      </c>
      <c r="I81" s="966"/>
      <c r="J81" s="865"/>
      <c r="K81" s="966"/>
      <c r="L81" s="865"/>
      <c r="M81" s="20"/>
      <c r="N81" s="3"/>
      <c r="O81" s="3"/>
      <c r="P81" s="3"/>
      <c r="Q81" s="3"/>
      <c r="R81" s="3"/>
      <c r="S81" s="3"/>
      <c r="T81" s="3"/>
      <c r="U81" s="3"/>
      <c r="V81" s="3"/>
      <c r="W81" s="3"/>
      <c r="X81" s="3"/>
      <c r="Y81" s="3"/>
      <c r="Z81" s="3"/>
    </row>
    <row r="82" spans="1:26" ht="15.75" customHeight="1" x14ac:dyDescent="0.25">
      <c r="A82" s="3"/>
      <c r="B82" s="1079" t="s">
        <v>757</v>
      </c>
      <c r="C82" s="967">
        <v>4129</v>
      </c>
      <c r="D82" s="1080">
        <v>0</v>
      </c>
      <c r="E82" s="1003">
        <v>3.006909179967E-3</v>
      </c>
      <c r="F82" s="1081">
        <f t="shared" si="13"/>
        <v>12.415528004083743</v>
      </c>
      <c r="G82" s="771">
        <f t="shared" si="14"/>
        <v>27.9</v>
      </c>
      <c r="H82" s="1083">
        <f t="shared" ref="H82:H88" si="17">F82*G82/1000000</f>
        <v>3.4639323131393645E-4</v>
      </c>
      <c r="I82" s="966"/>
      <c r="J82" s="865"/>
      <c r="K82" s="966"/>
      <c r="L82" s="865"/>
      <c r="M82" s="20"/>
      <c r="N82" s="3"/>
      <c r="O82" s="3"/>
      <c r="P82" s="3"/>
      <c r="Q82" s="3"/>
      <c r="R82" s="3"/>
      <c r="S82" s="3"/>
      <c r="T82" s="3"/>
      <c r="U82" s="3"/>
      <c r="V82" s="3"/>
      <c r="W82" s="3"/>
      <c r="X82" s="3"/>
      <c r="Y82" s="3"/>
      <c r="Z82" s="3"/>
    </row>
    <row r="83" spans="1:26" ht="15.75" customHeight="1" x14ac:dyDescent="0.25">
      <c r="A83" s="3"/>
      <c r="B83" s="1086" t="s">
        <v>820</v>
      </c>
      <c r="C83" s="771">
        <v>0</v>
      </c>
      <c r="D83" s="1080">
        <v>0</v>
      </c>
      <c r="E83" s="1003">
        <v>3.006909179967E-3</v>
      </c>
      <c r="F83" s="1081">
        <f t="shared" si="13"/>
        <v>0</v>
      </c>
      <c r="G83" s="771">
        <f t="shared" si="14"/>
        <v>27.9</v>
      </c>
      <c r="H83" s="1083">
        <f t="shared" si="17"/>
        <v>0</v>
      </c>
      <c r="I83" s="966"/>
      <c r="J83" s="865"/>
      <c r="K83" s="966"/>
      <c r="L83" s="865"/>
      <c r="M83" s="20"/>
      <c r="N83" s="3"/>
      <c r="O83" s="3"/>
      <c r="P83" s="3"/>
      <c r="Q83" s="3"/>
      <c r="R83" s="3"/>
      <c r="S83" s="3"/>
      <c r="T83" s="3"/>
      <c r="U83" s="3"/>
      <c r="V83" s="3"/>
      <c r="W83" s="3"/>
      <c r="X83" s="3"/>
      <c r="Y83" s="3"/>
      <c r="Z83" s="3"/>
    </row>
    <row r="84" spans="1:26" ht="15.75" customHeight="1" x14ac:dyDescent="0.25">
      <c r="A84" s="3"/>
      <c r="B84" s="1079" t="s">
        <v>822</v>
      </c>
      <c r="C84" s="967">
        <v>501</v>
      </c>
      <c r="D84" s="1080">
        <v>483</v>
      </c>
      <c r="E84" s="1003">
        <v>3.006909179967E-3</v>
      </c>
      <c r="F84" s="1081">
        <f t="shared" si="13"/>
        <v>5.4124365239406003E-2</v>
      </c>
      <c r="G84" s="771">
        <f t="shared" si="14"/>
        <v>27.9</v>
      </c>
      <c r="H84" s="1083">
        <f t="shared" si="17"/>
        <v>1.5100697901794273E-6</v>
      </c>
      <c r="I84" s="966"/>
      <c r="J84" s="865"/>
      <c r="K84" s="966"/>
      <c r="L84" s="865"/>
      <c r="M84" s="20"/>
      <c r="N84" s="3"/>
      <c r="O84" s="3"/>
      <c r="P84" s="3"/>
      <c r="Q84" s="3"/>
      <c r="R84" s="3"/>
      <c r="S84" s="3"/>
      <c r="T84" s="3"/>
      <c r="U84" s="3"/>
      <c r="V84" s="3"/>
      <c r="W84" s="3"/>
      <c r="X84" s="3"/>
      <c r="Y84" s="3"/>
      <c r="Z84" s="3"/>
    </row>
    <row r="85" spans="1:26" ht="15.75" customHeight="1" x14ac:dyDescent="0.25">
      <c r="A85" s="3"/>
      <c r="B85" s="1079" t="s">
        <v>823</v>
      </c>
      <c r="C85" s="771">
        <v>0</v>
      </c>
      <c r="D85" s="1080">
        <v>0</v>
      </c>
      <c r="E85" s="1003">
        <v>3.006909179967E-3</v>
      </c>
      <c r="F85" s="1081">
        <f t="shared" si="13"/>
        <v>0</v>
      </c>
      <c r="G85" s="771">
        <f t="shared" si="14"/>
        <v>27.9</v>
      </c>
      <c r="H85" s="1083">
        <f t="shared" si="17"/>
        <v>0</v>
      </c>
      <c r="I85" s="966"/>
      <c r="J85" s="865"/>
      <c r="K85" s="966"/>
      <c r="L85" s="865"/>
      <c r="M85" s="20"/>
      <c r="N85" s="3"/>
      <c r="O85" s="3"/>
      <c r="P85" s="3"/>
      <c r="Q85" s="3"/>
      <c r="R85" s="3"/>
      <c r="S85" s="3"/>
      <c r="T85" s="3"/>
      <c r="U85" s="3"/>
      <c r="V85" s="3"/>
      <c r="W85" s="3"/>
      <c r="X85" s="3"/>
      <c r="Y85" s="3"/>
      <c r="Z85" s="3"/>
    </row>
    <row r="86" spans="1:26" ht="15.75" customHeight="1" x14ac:dyDescent="0.25">
      <c r="A86" s="3"/>
      <c r="B86" s="1079" t="s">
        <v>824</v>
      </c>
      <c r="C86" s="771"/>
      <c r="D86" s="1080"/>
      <c r="E86" s="1003">
        <v>3.006909179967E-3</v>
      </c>
      <c r="F86" s="1081">
        <f t="shared" si="13"/>
        <v>0</v>
      </c>
      <c r="G86" s="771">
        <f t="shared" si="14"/>
        <v>27.9</v>
      </c>
      <c r="H86" s="1083">
        <f t="shared" si="17"/>
        <v>0</v>
      </c>
      <c r="I86" s="966"/>
      <c r="J86" s="865"/>
      <c r="K86" s="966"/>
      <c r="L86" s="865"/>
      <c r="M86" s="20"/>
      <c r="N86" s="3"/>
      <c r="O86" s="3"/>
      <c r="P86" s="3"/>
      <c r="Q86" s="3"/>
      <c r="R86" s="3"/>
      <c r="S86" s="3"/>
      <c r="T86" s="3"/>
      <c r="U86" s="3"/>
      <c r="V86" s="3"/>
      <c r="W86" s="3"/>
      <c r="X86" s="3"/>
      <c r="Y86" s="3"/>
      <c r="Z86" s="3"/>
    </row>
    <row r="87" spans="1:26" ht="15.75" customHeight="1" x14ac:dyDescent="0.25">
      <c r="A87" s="3"/>
      <c r="B87" s="1079" t="s">
        <v>704</v>
      </c>
      <c r="C87" s="967">
        <v>1590</v>
      </c>
      <c r="D87" s="1080">
        <v>0</v>
      </c>
      <c r="E87" s="1003">
        <v>3.006909179967E-3</v>
      </c>
      <c r="F87" s="1081">
        <f t="shared" si="13"/>
        <v>4.7809855961475298</v>
      </c>
      <c r="G87" s="771">
        <f t="shared" si="14"/>
        <v>27.9</v>
      </c>
      <c r="H87" s="1083">
        <f t="shared" si="17"/>
        <v>1.3338949813251609E-4</v>
      </c>
      <c r="I87" s="966"/>
      <c r="J87" s="865"/>
      <c r="K87" s="966"/>
      <c r="L87" s="865"/>
      <c r="M87" s="20"/>
      <c r="N87" s="3"/>
      <c r="O87" s="3"/>
      <c r="P87" s="3"/>
      <c r="Q87" s="3"/>
      <c r="R87" s="3"/>
      <c r="S87" s="3"/>
      <c r="T87" s="3"/>
      <c r="U87" s="3"/>
      <c r="V87" s="3"/>
      <c r="W87" s="3"/>
      <c r="X87" s="3"/>
      <c r="Y87" s="3"/>
      <c r="Z87" s="3"/>
    </row>
    <row r="88" spans="1:26" ht="15.75" customHeight="1" x14ac:dyDescent="0.25">
      <c r="A88" s="3"/>
      <c r="B88" s="1079" t="s">
        <v>826</v>
      </c>
      <c r="C88" s="771">
        <v>0</v>
      </c>
      <c r="D88" s="1080">
        <v>0</v>
      </c>
      <c r="E88" s="1003">
        <v>3.006909179967E-3</v>
      </c>
      <c r="F88" s="1081">
        <f t="shared" si="13"/>
        <v>0</v>
      </c>
      <c r="G88" s="771">
        <f t="shared" si="14"/>
        <v>27.9</v>
      </c>
      <c r="H88" s="1083">
        <f t="shared" si="17"/>
        <v>0</v>
      </c>
      <c r="I88" s="966"/>
      <c r="J88" s="865"/>
      <c r="K88" s="966"/>
      <c r="L88" s="865"/>
      <c r="M88" s="20"/>
      <c r="N88" s="3"/>
      <c r="O88" s="3"/>
      <c r="P88" s="3"/>
      <c r="Q88" s="3"/>
      <c r="R88" s="3"/>
      <c r="S88" s="3"/>
      <c r="T88" s="3"/>
      <c r="U88" s="3"/>
      <c r="V88" s="3"/>
      <c r="W88" s="3"/>
      <c r="X88" s="3"/>
      <c r="Y88" s="3"/>
      <c r="Z88" s="3"/>
    </row>
    <row r="89" spans="1:26" ht="15.75" customHeight="1" x14ac:dyDescent="0.25">
      <c r="A89" s="3"/>
      <c r="B89" s="1079" t="s">
        <v>828</v>
      </c>
      <c r="C89" s="967">
        <v>535</v>
      </c>
      <c r="D89" s="1080">
        <v>596</v>
      </c>
      <c r="E89" s="1003">
        <v>3.006909179967E-3</v>
      </c>
      <c r="F89" s="1081">
        <f t="shared" si="13"/>
        <v>-0.18342145997798701</v>
      </c>
      <c r="G89" s="771">
        <f t="shared" si="14"/>
        <v>27.9</v>
      </c>
      <c r="H89" s="1083">
        <f>0</f>
        <v>0</v>
      </c>
      <c r="I89" s="966"/>
      <c r="J89" s="865"/>
      <c r="K89" s="966"/>
      <c r="L89" s="865"/>
      <c r="M89" s="20"/>
      <c r="N89" s="3"/>
      <c r="O89" s="3"/>
      <c r="P89" s="3"/>
      <c r="Q89" s="3"/>
      <c r="R89" s="3"/>
      <c r="S89" s="3"/>
      <c r="T89" s="3"/>
      <c r="U89" s="3"/>
      <c r="V89" s="3"/>
      <c r="W89" s="3"/>
      <c r="X89" s="3"/>
      <c r="Y89" s="3"/>
      <c r="Z89" s="3"/>
    </row>
    <row r="90" spans="1:26" ht="15.75" customHeight="1" x14ac:dyDescent="0.25">
      <c r="A90" s="3"/>
      <c r="B90" s="1079" t="s">
        <v>830</v>
      </c>
      <c r="C90" s="771">
        <v>0</v>
      </c>
      <c r="D90" s="1080">
        <v>0</v>
      </c>
      <c r="E90" s="1003">
        <v>3.006909179967E-3</v>
      </c>
      <c r="F90" s="1081">
        <f t="shared" si="13"/>
        <v>0</v>
      </c>
      <c r="G90" s="771">
        <f t="shared" si="14"/>
        <v>27.9</v>
      </c>
      <c r="H90" s="1083">
        <f>F90*G90/1000000</f>
        <v>0</v>
      </c>
      <c r="I90" s="966"/>
      <c r="J90" s="865"/>
      <c r="K90" s="966"/>
      <c r="L90" s="865"/>
      <c r="M90" s="20"/>
      <c r="N90" s="3"/>
      <c r="O90" s="3"/>
      <c r="P90" s="3"/>
      <c r="Q90" s="3"/>
      <c r="R90" s="3"/>
      <c r="S90" s="3"/>
      <c r="T90" s="3"/>
      <c r="U90" s="3"/>
      <c r="V90" s="3"/>
      <c r="W90" s="3"/>
      <c r="X90" s="3"/>
      <c r="Y90" s="3"/>
      <c r="Z90" s="3"/>
    </row>
    <row r="91" spans="1:26" ht="15.75" customHeight="1" x14ac:dyDescent="0.25">
      <c r="A91" s="3"/>
      <c r="B91" s="1079" t="s">
        <v>831</v>
      </c>
      <c r="C91" s="967">
        <v>106</v>
      </c>
      <c r="D91" s="1080">
        <v>120</v>
      </c>
      <c r="E91" s="1003">
        <v>3.006909179967E-3</v>
      </c>
      <c r="F91" s="1081">
        <f t="shared" si="13"/>
        <v>-4.2096728519537996E-2</v>
      </c>
      <c r="G91" s="771">
        <f t="shared" si="14"/>
        <v>27.9</v>
      </c>
      <c r="H91" s="1083">
        <f>0</f>
        <v>0</v>
      </c>
      <c r="I91" s="966"/>
      <c r="J91" s="865"/>
      <c r="K91" s="966"/>
      <c r="L91" s="865"/>
      <c r="M91" s="20"/>
      <c r="N91" s="3"/>
      <c r="O91" s="3"/>
      <c r="P91" s="3"/>
      <c r="Q91" s="3"/>
      <c r="R91" s="3"/>
      <c r="S91" s="3"/>
      <c r="T91" s="3"/>
      <c r="U91" s="3"/>
      <c r="V91" s="3"/>
      <c r="W91" s="3"/>
      <c r="X91" s="3"/>
      <c r="Y91" s="3"/>
      <c r="Z91" s="3"/>
    </row>
    <row r="92" spans="1:26" ht="15.75" customHeight="1" x14ac:dyDescent="0.25">
      <c r="A92" s="3"/>
      <c r="B92" s="1079" t="s">
        <v>77</v>
      </c>
      <c r="C92" s="967">
        <v>21808</v>
      </c>
      <c r="D92" s="1080">
        <v>688</v>
      </c>
      <c r="E92" s="1003">
        <v>9.4955026735800007E-4</v>
      </c>
      <c r="F92" s="1081">
        <f t="shared" si="13"/>
        <v>20.054501646600961</v>
      </c>
      <c r="G92" s="771">
        <f t="shared" si="14"/>
        <v>27.9</v>
      </c>
      <c r="H92" s="1083">
        <f t="shared" ref="H92:H93" si="18">F92*G92/1000000</f>
        <v>5.5952059594016677E-4</v>
      </c>
      <c r="I92" s="966"/>
      <c r="J92" s="865"/>
      <c r="K92" s="966"/>
      <c r="L92" s="865"/>
      <c r="M92" s="20"/>
      <c r="N92" s="3"/>
      <c r="O92" s="3"/>
      <c r="P92" s="3"/>
      <c r="Q92" s="3"/>
      <c r="R92" s="3"/>
      <c r="S92" s="3"/>
      <c r="T92" s="3"/>
      <c r="U92" s="3"/>
      <c r="V92" s="3"/>
      <c r="W92" s="3"/>
      <c r="X92" s="3"/>
      <c r="Y92" s="3"/>
      <c r="Z92" s="3"/>
    </row>
    <row r="93" spans="1:26" ht="15.75" customHeight="1" x14ac:dyDescent="0.25">
      <c r="A93" s="3"/>
      <c r="B93" s="244" t="s">
        <v>129</v>
      </c>
      <c r="C93" s="771">
        <v>9240</v>
      </c>
      <c r="D93" s="1080" t="s">
        <v>907</v>
      </c>
      <c r="E93" s="1003">
        <v>2.8486508020740004E-2</v>
      </c>
      <c r="F93" s="1081">
        <f>C93*E93</f>
        <v>263.21533411163762</v>
      </c>
      <c r="G93" s="771">
        <f t="shared" si="14"/>
        <v>27.9</v>
      </c>
      <c r="H93" s="1083">
        <f t="shared" si="18"/>
        <v>7.343707821714689E-3</v>
      </c>
      <c r="I93" s="966"/>
      <c r="J93" s="865"/>
      <c r="K93" s="966"/>
      <c r="L93" s="865"/>
      <c r="M93" s="20"/>
      <c r="N93" s="3"/>
      <c r="O93" s="3"/>
      <c r="P93" s="3"/>
      <c r="Q93" s="3"/>
      <c r="R93" s="3"/>
      <c r="S93" s="3"/>
      <c r="T93" s="3"/>
      <c r="U93" s="3"/>
      <c r="V93" s="3"/>
      <c r="W93" s="3"/>
      <c r="X93" s="3"/>
      <c r="Y93" s="3"/>
      <c r="Z93" s="3"/>
    </row>
    <row r="94" spans="1:26" ht="15.75" customHeight="1" x14ac:dyDescent="0.25">
      <c r="A94" s="3"/>
      <c r="B94" s="1079"/>
      <c r="C94" s="983"/>
      <c r="D94" s="1112"/>
      <c r="E94" s="1112"/>
      <c r="F94" s="1112"/>
      <c r="G94" s="940" t="s">
        <v>205</v>
      </c>
      <c r="H94" s="1114">
        <f>SUM(H71:H93)</f>
        <v>1.500505867661333E-2</v>
      </c>
      <c r="I94" s="864"/>
      <c r="J94" s="908"/>
      <c r="K94" s="864"/>
      <c r="L94" s="908"/>
      <c r="M94" s="20"/>
      <c r="N94" s="3"/>
      <c r="O94" s="3"/>
      <c r="P94" s="3"/>
      <c r="Q94" s="3"/>
      <c r="R94" s="3"/>
      <c r="S94" s="3"/>
      <c r="T94" s="3"/>
      <c r="U94" s="3"/>
      <c r="V94" s="3"/>
      <c r="W94" s="3"/>
      <c r="X94" s="3"/>
      <c r="Y94" s="3"/>
      <c r="Z94" s="3"/>
    </row>
    <row r="95" spans="1:26" ht="15.75" customHeight="1" x14ac:dyDescent="0.25">
      <c r="A95" s="3"/>
      <c r="B95" s="1116"/>
      <c r="C95" s="1117"/>
      <c r="D95" s="1117"/>
      <c r="E95" s="1117"/>
      <c r="F95" s="1117"/>
      <c r="G95" s="1117"/>
      <c r="H95" s="1118"/>
      <c r="I95" s="20"/>
      <c r="J95" s="20"/>
      <c r="K95" s="20"/>
      <c r="L95" s="20"/>
      <c r="M95" s="20"/>
      <c r="N95" s="3"/>
      <c r="O95" s="3"/>
      <c r="P95" s="3"/>
      <c r="Q95" s="3"/>
      <c r="R95" s="3"/>
      <c r="S95" s="3"/>
      <c r="T95" s="3"/>
      <c r="U95" s="3"/>
      <c r="V95" s="3"/>
      <c r="W95" s="3"/>
      <c r="X95" s="3"/>
      <c r="Y95" s="3"/>
      <c r="Z95" s="3"/>
    </row>
    <row r="96" spans="1:26" ht="15.75" customHeight="1" x14ac:dyDescent="0.2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2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25">
      <c r="A98" s="3"/>
      <c r="B98" s="942" t="s">
        <v>971</v>
      </c>
      <c r="C98" s="942"/>
      <c r="D98" s="942">
        <v>2011</v>
      </c>
      <c r="E98" s="20"/>
      <c r="F98" s="20"/>
      <c r="G98" s="20"/>
      <c r="H98" s="20"/>
      <c r="I98" s="3"/>
      <c r="J98" s="3"/>
      <c r="K98" s="3"/>
      <c r="L98" s="3"/>
      <c r="M98" s="3"/>
      <c r="N98" s="3"/>
      <c r="O98" s="3"/>
      <c r="P98" s="3"/>
      <c r="Q98" s="3"/>
      <c r="R98" s="3"/>
      <c r="S98" s="3"/>
      <c r="T98" s="3"/>
      <c r="U98" s="3"/>
      <c r="V98" s="3"/>
      <c r="W98" s="3"/>
      <c r="X98" s="3"/>
      <c r="Y98" s="3"/>
      <c r="Z98" s="3"/>
    </row>
    <row r="99" spans="1:26" ht="15.75" customHeight="1" x14ac:dyDescent="0.25">
      <c r="A99" s="3"/>
      <c r="B99" s="1059"/>
      <c r="C99" s="799" t="s">
        <v>34</v>
      </c>
      <c r="D99" s="799" t="s">
        <v>798</v>
      </c>
      <c r="E99" s="1126" t="s">
        <v>975</v>
      </c>
      <c r="F99" s="1127" t="s">
        <v>977</v>
      </c>
      <c r="G99" s="1127" t="s">
        <v>979</v>
      </c>
      <c r="H99" s="1130" t="s">
        <v>782</v>
      </c>
      <c r="I99" s="3"/>
      <c r="J99" s="3"/>
      <c r="K99" s="3"/>
      <c r="L99" s="3"/>
      <c r="M99" s="3"/>
      <c r="N99" s="3"/>
      <c r="O99" s="3"/>
      <c r="P99" s="3"/>
      <c r="Q99" s="3"/>
      <c r="R99" s="3"/>
      <c r="S99" s="3"/>
      <c r="T99" s="3"/>
      <c r="U99" s="3"/>
      <c r="V99" s="3"/>
      <c r="W99" s="3"/>
      <c r="X99" s="3"/>
      <c r="Y99" s="3"/>
      <c r="Z99" s="3"/>
    </row>
    <row r="100" spans="1:26" ht="15.75" customHeight="1" x14ac:dyDescent="0.25">
      <c r="A100" s="3"/>
      <c r="B100" s="1063"/>
      <c r="C100" s="960" t="s">
        <v>685</v>
      </c>
      <c r="D100" s="960" t="s">
        <v>685</v>
      </c>
      <c r="E100" s="831" t="s">
        <v>686</v>
      </c>
      <c r="F100" s="832" t="s">
        <v>686</v>
      </c>
      <c r="G100" s="832" t="s">
        <v>686</v>
      </c>
      <c r="H100" s="833" t="s">
        <v>686</v>
      </c>
      <c r="I100" s="3"/>
      <c r="J100" s="3"/>
      <c r="K100" s="3"/>
      <c r="L100" s="3"/>
      <c r="M100" s="3"/>
      <c r="N100" s="3"/>
      <c r="O100" s="3"/>
      <c r="P100" s="3"/>
      <c r="Q100" s="3"/>
      <c r="R100" s="3"/>
      <c r="S100" s="3"/>
      <c r="T100" s="3"/>
      <c r="U100" s="3"/>
      <c r="V100" s="3"/>
      <c r="W100" s="3"/>
      <c r="X100" s="3"/>
      <c r="Y100" s="3"/>
      <c r="Z100" s="3"/>
    </row>
    <row r="101" spans="1:26" ht="15.75" customHeight="1" x14ac:dyDescent="0.25">
      <c r="A101" s="3"/>
      <c r="B101" s="1065" t="s">
        <v>9</v>
      </c>
      <c r="C101" s="1066" t="s">
        <v>690</v>
      </c>
      <c r="D101" s="960" t="s">
        <v>690</v>
      </c>
      <c r="E101" s="831" t="s">
        <v>991</v>
      </c>
      <c r="F101" s="832" t="s">
        <v>992</v>
      </c>
      <c r="G101" s="832" t="s">
        <v>994</v>
      </c>
      <c r="H101" s="922" t="s">
        <v>996</v>
      </c>
      <c r="I101" s="3"/>
      <c r="J101" s="3"/>
      <c r="K101" s="3"/>
      <c r="L101" s="3"/>
      <c r="M101" s="3"/>
      <c r="N101" s="3"/>
      <c r="O101" s="3"/>
      <c r="P101" s="3"/>
      <c r="Q101" s="3"/>
      <c r="R101" s="3"/>
      <c r="S101" s="3"/>
      <c r="T101" s="3"/>
      <c r="U101" s="3"/>
      <c r="V101" s="3"/>
      <c r="W101" s="3"/>
      <c r="X101" s="3"/>
      <c r="Y101" s="3"/>
      <c r="Z101" s="3"/>
    </row>
    <row r="102" spans="1:26" ht="15.75" customHeight="1" x14ac:dyDescent="0.25">
      <c r="A102" s="3" t="s">
        <v>53</v>
      </c>
      <c r="B102" s="1074" t="s">
        <v>802</v>
      </c>
      <c r="C102" s="771">
        <f t="shared" ref="C102:D102" si="19">C71</f>
        <v>0</v>
      </c>
      <c r="D102" s="1140">
        <f t="shared" si="19"/>
        <v>0</v>
      </c>
      <c r="E102" s="1144">
        <f>J12</f>
        <v>0</v>
      </c>
      <c r="F102" s="1144">
        <f t="shared" ref="F102:F124" si="20">H71</f>
        <v>0</v>
      </c>
      <c r="G102" s="1148">
        <f>H41</f>
        <v>0</v>
      </c>
      <c r="H102" s="1078">
        <f t="shared" ref="H102:H124" si="21">SUM(E102:G102)</f>
        <v>0</v>
      </c>
      <c r="I102" s="3"/>
      <c r="J102" s="3"/>
      <c r="K102" s="3"/>
      <c r="L102" s="3"/>
      <c r="M102" s="3"/>
      <c r="N102" s="3"/>
      <c r="O102" s="3"/>
      <c r="P102" s="3"/>
      <c r="Q102" s="3"/>
      <c r="R102" s="3"/>
      <c r="S102" s="3"/>
      <c r="T102" s="3"/>
      <c r="U102" s="3"/>
      <c r="V102" s="3"/>
      <c r="W102" s="3"/>
      <c r="X102" s="3"/>
      <c r="Y102" s="3"/>
      <c r="Z102" s="3"/>
    </row>
    <row r="103" spans="1:26" ht="15.75" customHeight="1" x14ac:dyDescent="0.25">
      <c r="A103" s="3" t="s">
        <v>53</v>
      </c>
      <c r="B103" s="1079" t="s">
        <v>803</v>
      </c>
      <c r="C103" s="967">
        <f t="shared" ref="C103:D103" si="22">C72</f>
        <v>21655</v>
      </c>
      <c r="D103" s="1140">
        <f t="shared" si="22"/>
        <v>227</v>
      </c>
      <c r="E103" s="1144">
        <f>J13</f>
        <v>2.0476072663240812</v>
      </c>
      <c r="F103" s="1144">
        <f t="shared" si="20"/>
        <v>5.9921806414749571E-3</v>
      </c>
      <c r="G103" s="1148">
        <f>H42</f>
        <v>8.7949748124874372E-3</v>
      </c>
      <c r="H103" s="1083">
        <f t="shared" si="21"/>
        <v>2.0623944217780439</v>
      </c>
      <c r="I103" s="3"/>
      <c r="J103" s="3"/>
      <c r="K103" s="3"/>
      <c r="L103" s="3"/>
      <c r="M103" s="3"/>
      <c r="N103" s="3"/>
      <c r="O103" s="3"/>
      <c r="P103" s="3"/>
      <c r="Q103" s="3"/>
      <c r="R103" s="3"/>
      <c r="S103" s="3"/>
      <c r="T103" s="3"/>
      <c r="U103" s="3"/>
      <c r="V103" s="3"/>
      <c r="W103" s="3"/>
      <c r="X103" s="3"/>
      <c r="Y103" s="3"/>
      <c r="Z103" s="3"/>
    </row>
    <row r="104" spans="1:26" ht="15.75" customHeight="1" x14ac:dyDescent="0.25">
      <c r="A104" s="3" t="s">
        <v>179</v>
      </c>
      <c r="B104" s="1079" t="s">
        <v>805</v>
      </c>
      <c r="C104" s="967">
        <f t="shared" ref="C104:D104" si="23">C73</f>
        <v>19835</v>
      </c>
      <c r="D104" s="1140">
        <f t="shared" si="23"/>
        <v>22046</v>
      </c>
      <c r="E104" s="1144">
        <f>J14</f>
        <v>0</v>
      </c>
      <c r="F104" s="1144">
        <f t="shared" si="20"/>
        <v>0</v>
      </c>
      <c r="G104" s="1148">
        <f>H43</f>
        <v>0</v>
      </c>
      <c r="H104" s="1083">
        <f t="shared" si="21"/>
        <v>0</v>
      </c>
      <c r="I104" s="3"/>
      <c r="J104" s="3"/>
      <c r="K104" s="3"/>
      <c r="L104" s="3"/>
      <c r="M104" s="3"/>
      <c r="N104" s="3"/>
      <c r="O104" s="3"/>
      <c r="P104" s="3"/>
      <c r="Q104" s="3"/>
      <c r="R104" s="3"/>
      <c r="S104" s="3"/>
      <c r="T104" s="3"/>
      <c r="U104" s="3"/>
      <c r="V104" s="3"/>
      <c r="W104" s="3"/>
      <c r="X104" s="3"/>
      <c r="Y104" s="3"/>
      <c r="Z104" s="3"/>
    </row>
    <row r="105" spans="1:26" ht="15.75" customHeight="1" x14ac:dyDescent="0.25">
      <c r="A105" s="3" t="s">
        <v>179</v>
      </c>
      <c r="B105" s="1086" t="s">
        <v>806</v>
      </c>
      <c r="C105" s="771">
        <f t="shared" ref="C105:D105" si="24">C74</f>
        <v>0</v>
      </c>
      <c r="D105" s="1140">
        <f t="shared" si="24"/>
        <v>0</v>
      </c>
      <c r="E105" s="1144">
        <f>J15</f>
        <v>0</v>
      </c>
      <c r="F105" s="1144">
        <f t="shared" si="20"/>
        <v>0</v>
      </c>
      <c r="G105" s="1148">
        <f>H44</f>
        <v>0</v>
      </c>
      <c r="H105" s="1083">
        <f t="shared" si="21"/>
        <v>0</v>
      </c>
      <c r="I105" s="3"/>
      <c r="J105" s="3"/>
      <c r="K105" s="3"/>
      <c r="L105" s="3"/>
      <c r="M105" s="3"/>
      <c r="N105" s="3"/>
      <c r="O105" s="3"/>
      <c r="P105" s="3"/>
      <c r="Q105" s="3"/>
      <c r="R105" s="3"/>
      <c r="S105" s="3"/>
      <c r="T105" s="3"/>
      <c r="U105" s="3"/>
      <c r="V105" s="3"/>
      <c r="W105" s="3"/>
      <c r="X105" s="3"/>
      <c r="Y105" s="3"/>
      <c r="Z105" s="3"/>
    </row>
    <row r="106" spans="1:26" ht="15.75" customHeight="1" x14ac:dyDescent="0.25">
      <c r="A106" s="3" t="s">
        <v>179</v>
      </c>
      <c r="B106" s="1086" t="s">
        <v>809</v>
      </c>
      <c r="C106" s="967">
        <f t="shared" ref="C106:D106" si="25">C75</f>
        <v>0</v>
      </c>
      <c r="D106" s="1140">
        <f t="shared" si="25"/>
        <v>0</v>
      </c>
      <c r="E106" s="1144">
        <f>J16</f>
        <v>0</v>
      </c>
      <c r="F106" s="1144">
        <f t="shared" si="20"/>
        <v>0</v>
      </c>
      <c r="G106" s="1148">
        <f>H45</f>
        <v>0</v>
      </c>
      <c r="H106" s="1083">
        <f t="shared" si="21"/>
        <v>0</v>
      </c>
      <c r="I106" s="3"/>
      <c r="J106" s="3"/>
      <c r="K106" s="3"/>
      <c r="L106" s="3"/>
      <c r="M106" s="3"/>
      <c r="N106" s="3"/>
      <c r="O106" s="3"/>
      <c r="P106" s="3"/>
      <c r="Q106" s="3"/>
      <c r="R106" s="3"/>
      <c r="S106" s="3"/>
      <c r="T106" s="3"/>
      <c r="U106" s="3"/>
      <c r="V106" s="3"/>
      <c r="W106" s="3"/>
      <c r="X106" s="3"/>
      <c r="Y106" s="3"/>
      <c r="Z106" s="3"/>
    </row>
    <row r="107" spans="1:26" ht="15.75" customHeight="1" x14ac:dyDescent="0.25">
      <c r="A107" s="3" t="s">
        <v>179</v>
      </c>
      <c r="B107" s="1079" t="s">
        <v>703</v>
      </c>
      <c r="C107" s="967">
        <f t="shared" ref="C107:D107" si="26">C76</f>
        <v>7382</v>
      </c>
      <c r="D107" s="1140">
        <f t="shared" si="26"/>
        <v>96</v>
      </c>
      <c r="E107" s="1144">
        <f>J17</f>
        <v>0.54194397179779785</v>
      </c>
      <c r="F107" s="1144">
        <f t="shared" si="20"/>
        <v>6.1124269395818368E-4</v>
      </c>
      <c r="G107" s="1148">
        <f>H46</f>
        <v>1.1961953795740798E-3</v>
      </c>
      <c r="H107" s="1083">
        <f t="shared" si="21"/>
        <v>0.54375140987133008</v>
      </c>
      <c r="I107" s="3"/>
      <c r="J107" s="3"/>
      <c r="K107" s="3"/>
      <c r="L107" s="3"/>
      <c r="M107" s="3"/>
      <c r="N107" s="3"/>
      <c r="O107" s="3"/>
      <c r="P107" s="3"/>
      <c r="Q107" s="3"/>
      <c r="R107" s="3"/>
      <c r="S107" s="3"/>
      <c r="T107" s="3"/>
      <c r="U107" s="3"/>
      <c r="V107" s="3"/>
      <c r="W107" s="3"/>
      <c r="X107" s="3"/>
      <c r="Y107" s="3"/>
      <c r="Z107" s="3"/>
    </row>
    <row r="108" spans="1:26" ht="15.75" customHeight="1" x14ac:dyDescent="0.25">
      <c r="A108" s="3" t="s">
        <v>179</v>
      </c>
      <c r="B108" s="1086" t="s">
        <v>813</v>
      </c>
      <c r="C108" s="771">
        <f t="shared" ref="C108:D108" si="27">C77</f>
        <v>0</v>
      </c>
      <c r="D108" s="1140">
        <f t="shared" si="27"/>
        <v>0</v>
      </c>
      <c r="E108" s="1144">
        <f>J18</f>
        <v>0</v>
      </c>
      <c r="F108" s="1144">
        <f t="shared" si="20"/>
        <v>0</v>
      </c>
      <c r="G108" s="1148">
        <f>H47</f>
        <v>0</v>
      </c>
      <c r="H108" s="1083">
        <f t="shared" si="21"/>
        <v>0</v>
      </c>
      <c r="I108" s="3"/>
      <c r="J108" s="3"/>
      <c r="K108" s="3"/>
      <c r="L108" s="3"/>
      <c r="M108" s="3"/>
      <c r="N108" s="3"/>
      <c r="O108" s="3"/>
      <c r="P108" s="3"/>
      <c r="Q108" s="3"/>
      <c r="R108" s="3"/>
      <c r="S108" s="3"/>
      <c r="T108" s="3"/>
      <c r="U108" s="3"/>
      <c r="V108" s="3"/>
      <c r="W108" s="3"/>
      <c r="X108" s="3"/>
      <c r="Y108" s="3"/>
      <c r="Z108" s="3"/>
    </row>
    <row r="109" spans="1:26" ht="15.75" customHeight="1" x14ac:dyDescent="0.25">
      <c r="A109" s="3" t="s">
        <v>179</v>
      </c>
      <c r="B109" s="1086" t="s">
        <v>815</v>
      </c>
      <c r="C109" s="967">
        <f t="shared" ref="C109:D109" si="28">C78</f>
        <v>0</v>
      </c>
      <c r="D109" s="1140">
        <f t="shared" si="28"/>
        <v>0</v>
      </c>
      <c r="E109" s="1144">
        <f>J19</f>
        <v>0</v>
      </c>
      <c r="F109" s="1144">
        <f t="shared" si="20"/>
        <v>0</v>
      </c>
      <c r="G109" s="1148">
        <f>H48</f>
        <v>0</v>
      </c>
      <c r="H109" s="1083">
        <f t="shared" si="21"/>
        <v>0</v>
      </c>
      <c r="I109" s="3"/>
      <c r="J109" s="3"/>
      <c r="K109" s="3"/>
      <c r="L109" s="3"/>
      <c r="M109" s="3"/>
      <c r="N109" s="3"/>
      <c r="O109" s="3"/>
      <c r="P109" s="3"/>
      <c r="Q109" s="3"/>
      <c r="R109" s="3"/>
      <c r="S109" s="3"/>
      <c r="T109" s="3"/>
      <c r="U109" s="3"/>
      <c r="V109" s="3"/>
      <c r="W109" s="3"/>
      <c r="X109" s="3"/>
      <c r="Y109" s="3"/>
      <c r="Z109" s="3"/>
    </row>
    <row r="110" spans="1:26" ht="15.75" customHeight="1" x14ac:dyDescent="0.25">
      <c r="A110" s="3" t="s">
        <v>179</v>
      </c>
      <c r="B110" s="1079" t="s">
        <v>753</v>
      </c>
      <c r="C110" s="967">
        <f t="shared" ref="C110:D110" si="29">C79</f>
        <v>7</v>
      </c>
      <c r="D110" s="1140">
        <f t="shared" si="29"/>
        <v>0</v>
      </c>
      <c r="E110" s="1144">
        <f>J20</f>
        <v>5.1190771706176666E-4</v>
      </c>
      <c r="F110" s="1144">
        <f t="shared" si="20"/>
        <v>5.8724936284755502E-7</v>
      </c>
      <c r="G110" s="1148">
        <f>H49</f>
        <v>1.1492406885833871E-6</v>
      </c>
      <c r="H110" s="1083">
        <f t="shared" si="21"/>
        <v>5.1364420711319764E-4</v>
      </c>
      <c r="I110" s="3"/>
      <c r="J110" s="3"/>
      <c r="K110" s="3"/>
      <c r="L110" s="3"/>
      <c r="M110" s="3"/>
      <c r="N110" s="3"/>
      <c r="O110" s="3"/>
      <c r="P110" s="3"/>
      <c r="Q110" s="3"/>
      <c r="R110" s="3"/>
      <c r="S110" s="3"/>
      <c r="T110" s="3"/>
      <c r="U110" s="3"/>
      <c r="V110" s="3"/>
      <c r="W110" s="3"/>
      <c r="X110" s="3"/>
      <c r="Y110" s="3"/>
      <c r="Z110" s="3"/>
    </row>
    <row r="111" spans="1:26" ht="15.75" customHeight="1" x14ac:dyDescent="0.25">
      <c r="A111" s="3" t="s">
        <v>166</v>
      </c>
      <c r="B111" s="1079" t="s">
        <v>755</v>
      </c>
      <c r="C111" s="771">
        <f t="shared" ref="C111:D111" si="30">C80</f>
        <v>1582</v>
      </c>
      <c r="D111" s="1140">
        <f t="shared" si="30"/>
        <v>1385</v>
      </c>
      <c r="E111" s="1144">
        <f>J21</f>
        <v>4.4908538751856214E-2</v>
      </c>
      <c r="F111" s="1144">
        <f t="shared" si="20"/>
        <v>1.6526874925852621E-5</v>
      </c>
      <c r="G111" s="1148">
        <f>H50</f>
        <v>3.2342916521561034E-5</v>
      </c>
      <c r="H111" s="1083">
        <f t="shared" si="21"/>
        <v>4.4957408543303622E-2</v>
      </c>
      <c r="I111" s="3"/>
      <c r="J111" s="3"/>
      <c r="K111" s="3"/>
      <c r="L111" s="3"/>
      <c r="M111" s="3"/>
      <c r="N111" s="3"/>
      <c r="O111" s="3"/>
      <c r="P111" s="3"/>
      <c r="Q111" s="3"/>
      <c r="R111" s="3"/>
      <c r="S111" s="3"/>
      <c r="T111" s="3"/>
      <c r="U111" s="3"/>
      <c r="V111" s="3"/>
      <c r="W111" s="3"/>
      <c r="X111" s="3"/>
      <c r="Y111" s="3"/>
      <c r="Z111" s="3"/>
    </row>
    <row r="112" spans="1:26" ht="15.75" customHeight="1" x14ac:dyDescent="0.25">
      <c r="A112" s="3" t="s">
        <v>179</v>
      </c>
      <c r="B112" s="1079" t="s">
        <v>818</v>
      </c>
      <c r="C112" s="967">
        <f t="shared" ref="C112:D112" si="31">C81</f>
        <v>1957</v>
      </c>
      <c r="D112" s="1140">
        <f t="shared" si="31"/>
        <v>2063</v>
      </c>
      <c r="E112" s="1144">
        <f>J22</f>
        <v>0.12917565110897353</v>
      </c>
      <c r="F112" s="1144">
        <f t="shared" si="20"/>
        <v>0</v>
      </c>
      <c r="G112" s="1148">
        <f>H51</f>
        <v>0</v>
      </c>
      <c r="H112" s="1083">
        <f t="shared" si="21"/>
        <v>0.12917565110897353</v>
      </c>
      <c r="I112" s="3"/>
      <c r="J112" s="3"/>
      <c r="K112" s="3"/>
      <c r="L112" s="3"/>
      <c r="M112" s="3"/>
      <c r="N112" s="3"/>
      <c r="O112" s="3"/>
      <c r="P112" s="3"/>
      <c r="Q112" s="3"/>
      <c r="R112" s="3"/>
      <c r="S112" s="3"/>
      <c r="T112" s="3"/>
      <c r="U112" s="3"/>
      <c r="V112" s="3"/>
      <c r="W112" s="3"/>
      <c r="X112" s="3"/>
      <c r="Y112" s="3"/>
      <c r="Z112" s="3"/>
    </row>
    <row r="113" spans="1:26" ht="15.75" customHeight="1" x14ac:dyDescent="0.25">
      <c r="A113" s="3" t="s">
        <v>179</v>
      </c>
      <c r="B113" s="1079" t="s">
        <v>757</v>
      </c>
      <c r="C113" s="967">
        <f t="shared" ref="C113:D113" si="32">C82</f>
        <v>4129</v>
      </c>
      <c r="D113" s="1140">
        <f t="shared" si="32"/>
        <v>0</v>
      </c>
      <c r="E113" s="1144">
        <f>J23</f>
        <v>0.294609569188721</v>
      </c>
      <c r="F113" s="1144">
        <f t="shared" si="20"/>
        <v>3.4639323131393645E-4</v>
      </c>
      <c r="G113" s="1148">
        <f>H52</f>
        <v>6.778878290229723E-4</v>
      </c>
      <c r="H113" s="1083">
        <f t="shared" si="21"/>
        <v>0.29563385024905786</v>
      </c>
      <c r="I113" s="3"/>
      <c r="J113" s="3"/>
      <c r="K113" s="3"/>
      <c r="L113" s="3"/>
      <c r="M113" s="3"/>
      <c r="N113" s="3"/>
      <c r="O113" s="3"/>
      <c r="P113" s="3"/>
      <c r="Q113" s="3"/>
      <c r="R113" s="3"/>
      <c r="S113" s="3"/>
      <c r="T113" s="3"/>
      <c r="U113" s="3"/>
      <c r="V113" s="3"/>
      <c r="W113" s="3"/>
      <c r="X113" s="3"/>
      <c r="Y113" s="3"/>
      <c r="Z113" s="3"/>
    </row>
    <row r="114" spans="1:26" ht="15.75" customHeight="1" x14ac:dyDescent="0.25">
      <c r="A114" s="3" t="s">
        <v>179</v>
      </c>
      <c r="B114" s="1086" t="s">
        <v>820</v>
      </c>
      <c r="C114" s="771">
        <f t="shared" ref="C114:D114" si="33">C83</f>
        <v>0</v>
      </c>
      <c r="D114" s="1140">
        <f t="shared" si="33"/>
        <v>0</v>
      </c>
      <c r="E114" s="1144">
        <f>J24</f>
        <v>0</v>
      </c>
      <c r="F114" s="1144">
        <f t="shared" si="20"/>
        <v>0</v>
      </c>
      <c r="G114" s="1148">
        <f>H53</f>
        <v>0</v>
      </c>
      <c r="H114" s="1083">
        <f t="shared" si="21"/>
        <v>0</v>
      </c>
      <c r="I114" s="3"/>
      <c r="J114" s="3"/>
      <c r="K114" s="3"/>
      <c r="L114" s="3"/>
      <c r="M114" s="3"/>
      <c r="N114" s="3"/>
      <c r="O114" s="3"/>
      <c r="P114" s="3"/>
      <c r="Q114" s="3"/>
      <c r="R114" s="3"/>
      <c r="S114" s="3"/>
      <c r="T114" s="3"/>
      <c r="U114" s="3"/>
      <c r="V114" s="3"/>
      <c r="W114" s="3"/>
      <c r="X114" s="3"/>
      <c r="Y114" s="3"/>
      <c r="Z114" s="3"/>
    </row>
    <row r="115" spans="1:26" ht="15.75" customHeight="1" x14ac:dyDescent="0.25">
      <c r="A115" s="3" t="s">
        <v>179</v>
      </c>
      <c r="B115" s="1079" t="s">
        <v>822</v>
      </c>
      <c r="C115" s="967">
        <f t="shared" ref="C115:D115" si="34">C84</f>
        <v>501</v>
      </c>
      <c r="D115" s="1140">
        <f t="shared" si="34"/>
        <v>483</v>
      </c>
      <c r="E115" s="1144">
        <f>J25</f>
        <v>3.7307617217817203E-2</v>
      </c>
      <c r="F115" s="1144">
        <f t="shared" si="20"/>
        <v>1.5100697901794273E-6</v>
      </c>
      <c r="G115" s="1148">
        <f>H54</f>
        <v>2.9551903420715671E-6</v>
      </c>
      <c r="H115" s="1083">
        <f t="shared" si="21"/>
        <v>3.7312082477949454E-2</v>
      </c>
      <c r="I115" s="3"/>
      <c r="J115" s="3"/>
      <c r="K115" s="3"/>
      <c r="L115" s="3"/>
      <c r="M115" s="3"/>
      <c r="N115" s="3"/>
      <c r="O115" s="3"/>
      <c r="P115" s="3"/>
      <c r="Q115" s="3"/>
      <c r="R115" s="3"/>
      <c r="S115" s="3"/>
      <c r="T115" s="3"/>
      <c r="U115" s="3"/>
      <c r="V115" s="3"/>
      <c r="W115" s="3"/>
      <c r="X115" s="3"/>
      <c r="Y115" s="3"/>
      <c r="Z115" s="3"/>
    </row>
    <row r="116" spans="1:26" ht="15.75" customHeight="1" x14ac:dyDescent="0.25">
      <c r="A116" s="3" t="s">
        <v>179</v>
      </c>
      <c r="B116" s="1079" t="s">
        <v>823</v>
      </c>
      <c r="C116" s="967">
        <f t="shared" ref="C116:D116" si="35">C85</f>
        <v>0</v>
      </c>
      <c r="D116" s="1140">
        <f t="shared" si="35"/>
        <v>0</v>
      </c>
      <c r="E116" s="1144">
        <f>J26</f>
        <v>0</v>
      </c>
      <c r="F116" s="1144">
        <f t="shared" si="20"/>
        <v>0</v>
      </c>
      <c r="G116" s="1148">
        <f>H55</f>
        <v>0</v>
      </c>
      <c r="H116" s="1083">
        <f t="shared" si="21"/>
        <v>0</v>
      </c>
      <c r="I116" s="3"/>
      <c r="J116" s="3"/>
      <c r="K116" s="3"/>
      <c r="L116" s="3"/>
      <c r="M116" s="3"/>
      <c r="N116" s="3"/>
      <c r="O116" s="3"/>
      <c r="P116" s="3"/>
      <c r="Q116" s="3"/>
      <c r="R116" s="3"/>
      <c r="S116" s="3"/>
      <c r="T116" s="3"/>
      <c r="U116" s="3"/>
      <c r="V116" s="3"/>
      <c r="W116" s="3"/>
      <c r="X116" s="3"/>
      <c r="Y116" s="3"/>
      <c r="Z116" s="3"/>
    </row>
    <row r="117" spans="1:26" ht="15.75" customHeight="1" x14ac:dyDescent="0.25">
      <c r="A117" s="3" t="s">
        <v>179</v>
      </c>
      <c r="B117" s="1079" t="s">
        <v>824</v>
      </c>
      <c r="C117" s="771">
        <f t="shared" ref="C117:D117" si="36">C86</f>
        <v>0</v>
      </c>
      <c r="D117" s="1140">
        <f t="shared" si="36"/>
        <v>0</v>
      </c>
      <c r="E117" s="1144">
        <f>J27</f>
        <v>0</v>
      </c>
      <c r="F117" s="1144">
        <f t="shared" si="20"/>
        <v>0</v>
      </c>
      <c r="G117" s="1148">
        <f>H56</f>
        <v>0</v>
      </c>
      <c r="H117" s="1083">
        <f t="shared" si="21"/>
        <v>0</v>
      </c>
      <c r="I117" s="3"/>
      <c r="J117" s="3"/>
      <c r="K117" s="3"/>
      <c r="L117" s="3"/>
      <c r="M117" s="3"/>
      <c r="N117" s="3"/>
      <c r="O117" s="3"/>
      <c r="P117" s="3"/>
      <c r="Q117" s="3"/>
      <c r="R117" s="3"/>
      <c r="S117" s="3"/>
      <c r="T117" s="3"/>
      <c r="U117" s="3"/>
      <c r="V117" s="3"/>
      <c r="W117" s="3"/>
      <c r="X117" s="3"/>
      <c r="Y117" s="3"/>
      <c r="Z117" s="3"/>
    </row>
    <row r="118" spans="1:26" ht="15.75" customHeight="1" x14ac:dyDescent="0.25">
      <c r="A118" s="3" t="s">
        <v>179</v>
      </c>
      <c r="B118" s="1079" t="s">
        <v>704</v>
      </c>
      <c r="C118" s="967">
        <f t="shared" ref="C118:D118" si="37">C87</f>
        <v>1590</v>
      </c>
      <c r="D118" s="1140">
        <f t="shared" si="37"/>
        <v>0</v>
      </c>
      <c r="E118" s="1144">
        <f>J28</f>
        <v>0.119290847056381</v>
      </c>
      <c r="F118" s="1144">
        <f t="shared" si="20"/>
        <v>1.3338949813251609E-4</v>
      </c>
      <c r="G118" s="1148">
        <f>H57</f>
        <v>2.610418135496551E-4</v>
      </c>
      <c r="H118" s="1083">
        <f t="shared" si="21"/>
        <v>0.11968527836806318</v>
      </c>
      <c r="I118" s="3"/>
      <c r="J118" s="3"/>
      <c r="K118" s="3"/>
      <c r="L118" s="3"/>
      <c r="M118" s="3"/>
      <c r="N118" s="3"/>
      <c r="O118" s="3"/>
      <c r="P118" s="3"/>
      <c r="Q118" s="3"/>
      <c r="R118" s="3"/>
      <c r="S118" s="3"/>
      <c r="T118" s="3"/>
      <c r="U118" s="3"/>
      <c r="V118" s="3"/>
      <c r="W118" s="3"/>
      <c r="X118" s="3"/>
      <c r="Y118" s="3"/>
      <c r="Z118" s="3"/>
    </row>
    <row r="119" spans="1:26" ht="15.75" customHeight="1" x14ac:dyDescent="0.25">
      <c r="A119" s="3" t="s">
        <v>179</v>
      </c>
      <c r="B119" s="1079" t="s">
        <v>826</v>
      </c>
      <c r="C119" s="967">
        <f t="shared" ref="C119:D119" si="38">C88</f>
        <v>0</v>
      </c>
      <c r="D119" s="1140">
        <f t="shared" si="38"/>
        <v>0</v>
      </c>
      <c r="E119" s="1144">
        <f>J29</f>
        <v>0</v>
      </c>
      <c r="F119" s="1144">
        <f t="shared" si="20"/>
        <v>0</v>
      </c>
      <c r="G119" s="1148">
        <f>H58</f>
        <v>0</v>
      </c>
      <c r="H119" s="1083">
        <f t="shared" si="21"/>
        <v>0</v>
      </c>
      <c r="I119" s="3"/>
      <c r="J119" s="3"/>
      <c r="K119" s="3"/>
      <c r="L119" s="3"/>
      <c r="M119" s="3"/>
      <c r="N119" s="3"/>
      <c r="O119" s="3"/>
      <c r="P119" s="3"/>
      <c r="Q119" s="3"/>
      <c r="R119" s="3"/>
      <c r="S119" s="3"/>
      <c r="T119" s="3"/>
      <c r="U119" s="3"/>
      <c r="V119" s="3"/>
      <c r="W119" s="3"/>
      <c r="X119" s="3"/>
      <c r="Y119" s="3"/>
      <c r="Z119" s="3"/>
    </row>
    <row r="120" spans="1:26" ht="15.75" customHeight="1" x14ac:dyDescent="0.25">
      <c r="A120" s="3" t="s">
        <v>179</v>
      </c>
      <c r="B120" s="1079" t="s">
        <v>828</v>
      </c>
      <c r="C120" s="771">
        <f t="shared" ref="C120:D120" si="39">C89</f>
        <v>535</v>
      </c>
      <c r="D120" s="1140">
        <f t="shared" si="39"/>
        <v>596</v>
      </c>
      <c r="E120" s="1144">
        <f>J30</f>
        <v>3.8679477002050502E-2</v>
      </c>
      <c r="F120" s="1144">
        <f t="shared" si="20"/>
        <v>0</v>
      </c>
      <c r="G120" s="1148">
        <f>H59</f>
        <v>0</v>
      </c>
      <c r="H120" s="1083">
        <f t="shared" si="21"/>
        <v>3.8679477002050502E-2</v>
      </c>
      <c r="I120" s="3"/>
      <c r="J120" s="3"/>
      <c r="K120" s="3"/>
      <c r="L120" s="3"/>
      <c r="M120" s="3"/>
      <c r="N120" s="3"/>
      <c r="O120" s="3"/>
      <c r="P120" s="3"/>
      <c r="Q120" s="3"/>
      <c r="R120" s="3"/>
      <c r="S120" s="3"/>
      <c r="T120" s="3"/>
      <c r="U120" s="3"/>
      <c r="V120" s="3"/>
      <c r="W120" s="3"/>
      <c r="X120" s="3"/>
      <c r="Y120" s="3"/>
      <c r="Z120" s="3"/>
    </row>
    <row r="121" spans="1:26" ht="15.75" customHeight="1" x14ac:dyDescent="0.25">
      <c r="A121" s="3" t="s">
        <v>179</v>
      </c>
      <c r="B121" s="1079" t="s">
        <v>830</v>
      </c>
      <c r="C121" s="967">
        <f t="shared" ref="C121:D121" si="40">C90</f>
        <v>0</v>
      </c>
      <c r="D121" s="1140">
        <f t="shared" si="40"/>
        <v>0</v>
      </c>
      <c r="E121" s="1144">
        <f>J31</f>
        <v>0</v>
      </c>
      <c r="F121" s="1144">
        <f t="shared" si="20"/>
        <v>0</v>
      </c>
      <c r="G121" s="1148">
        <f>H60</f>
        <v>0</v>
      </c>
      <c r="H121" s="1083">
        <f t="shared" si="21"/>
        <v>0</v>
      </c>
      <c r="I121" s="3"/>
      <c r="J121" s="3"/>
      <c r="K121" s="3"/>
      <c r="L121" s="3"/>
      <c r="M121" s="3"/>
      <c r="N121" s="3"/>
      <c r="O121" s="3"/>
      <c r="P121" s="3"/>
      <c r="Q121" s="3"/>
      <c r="R121" s="3"/>
      <c r="S121" s="3"/>
      <c r="T121" s="3"/>
      <c r="U121" s="3"/>
      <c r="V121" s="3"/>
      <c r="W121" s="3"/>
      <c r="X121" s="3"/>
      <c r="Y121" s="3"/>
      <c r="Z121" s="3"/>
    </row>
    <row r="122" spans="1:26" ht="15.75" customHeight="1" x14ac:dyDescent="0.25">
      <c r="A122" s="3" t="s">
        <v>179</v>
      </c>
      <c r="B122" s="1079" t="s">
        <v>831</v>
      </c>
      <c r="C122" s="967">
        <f t="shared" ref="C122:D122" si="41">C91</f>
        <v>106</v>
      </c>
      <c r="D122" s="1140">
        <f t="shared" si="41"/>
        <v>120</v>
      </c>
      <c r="E122" s="1144">
        <f>J32</f>
        <v>2.639520527910934E-3</v>
      </c>
      <c r="F122" s="1144">
        <f t="shared" si="20"/>
        <v>0</v>
      </c>
      <c r="G122" s="1148">
        <f>H61</f>
        <v>0</v>
      </c>
      <c r="H122" s="1083">
        <f t="shared" si="21"/>
        <v>2.639520527910934E-3</v>
      </c>
      <c r="I122" s="3"/>
      <c r="J122" s="3"/>
      <c r="K122" s="3"/>
      <c r="L122" s="3"/>
      <c r="M122" s="3"/>
      <c r="N122" s="3"/>
      <c r="O122" s="3"/>
      <c r="P122" s="3"/>
      <c r="Q122" s="3"/>
      <c r="R122" s="3"/>
      <c r="S122" s="3"/>
      <c r="T122" s="3"/>
      <c r="U122" s="3"/>
      <c r="V122" s="3"/>
      <c r="W122" s="3"/>
      <c r="X122" s="3"/>
      <c r="Y122" s="3"/>
      <c r="Z122" s="3"/>
    </row>
    <row r="123" spans="1:26" ht="15.75" customHeight="1" x14ac:dyDescent="0.25">
      <c r="A123" s="3" t="s">
        <v>166</v>
      </c>
      <c r="B123" s="1079" t="s">
        <v>77</v>
      </c>
      <c r="C123" s="771">
        <f t="shared" ref="C123:D123" si="42">C92</f>
        <v>21808</v>
      </c>
      <c r="D123" s="1140">
        <f t="shared" si="42"/>
        <v>688</v>
      </c>
      <c r="E123" s="1144">
        <f>J33</f>
        <v>1.1333591541034964</v>
      </c>
      <c r="F123" s="1144">
        <f t="shared" si="20"/>
        <v>5.5952059594016677E-4</v>
      </c>
      <c r="G123" s="1148">
        <f>H62</f>
        <v>5.4748789495220624E-4</v>
      </c>
      <c r="H123" s="1083">
        <f t="shared" si="21"/>
        <v>1.1344661625943888</v>
      </c>
      <c r="I123" s="3"/>
      <c r="J123" s="3"/>
      <c r="K123" s="3"/>
      <c r="L123" s="3"/>
      <c r="M123" s="3"/>
      <c r="N123" s="3"/>
      <c r="O123" s="3"/>
      <c r="P123" s="3"/>
      <c r="Q123" s="3"/>
      <c r="R123" s="3"/>
      <c r="S123" s="3"/>
      <c r="T123" s="3"/>
      <c r="U123" s="3"/>
      <c r="V123" s="3"/>
      <c r="W123" s="3"/>
      <c r="X123" s="3"/>
      <c r="Y123" s="3"/>
      <c r="Z123" s="3"/>
    </row>
    <row r="124" spans="1:26" ht="15.75" customHeight="1" x14ac:dyDescent="0.25">
      <c r="A124" s="3" t="s">
        <v>129</v>
      </c>
      <c r="B124" s="244" t="s">
        <v>129</v>
      </c>
      <c r="C124" s="967">
        <f t="shared" ref="C124:D124" si="43">C93</f>
        <v>9240</v>
      </c>
      <c r="D124" s="1140" t="str">
        <f t="shared" si="43"/>
        <v>NA</v>
      </c>
      <c r="E124" s="1199">
        <f>0</f>
        <v>0</v>
      </c>
      <c r="F124" s="1144">
        <f t="shared" si="20"/>
        <v>7.343707821714689E-3</v>
      </c>
      <c r="G124" s="1148">
        <f>H63</f>
        <v>9.5810381616636096E-3</v>
      </c>
      <c r="H124" s="1200">
        <f t="shared" si="21"/>
        <v>1.69247459833783E-2</v>
      </c>
      <c r="I124" s="3"/>
      <c r="J124" s="3"/>
      <c r="K124" s="3"/>
      <c r="L124" s="3"/>
      <c r="M124" s="3"/>
      <c r="N124" s="3"/>
      <c r="O124" s="3"/>
      <c r="P124" s="3"/>
      <c r="Q124" s="3"/>
      <c r="R124" s="3"/>
      <c r="S124" s="3"/>
      <c r="T124" s="3"/>
      <c r="U124" s="3"/>
      <c r="V124" s="3"/>
      <c r="W124" s="3"/>
      <c r="X124" s="3"/>
      <c r="Y124" s="3"/>
      <c r="Z124" s="3"/>
    </row>
    <row r="125" spans="1:26" ht="15.75" customHeight="1" x14ac:dyDescent="0.25">
      <c r="A125" s="3"/>
      <c r="B125" s="1079"/>
      <c r="C125" s="967">
        <f>C94</f>
        <v>0</v>
      </c>
      <c r="D125" s="1112"/>
      <c r="E125" s="1112"/>
      <c r="F125" s="1203">
        <f>SUM(F100:F124)</f>
        <v>1.500505867661333E-2</v>
      </c>
      <c r="G125" s="1205" t="s">
        <v>205</v>
      </c>
      <c r="H125" s="1206">
        <f>SUM(H102:H124)</f>
        <v>4.426133652711564</v>
      </c>
      <c r="I125" s="3"/>
      <c r="J125" s="3"/>
      <c r="K125" s="3"/>
      <c r="L125" s="3"/>
      <c r="M125" s="3"/>
      <c r="N125" s="3"/>
      <c r="O125" s="3"/>
      <c r="P125" s="3"/>
      <c r="Q125" s="3"/>
      <c r="R125" s="3"/>
      <c r="S125" s="3"/>
      <c r="T125" s="3"/>
      <c r="U125" s="3"/>
      <c r="V125" s="3"/>
      <c r="W125" s="3"/>
      <c r="X125" s="3"/>
      <c r="Y125" s="3"/>
      <c r="Z125" s="3"/>
    </row>
    <row r="126" spans="1:26" ht="15.75" customHeight="1" thickBot="1" x14ac:dyDescent="0.3">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thickTop="1" x14ac:dyDescent="0.25">
      <c r="A127" s="3"/>
      <c r="B127" s="2434"/>
      <c r="C127" s="2435" t="s">
        <v>3</v>
      </c>
      <c r="D127" s="2436" t="s">
        <v>14</v>
      </c>
      <c r="E127" s="2436" t="s">
        <v>18</v>
      </c>
      <c r="F127" s="2437" t="s">
        <v>205</v>
      </c>
      <c r="I127" s="3"/>
      <c r="J127" s="3"/>
      <c r="K127" s="3"/>
      <c r="L127" s="3"/>
      <c r="M127" s="3"/>
      <c r="N127" s="3"/>
      <c r="O127" s="3"/>
      <c r="P127" s="3"/>
      <c r="Q127" s="3"/>
      <c r="R127" s="3"/>
      <c r="S127" s="3"/>
      <c r="T127" s="3"/>
      <c r="U127" s="3"/>
      <c r="V127" s="3"/>
      <c r="W127" s="3"/>
      <c r="X127" s="3"/>
      <c r="Y127" s="3"/>
      <c r="Z127" s="3"/>
    </row>
    <row r="128" spans="1:26" ht="15.75" customHeight="1" thickBot="1" x14ac:dyDescent="0.3">
      <c r="A128" s="3"/>
      <c r="B128" s="2438" t="s">
        <v>2185</v>
      </c>
      <c r="C128" s="2439" t="s">
        <v>2186</v>
      </c>
      <c r="D128" s="2439" t="s">
        <v>2186</v>
      </c>
      <c r="E128" s="2440" t="s">
        <v>2186</v>
      </c>
      <c r="F128" s="2441" t="s">
        <v>2186</v>
      </c>
      <c r="I128" s="3"/>
      <c r="J128" s="3"/>
      <c r="K128" s="3"/>
      <c r="L128" s="3"/>
      <c r="M128" s="3"/>
      <c r="N128" s="3"/>
      <c r="O128" s="3"/>
      <c r="P128" s="3"/>
      <c r="Q128" s="3"/>
      <c r="R128" s="3"/>
      <c r="S128" s="3"/>
      <c r="T128" s="3"/>
      <c r="U128" s="3"/>
      <c r="V128" s="3"/>
      <c r="W128" s="3"/>
      <c r="X128" s="3"/>
      <c r="Y128" s="3"/>
      <c r="Z128" s="3"/>
    </row>
    <row r="129" spans="1:26" ht="15.75" customHeight="1" x14ac:dyDescent="0.25">
      <c r="A129" s="3"/>
      <c r="B129" s="2442" t="s">
        <v>53</v>
      </c>
      <c r="C129" s="2443">
        <f>SUMIF($A$102:$A$124,$B129,E$102:E$124)</f>
        <v>2.0476072663240812</v>
      </c>
      <c r="D129" s="2443">
        <f>SUMIF($A$102:$A$124,$B129,F$102:F$124)</f>
        <v>5.9921806414749571E-3</v>
      </c>
      <c r="E129" s="2444">
        <f>SUMIF($A$102:$A$124,$B129,G$102:G$124)</f>
        <v>8.7949748124874372E-3</v>
      </c>
      <c r="F129" s="2445">
        <f t="shared" ref="F129:F132" si="44">SUM(C129:E129)</f>
        <v>2.0623944217780439</v>
      </c>
      <c r="I129" s="3"/>
      <c r="J129" s="3"/>
      <c r="K129" s="3"/>
      <c r="L129" s="3"/>
      <c r="M129" s="3"/>
      <c r="N129" s="3"/>
      <c r="O129" s="3"/>
      <c r="P129" s="3"/>
      <c r="Q129" s="3"/>
      <c r="R129" s="3"/>
      <c r="S129" s="3"/>
      <c r="T129" s="3"/>
      <c r="U129" s="3"/>
      <c r="V129" s="3"/>
      <c r="W129" s="3"/>
      <c r="X129" s="3"/>
      <c r="Y129" s="3"/>
      <c r="Z129" s="3"/>
    </row>
    <row r="130" spans="1:26" ht="15.75" customHeight="1" x14ac:dyDescent="0.25">
      <c r="A130" s="3"/>
      <c r="B130" s="2446" t="s">
        <v>166</v>
      </c>
      <c r="C130" s="2443">
        <f>SUMIF($A$102:$A$124,$B130,E$102:E$124)</f>
        <v>1.1782676928553526</v>
      </c>
      <c r="D130" s="2443">
        <f>SUMIF($A$102:$A$124,$B130,F$102:F$124)</f>
        <v>5.7604747086601935E-4</v>
      </c>
      <c r="E130" s="2444">
        <f>SUMIF($A$102:$A$124,$B130,G$102:G$124)</f>
        <v>5.7983081147376723E-4</v>
      </c>
      <c r="F130" s="2445">
        <f t="shared" si="44"/>
        <v>1.1794235711376924</v>
      </c>
      <c r="I130" s="3"/>
      <c r="J130" s="3"/>
      <c r="K130" s="3"/>
      <c r="L130" s="3"/>
      <c r="M130" s="3"/>
      <c r="N130" s="3"/>
      <c r="O130" s="3"/>
      <c r="P130" s="3"/>
      <c r="Q130" s="3"/>
      <c r="R130" s="3"/>
      <c r="S130" s="3"/>
      <c r="T130" s="3"/>
      <c r="U130" s="3"/>
      <c r="V130" s="3"/>
      <c r="W130" s="3"/>
      <c r="X130" s="3"/>
      <c r="Y130" s="3"/>
      <c r="Z130" s="3"/>
    </row>
    <row r="131" spans="1:26" ht="15.75" customHeight="1" x14ac:dyDescent="0.25">
      <c r="A131" s="3"/>
      <c r="B131" s="2446" t="s">
        <v>179</v>
      </c>
      <c r="C131" s="2443">
        <f>SUMIF($A$102:$A$124,$B131,E$102:E$124)</f>
        <v>1.1641585616167136</v>
      </c>
      <c r="D131" s="2443">
        <f>SUMIF($A$102:$A$124,$B131,F$102:F$124)</f>
        <v>1.0931227425576633E-3</v>
      </c>
      <c r="E131" s="2444">
        <f>SUMIF($A$102:$A$124,$B131,G$102:G$124)</f>
        <v>2.1392294531773623E-3</v>
      </c>
      <c r="F131" s="2445">
        <f t="shared" si="44"/>
        <v>1.1673909138124487</v>
      </c>
      <c r="I131" s="3"/>
      <c r="J131" s="3"/>
      <c r="K131" s="3"/>
      <c r="L131" s="3"/>
      <c r="M131" s="3"/>
      <c r="N131" s="3"/>
      <c r="O131" s="3"/>
      <c r="P131" s="3"/>
      <c r="Q131" s="3"/>
      <c r="R131" s="3"/>
      <c r="S131" s="3"/>
      <c r="T131" s="3"/>
      <c r="U131" s="3"/>
      <c r="V131" s="3"/>
      <c r="W131" s="3"/>
      <c r="X131" s="3"/>
      <c r="Y131" s="3"/>
      <c r="Z131" s="3"/>
    </row>
    <row r="132" spans="1:26" ht="15.75" customHeight="1" thickBot="1" x14ac:dyDescent="0.3">
      <c r="A132" s="3"/>
      <c r="B132" s="2447" t="s">
        <v>129</v>
      </c>
      <c r="C132" s="2448">
        <f>SUMIF($A$102:$A$124,$B132,E$102:E$124)</f>
        <v>0</v>
      </c>
      <c r="D132" s="2448">
        <f>SUMIF($A$102:$A$124,$B132,F$102:F$124)</f>
        <v>7.343707821714689E-3</v>
      </c>
      <c r="E132" s="2449">
        <f>SUMIF($A$102:$A$124,$B132,G$102:G$124)</f>
        <v>9.5810381616636096E-3</v>
      </c>
      <c r="F132" s="2450">
        <f t="shared" si="44"/>
        <v>1.69247459833783E-2</v>
      </c>
      <c r="I132" s="3"/>
      <c r="J132" s="3"/>
      <c r="K132" s="3"/>
      <c r="L132" s="3"/>
      <c r="M132" s="3"/>
      <c r="N132" s="3"/>
      <c r="O132" s="3"/>
      <c r="P132" s="3"/>
      <c r="Q132" s="3"/>
      <c r="R132" s="3"/>
      <c r="S132" s="3"/>
      <c r="T132" s="3"/>
      <c r="U132" s="3"/>
      <c r="V132" s="3"/>
      <c r="W132" s="3"/>
      <c r="X132" s="3"/>
      <c r="Y132" s="3"/>
      <c r="Z132" s="3"/>
    </row>
    <row r="133" spans="1:26" ht="15.75" customHeight="1" thickBot="1" x14ac:dyDescent="0.3">
      <c r="A133" s="3"/>
      <c r="B133" s="2451"/>
      <c r="C133" s="2452"/>
      <c r="D133" s="2452"/>
      <c r="E133" s="2453" t="s">
        <v>205</v>
      </c>
      <c r="F133" s="2454">
        <f>SUM(F129:F132)</f>
        <v>4.426133652711564</v>
      </c>
      <c r="I133" s="3"/>
      <c r="J133" s="3"/>
      <c r="K133" s="3"/>
      <c r="L133" s="3"/>
      <c r="M133" s="3"/>
      <c r="N133" s="3"/>
      <c r="O133" s="3"/>
      <c r="P133" s="3"/>
      <c r="Q133" s="3"/>
      <c r="R133" s="3"/>
      <c r="S133" s="3"/>
      <c r="T133" s="3"/>
      <c r="U133" s="3"/>
      <c r="V133" s="3"/>
      <c r="W133" s="3"/>
      <c r="X133" s="3"/>
      <c r="Y133" s="3"/>
      <c r="Z133" s="3"/>
    </row>
    <row r="134" spans="1:26" ht="15.75" customHeight="1" thickTop="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ht="15.75" customHeight="1"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ht="15.75" customHeight="1"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ht="15.75" customHeight="1"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ht="15.75" customHeight="1"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ht="15.75" customHeight="1"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ht="15.75" customHeight="1"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ht="15.75" customHeight="1"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ht="15.75" customHeight="1"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ht="15.75" customHeight="1"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ht="15.75" customHeight="1"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ht="15.75" customHeight="1"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ht="15.75" customHeight="1"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ht="15.75" customHeight="1"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ht="15.75" customHeight="1"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ht="15.75" customHeight="1"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ht="15.75" customHeight="1"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ht="15.75" customHeight="1" x14ac:dyDescent="0.2"/>
    <row r="330" spans="1:26" ht="15.75" customHeight="1" x14ac:dyDescent="0.2"/>
    <row r="331" spans="1:26" ht="15.75" customHeight="1" x14ac:dyDescent="0.2"/>
    <row r="332" spans="1:26" ht="15.75" customHeight="1" x14ac:dyDescent="0.2"/>
    <row r="333" spans="1:26" ht="15.75" customHeight="1" x14ac:dyDescent="0.2"/>
    <row r="334" spans="1:26" ht="15.75" customHeight="1" x14ac:dyDescent="0.2"/>
    <row r="335" spans="1:26" ht="15.75" customHeight="1" x14ac:dyDescent="0.2"/>
    <row r="336" spans="1:2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sheetData>
  <mergeCells count="2">
    <mergeCell ref="A6:J6"/>
    <mergeCell ref="L9:M9"/>
  </mergeCells>
  <pageMargins left="0.7" right="0.7" top="0.75" bottom="0.75" header="0" footer="0"/>
  <pageSetup orientation="landscape"/>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H1000"/>
  <sheetViews>
    <sheetView workbookViewId="0"/>
  </sheetViews>
  <sheetFormatPr defaultColWidth="16.83203125" defaultRowHeight="15" customHeight="1" x14ac:dyDescent="0.2"/>
  <cols>
    <col min="1" max="1" width="4.6640625" customWidth="1"/>
    <col min="2" max="2" width="54.6640625" customWidth="1"/>
    <col min="3" max="3" width="24.6640625" customWidth="1"/>
    <col min="4" max="4" width="5.5" customWidth="1"/>
    <col min="5" max="5" width="30.83203125" customWidth="1"/>
    <col min="6" max="6" width="5.5" customWidth="1"/>
    <col min="7" max="7" width="20" customWidth="1"/>
    <col min="8" max="8" width="5.5" customWidth="1"/>
    <col min="9" max="9" width="18.5" customWidth="1"/>
    <col min="10" max="10" width="7" customWidth="1"/>
    <col min="11" max="11" width="26.1640625" customWidth="1"/>
    <col min="12" max="12" width="5.5" customWidth="1"/>
    <col min="13" max="13" width="19.33203125" customWidth="1"/>
    <col min="14" max="14" width="5.5" customWidth="1"/>
    <col min="15" max="15" width="17.83203125" customWidth="1"/>
    <col min="16" max="16" width="10.1640625" customWidth="1"/>
    <col min="17" max="17" width="16" customWidth="1"/>
    <col min="18" max="18" width="12.1640625" customWidth="1"/>
    <col min="19" max="19" width="18" customWidth="1"/>
    <col min="20" max="20" width="17.1640625" customWidth="1"/>
    <col min="21" max="21" width="13.6640625" customWidth="1"/>
    <col min="22" max="22" width="14.5" customWidth="1"/>
    <col min="23" max="23" width="4.33203125" customWidth="1"/>
    <col min="24" max="24" width="14.5" customWidth="1"/>
    <col min="25" max="25" width="10.1640625" customWidth="1"/>
    <col min="26" max="26" width="14.83203125" customWidth="1"/>
    <col min="27" max="27" width="15.83203125" customWidth="1"/>
    <col min="28" max="28" width="4.33203125" customWidth="1"/>
    <col min="30" max="30" width="4.33203125" customWidth="1"/>
    <col min="31" max="31" width="17" customWidth="1"/>
    <col min="32" max="32" width="9.33203125" customWidth="1"/>
    <col min="33" max="33" width="21.6640625" customWidth="1"/>
    <col min="34" max="34" width="9.33203125" customWidth="1"/>
  </cols>
  <sheetData>
    <row r="1" spans="1:34" ht="33" customHeight="1" x14ac:dyDescent="0.25">
      <c r="A1" s="3" t="s">
        <v>804</v>
      </c>
      <c r="B1" s="3"/>
      <c r="C1" s="20"/>
      <c r="D1" s="20"/>
      <c r="E1" s="22"/>
      <c r="F1" s="20"/>
      <c r="G1" s="20"/>
      <c r="H1" s="20"/>
      <c r="I1" s="20"/>
      <c r="J1" s="20"/>
      <c r="K1" s="20"/>
      <c r="L1" s="20"/>
      <c r="M1" s="20"/>
      <c r="N1" s="20"/>
      <c r="O1" s="20"/>
      <c r="P1" s="20"/>
      <c r="Q1" s="20"/>
      <c r="R1" s="20"/>
      <c r="S1" s="20"/>
      <c r="T1" s="20"/>
      <c r="U1" s="20"/>
      <c r="V1" s="20"/>
      <c r="W1" s="20"/>
      <c r="X1" s="20"/>
      <c r="Y1" s="20"/>
      <c r="Z1" s="20"/>
      <c r="AA1" s="20"/>
      <c r="AB1" s="20"/>
      <c r="AC1" s="20"/>
      <c r="AD1" s="20"/>
      <c r="AE1" s="20"/>
      <c r="AF1" s="20"/>
      <c r="AG1" s="20"/>
      <c r="AH1" s="20"/>
    </row>
    <row r="2" spans="1:34" ht="81" customHeight="1" x14ac:dyDescent="0.25">
      <c r="A2" s="2320"/>
      <c r="B2" s="2317"/>
      <c r="C2" s="2317"/>
      <c r="D2" s="2317"/>
      <c r="E2" s="2317"/>
      <c r="F2" s="2317"/>
      <c r="G2" s="2317"/>
      <c r="H2" s="2317"/>
      <c r="I2" s="2317"/>
      <c r="J2" s="2317"/>
      <c r="K2" s="2317"/>
      <c r="L2" s="20"/>
      <c r="M2" s="20"/>
      <c r="N2" s="20"/>
      <c r="O2" s="20"/>
      <c r="P2" s="20"/>
      <c r="Q2" s="20"/>
      <c r="R2" s="20"/>
      <c r="S2" s="20"/>
      <c r="T2" s="20"/>
      <c r="U2" s="20"/>
      <c r="V2" s="20"/>
      <c r="W2" s="20"/>
      <c r="X2" s="20"/>
      <c r="Y2" s="20"/>
      <c r="Z2" s="20"/>
      <c r="AA2" s="20"/>
      <c r="AB2" s="20"/>
      <c r="AC2" s="20"/>
      <c r="AD2" s="20"/>
      <c r="AE2" s="20"/>
      <c r="AF2" s="20"/>
      <c r="AG2" s="20"/>
      <c r="AH2" s="20"/>
    </row>
    <row r="3" spans="1:34" x14ac:dyDescent="0.25">
      <c r="A3" s="3"/>
      <c r="B3" s="3" t="s">
        <v>807</v>
      </c>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row>
    <row r="4" spans="1:34" x14ac:dyDescent="0.25">
      <c r="A4" s="3"/>
      <c r="B4" s="969" t="s">
        <v>808</v>
      </c>
      <c r="C4" s="970" t="s">
        <v>810</v>
      </c>
      <c r="D4" s="3"/>
      <c r="E4" s="970" t="s">
        <v>811</v>
      </c>
      <c r="F4" s="3"/>
      <c r="G4" s="972" t="s">
        <v>690</v>
      </c>
      <c r="H4" s="3"/>
      <c r="I4" s="3"/>
      <c r="J4" s="3"/>
      <c r="K4" s="3"/>
      <c r="L4" s="3"/>
      <c r="M4" s="3"/>
      <c r="N4" s="3"/>
      <c r="O4" s="3"/>
      <c r="P4" s="3"/>
      <c r="Q4" s="3"/>
      <c r="R4" s="3"/>
      <c r="S4" s="3"/>
      <c r="T4" s="3"/>
      <c r="U4" s="3"/>
      <c r="V4" s="3"/>
      <c r="W4" s="3"/>
      <c r="X4" s="3"/>
      <c r="Y4" s="3"/>
      <c r="Z4" s="3"/>
      <c r="AA4" s="3"/>
      <c r="AB4" s="3"/>
      <c r="AC4" s="3"/>
      <c r="AD4" s="3"/>
      <c r="AE4" s="3"/>
      <c r="AF4" s="3"/>
      <c r="AG4" s="3"/>
      <c r="AH4" s="3"/>
    </row>
    <row r="5" spans="1:34" x14ac:dyDescent="0.25">
      <c r="A5" s="3"/>
      <c r="B5" s="81" t="s">
        <v>812</v>
      </c>
      <c r="C5" s="624">
        <v>42</v>
      </c>
      <c r="D5" s="3"/>
      <c r="E5" s="624">
        <f t="shared" ref="E5:E6" si="0">C5*42*1000</f>
        <v>1764000</v>
      </c>
      <c r="F5" s="3"/>
      <c r="G5" s="974">
        <v>210</v>
      </c>
      <c r="H5" s="3"/>
      <c r="I5" s="975"/>
      <c r="J5" s="3"/>
      <c r="K5" s="3"/>
      <c r="L5" s="3"/>
      <c r="M5" s="3"/>
      <c r="N5" s="3"/>
      <c r="O5" s="3"/>
      <c r="P5" s="3"/>
      <c r="Q5" s="3"/>
      <c r="R5" s="3"/>
      <c r="S5" s="3"/>
      <c r="T5" s="3"/>
      <c r="U5" s="3"/>
      <c r="V5" s="3"/>
      <c r="W5" s="3"/>
      <c r="X5" s="3"/>
      <c r="Y5" s="3"/>
      <c r="Z5" s="3"/>
      <c r="AA5" s="3"/>
      <c r="AB5" s="3"/>
      <c r="AC5" s="3"/>
      <c r="AD5" s="3"/>
      <c r="AE5" s="3"/>
      <c r="AF5" s="3"/>
      <c r="AG5" s="3"/>
      <c r="AH5" s="3"/>
    </row>
    <row r="6" spans="1:34" x14ac:dyDescent="0.25">
      <c r="A6" s="3"/>
      <c r="B6" s="81" t="s">
        <v>814</v>
      </c>
      <c r="C6" s="624">
        <v>13581</v>
      </c>
      <c r="D6" s="3"/>
      <c r="E6" s="624">
        <f t="shared" si="0"/>
        <v>570402000</v>
      </c>
      <c r="F6" s="3"/>
      <c r="G6" s="624">
        <v>80358</v>
      </c>
      <c r="H6" s="3"/>
      <c r="I6" s="975"/>
      <c r="J6" s="3"/>
      <c r="K6" s="3"/>
      <c r="L6" s="3"/>
      <c r="M6" s="3"/>
      <c r="N6" s="3"/>
      <c r="O6" s="2312" t="s">
        <v>1</v>
      </c>
      <c r="P6" s="2313"/>
      <c r="Q6" s="3"/>
      <c r="R6" s="3"/>
      <c r="S6" s="3"/>
      <c r="T6" s="3"/>
      <c r="U6" s="3"/>
      <c r="V6" s="3"/>
      <c r="W6" s="3"/>
      <c r="X6" s="3"/>
      <c r="Y6" s="3"/>
      <c r="Z6" s="3"/>
      <c r="AA6" s="3"/>
      <c r="AB6" s="3"/>
      <c r="AC6" s="3"/>
      <c r="AD6" s="3"/>
      <c r="AE6" s="3"/>
      <c r="AF6" s="3"/>
      <c r="AG6" s="3"/>
      <c r="AH6" s="3"/>
    </row>
    <row r="7" spans="1:34" x14ac:dyDescent="0.25">
      <c r="A7" s="3"/>
      <c r="B7" s="81" t="s">
        <v>816</v>
      </c>
      <c r="C7" s="242">
        <v>0</v>
      </c>
      <c r="D7" s="3"/>
      <c r="E7" s="242"/>
      <c r="F7" s="3"/>
      <c r="G7" s="242">
        <v>0</v>
      </c>
      <c r="H7" s="3"/>
      <c r="I7" s="975"/>
      <c r="J7" s="3"/>
      <c r="K7" s="3"/>
      <c r="L7" s="3"/>
      <c r="M7" s="3"/>
      <c r="N7" s="3"/>
      <c r="O7" s="236"/>
      <c r="P7" s="236"/>
      <c r="Q7" s="3"/>
      <c r="R7" s="3"/>
      <c r="S7" s="3"/>
      <c r="T7" s="3"/>
      <c r="U7" s="3"/>
      <c r="V7" s="3"/>
      <c r="W7" s="3"/>
      <c r="X7" s="3"/>
      <c r="Y7" s="3"/>
      <c r="Z7" s="3"/>
      <c r="AA7" s="3"/>
      <c r="AB7" s="3"/>
      <c r="AC7" s="3"/>
      <c r="AD7" s="3"/>
      <c r="AE7" s="3"/>
      <c r="AF7" s="3"/>
      <c r="AG7" s="3"/>
      <c r="AH7" s="3"/>
    </row>
    <row r="8" spans="1:34" x14ac:dyDescent="0.25">
      <c r="A8" s="3"/>
      <c r="B8" s="81" t="s">
        <v>817</v>
      </c>
      <c r="C8" s="976">
        <v>5903</v>
      </c>
      <c r="D8" s="3"/>
      <c r="E8" s="624">
        <f t="shared" ref="E8:E10" si="1">C8*42*1000</f>
        <v>247926000</v>
      </c>
      <c r="F8" s="3"/>
      <c r="G8" s="976">
        <v>33468</v>
      </c>
      <c r="H8" s="3"/>
      <c r="I8" s="975"/>
      <c r="J8" s="3"/>
      <c r="K8" s="110"/>
      <c r="L8" s="3"/>
      <c r="M8" s="3"/>
      <c r="N8" s="3"/>
      <c r="O8" s="241" t="s">
        <v>188</v>
      </c>
      <c r="P8" s="243">
        <f>Summary!E4</f>
        <v>1</v>
      </c>
      <c r="Q8" s="3"/>
      <c r="R8" s="3"/>
      <c r="S8" s="3"/>
      <c r="T8" s="3"/>
      <c r="U8" s="3"/>
      <c r="V8" s="3"/>
      <c r="W8" s="3"/>
      <c r="X8" s="3"/>
      <c r="Y8" s="3"/>
      <c r="Z8" s="3"/>
      <c r="AA8" s="3"/>
      <c r="AB8" s="3"/>
      <c r="AC8" s="3"/>
      <c r="AD8" s="3"/>
      <c r="AE8" s="3"/>
      <c r="AF8" s="3"/>
      <c r="AG8" s="3"/>
      <c r="AH8" s="3"/>
    </row>
    <row r="9" spans="1:34" x14ac:dyDescent="0.25">
      <c r="A9" s="3"/>
      <c r="B9" s="81" t="s">
        <v>819</v>
      </c>
      <c r="C9" s="624">
        <v>76</v>
      </c>
      <c r="D9" s="3"/>
      <c r="E9" s="624">
        <f t="shared" si="1"/>
        <v>3192000</v>
      </c>
      <c r="F9" s="3"/>
      <c r="G9" s="624">
        <v>293</v>
      </c>
      <c r="H9" s="3"/>
      <c r="I9" s="975"/>
      <c r="J9" s="3"/>
      <c r="K9" s="3"/>
      <c r="L9" s="3"/>
      <c r="M9" s="3"/>
      <c r="N9" s="3"/>
      <c r="O9" s="241" t="s">
        <v>192</v>
      </c>
      <c r="P9" s="243">
        <f>Summary!E5</f>
        <v>27.9</v>
      </c>
      <c r="Q9" s="3"/>
      <c r="R9" s="3"/>
      <c r="S9" s="3"/>
      <c r="T9" s="3"/>
      <c r="U9" s="3"/>
      <c r="V9" s="3"/>
      <c r="W9" s="3"/>
      <c r="X9" s="3"/>
      <c r="Y9" s="3"/>
      <c r="Z9" s="3"/>
      <c r="AA9" s="3"/>
      <c r="AB9" s="3"/>
      <c r="AC9" s="3"/>
      <c r="AD9" s="3"/>
      <c r="AE9" s="3"/>
      <c r="AF9" s="3"/>
      <c r="AG9" s="3"/>
      <c r="AH9" s="3"/>
    </row>
    <row r="10" spans="1:34" x14ac:dyDescent="0.25">
      <c r="A10" s="3"/>
      <c r="B10" s="81" t="s">
        <v>821</v>
      </c>
      <c r="C10" s="624">
        <v>242</v>
      </c>
      <c r="D10" s="3"/>
      <c r="E10" s="624">
        <f t="shared" si="1"/>
        <v>10164000</v>
      </c>
      <c r="F10" s="3"/>
      <c r="G10" s="624">
        <v>1466</v>
      </c>
      <c r="H10" s="3"/>
      <c r="I10" s="975"/>
      <c r="J10" s="3"/>
      <c r="K10" s="3"/>
      <c r="L10" s="3"/>
      <c r="M10" s="3"/>
      <c r="N10" s="3"/>
      <c r="O10" s="241" t="s">
        <v>194</v>
      </c>
      <c r="P10" s="243">
        <f>Summary!E6</f>
        <v>273</v>
      </c>
      <c r="Q10" s="3"/>
      <c r="R10" s="3"/>
      <c r="S10" s="3"/>
      <c r="T10" s="3"/>
      <c r="U10" s="3"/>
      <c r="V10" s="3"/>
      <c r="W10" s="3"/>
      <c r="X10" s="3"/>
      <c r="Y10" s="3"/>
      <c r="Z10" s="3"/>
      <c r="AA10" s="3"/>
      <c r="AB10" s="3"/>
      <c r="AC10" s="3"/>
      <c r="AD10" s="3"/>
      <c r="AE10" s="3"/>
      <c r="AF10" s="3"/>
      <c r="AG10" s="3"/>
      <c r="AH10" s="3"/>
    </row>
    <row r="11" spans="1:34" x14ac:dyDescent="0.25">
      <c r="A11" s="3"/>
      <c r="B11" s="977" t="s">
        <v>757</v>
      </c>
      <c r="C11" s="624">
        <f>E11/(42*1000)</f>
        <v>63427.314619047618</v>
      </c>
      <c r="D11" s="3"/>
      <c r="E11" s="362">
        <f>2663947214</f>
        <v>2663947214</v>
      </c>
      <c r="F11" s="3"/>
      <c r="G11" s="976">
        <f>E11*C47/1000000000</f>
        <v>330963.47397293203</v>
      </c>
      <c r="H11" s="3"/>
      <c r="I11" s="975"/>
      <c r="J11" s="3"/>
      <c r="K11" s="3"/>
      <c r="L11" s="3"/>
      <c r="M11" s="3"/>
      <c r="N11" s="3"/>
      <c r="O11" s="241" t="s">
        <v>197</v>
      </c>
      <c r="P11" s="243">
        <f>Summary!E7</f>
        <v>24300</v>
      </c>
      <c r="Q11" s="3"/>
      <c r="R11" s="3"/>
      <c r="S11" s="3"/>
      <c r="T11" s="3"/>
      <c r="U11" s="3"/>
      <c r="V11" s="3"/>
      <c r="W11" s="3"/>
      <c r="X11" s="3"/>
      <c r="Y11" s="3"/>
      <c r="Z11" s="3"/>
      <c r="AA11" s="3"/>
      <c r="AB11" s="3"/>
      <c r="AC11" s="3"/>
      <c r="AD11" s="3"/>
      <c r="AE11" s="3"/>
      <c r="AF11" s="3"/>
      <c r="AG11" s="3"/>
      <c r="AH11" s="3"/>
    </row>
    <row r="12" spans="1:34" x14ac:dyDescent="0.25">
      <c r="A12" s="3"/>
      <c r="B12" s="81" t="s">
        <v>825</v>
      </c>
      <c r="C12" s="624">
        <v>5639</v>
      </c>
      <c r="D12" s="3"/>
      <c r="E12" s="624">
        <f t="shared" ref="E12:E14" si="2">C12*42*1000</f>
        <v>236838000</v>
      </c>
      <c r="F12" s="3"/>
      <c r="G12" s="624">
        <v>19558</v>
      </c>
      <c r="H12" s="3"/>
      <c r="I12" s="975"/>
      <c r="J12" s="3"/>
      <c r="K12" s="3"/>
      <c r="L12" s="3"/>
      <c r="M12" s="3"/>
      <c r="N12" s="3"/>
      <c r="O12" s="241"/>
      <c r="P12" s="243"/>
      <c r="Q12" s="3"/>
      <c r="R12" s="3"/>
      <c r="S12" s="3"/>
      <c r="T12" s="3"/>
      <c r="U12" s="3"/>
      <c r="V12" s="3"/>
      <c r="W12" s="3"/>
      <c r="X12" s="3"/>
      <c r="Y12" s="3"/>
      <c r="Z12" s="3"/>
      <c r="AA12" s="3"/>
      <c r="AB12" s="3"/>
      <c r="AC12" s="3"/>
      <c r="AD12" s="3"/>
      <c r="AE12" s="3"/>
      <c r="AF12" s="3"/>
      <c r="AG12" s="3"/>
      <c r="AH12" s="3"/>
    </row>
    <row r="13" spans="1:34" x14ac:dyDescent="0.25">
      <c r="A13" s="3"/>
      <c r="B13" s="81" t="s">
        <v>827</v>
      </c>
      <c r="C13" s="624">
        <v>6235</v>
      </c>
      <c r="D13" s="3"/>
      <c r="E13" s="624">
        <f t="shared" si="2"/>
        <v>261870000</v>
      </c>
      <c r="F13" s="3"/>
      <c r="G13" s="624">
        <v>6408</v>
      </c>
      <c r="H13" s="3"/>
      <c r="I13" s="975"/>
      <c r="J13" s="3"/>
      <c r="K13" s="3"/>
      <c r="L13" s="3"/>
      <c r="M13" s="3"/>
      <c r="N13" s="3"/>
      <c r="O13" s="3"/>
      <c r="P13" s="3"/>
      <c r="Q13" s="3"/>
      <c r="R13" s="3"/>
      <c r="S13" s="3"/>
      <c r="T13" s="3"/>
      <c r="U13" s="3"/>
      <c r="V13" s="3"/>
      <c r="W13" s="3"/>
      <c r="X13" s="3"/>
      <c r="Y13" s="3"/>
      <c r="Z13" s="3"/>
      <c r="AA13" s="3"/>
      <c r="AB13" s="3"/>
      <c r="AC13" s="3"/>
      <c r="AD13" s="3"/>
      <c r="AE13" s="3"/>
      <c r="AF13" s="3"/>
      <c r="AG13" s="3"/>
      <c r="AH13" s="3"/>
    </row>
    <row r="14" spans="1:34" x14ac:dyDescent="0.25">
      <c r="A14" s="3"/>
      <c r="B14" s="81" t="s">
        <v>829</v>
      </c>
      <c r="C14" s="624">
        <v>255</v>
      </c>
      <c r="D14" s="3"/>
      <c r="E14" s="624">
        <f t="shared" si="2"/>
        <v>10710000</v>
      </c>
      <c r="F14" s="3"/>
      <c r="G14" s="624">
        <v>1603</v>
      </c>
      <c r="H14" s="3"/>
      <c r="I14" s="975"/>
      <c r="J14" s="3"/>
      <c r="K14" s="3"/>
      <c r="L14" s="3"/>
      <c r="M14" s="3"/>
      <c r="N14" s="3"/>
      <c r="O14" s="3"/>
      <c r="P14" s="3"/>
      <c r="Q14" s="3"/>
      <c r="R14" s="3"/>
      <c r="S14" s="3"/>
      <c r="T14" s="3"/>
      <c r="U14" s="3"/>
      <c r="V14" s="3"/>
      <c r="W14" s="3"/>
      <c r="X14" s="3"/>
      <c r="Y14" s="3"/>
      <c r="Z14" s="3"/>
      <c r="AA14" s="3"/>
      <c r="AB14" s="3"/>
      <c r="AC14" s="3"/>
      <c r="AD14" s="3"/>
      <c r="AE14" s="3"/>
      <c r="AF14" s="3"/>
      <c r="AG14" s="3"/>
      <c r="AH14" s="3"/>
    </row>
    <row r="15" spans="1:34" x14ac:dyDescent="0.25">
      <c r="A15" s="3"/>
      <c r="B15" s="3"/>
      <c r="C15" s="3"/>
      <c r="D15" s="3"/>
      <c r="E15" s="170"/>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row>
    <row r="16" spans="1:34" x14ac:dyDescent="0.25">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row>
    <row r="17" spans="1:34" x14ac:dyDescent="0.25">
      <c r="A17" s="3"/>
      <c r="B17" s="978" t="s">
        <v>832</v>
      </c>
      <c r="C17" s="979"/>
      <c r="D17" s="979"/>
      <c r="E17" s="980"/>
      <c r="F17" s="979"/>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row>
    <row r="18" spans="1:34" ht="30" customHeight="1" x14ac:dyDescent="0.25">
      <c r="A18" s="3"/>
      <c r="B18" s="881" t="s">
        <v>834</v>
      </c>
      <c r="C18" s="982" t="s">
        <v>835</v>
      </c>
      <c r="D18" s="2321" t="s">
        <v>836</v>
      </c>
      <c r="E18" s="2333"/>
      <c r="F18" s="2334" t="s">
        <v>837</v>
      </c>
      <c r="G18" s="2333"/>
      <c r="H18" s="3"/>
      <c r="I18" s="985" t="s">
        <v>838</v>
      </c>
      <c r="J18" s="3"/>
      <c r="K18" s="987" t="s">
        <v>839</v>
      </c>
      <c r="L18" s="3"/>
      <c r="M18" s="988" t="s">
        <v>840</v>
      </c>
      <c r="N18" s="992"/>
      <c r="O18" s="992"/>
      <c r="P18" s="992"/>
      <c r="Q18" s="992"/>
      <c r="R18" s="992"/>
      <c r="S18" s="992"/>
      <c r="T18" s="3"/>
      <c r="U18" s="992"/>
      <c r="V18" s="992"/>
      <c r="W18" s="992"/>
      <c r="X18" s="3"/>
      <c r="Y18" s="3"/>
      <c r="Z18" s="3"/>
      <c r="AA18" s="3"/>
      <c r="AB18" s="3"/>
      <c r="AC18" s="3"/>
      <c r="AD18" s="3"/>
      <c r="AE18" s="3"/>
      <c r="AF18" s="3"/>
      <c r="AG18" s="3"/>
      <c r="AH18" s="3"/>
    </row>
    <row r="19" spans="1:34" x14ac:dyDescent="0.25">
      <c r="A19" s="3"/>
      <c r="B19" s="392" t="s">
        <v>842</v>
      </c>
      <c r="C19" s="996">
        <v>2011</v>
      </c>
      <c r="D19" s="2323" t="s">
        <v>843</v>
      </c>
      <c r="E19" s="2324"/>
      <c r="F19" s="2338" t="s">
        <v>844</v>
      </c>
      <c r="G19" s="2324"/>
      <c r="H19" s="3"/>
      <c r="I19" s="394">
        <v>9437000</v>
      </c>
      <c r="J19" s="3"/>
      <c r="K19" s="998">
        <f t="shared" ref="K19:K26" si="3">I19/$I$24</f>
        <v>3.5358968281343352E-3</v>
      </c>
      <c r="L19" s="3"/>
      <c r="M19" s="1000">
        <f t="shared" ref="M19:M23" si="4">I19/SUM($I$19:$I$23)</f>
        <v>0.12499239575509029</v>
      </c>
      <c r="N19" s="170"/>
      <c r="O19" s="170"/>
      <c r="P19" s="170"/>
      <c r="Q19" s="170"/>
      <c r="R19" s="170"/>
      <c r="S19" s="170"/>
      <c r="T19" s="3"/>
      <c r="U19" s="170">
        <v>9702000</v>
      </c>
      <c r="V19" s="170"/>
      <c r="W19" s="170"/>
      <c r="X19" s="3"/>
      <c r="Y19" s="3"/>
      <c r="Z19" s="3"/>
      <c r="AA19" s="3"/>
      <c r="AB19" s="3"/>
      <c r="AC19" s="3"/>
      <c r="AD19" s="3"/>
      <c r="AE19" s="3"/>
      <c r="AF19" s="3"/>
      <c r="AG19" s="3"/>
      <c r="AH19" s="3"/>
    </row>
    <row r="20" spans="1:34" x14ac:dyDescent="0.25">
      <c r="A20" s="3"/>
      <c r="B20" s="179" t="s">
        <v>842</v>
      </c>
      <c r="C20" s="1002">
        <v>2011</v>
      </c>
      <c r="D20" s="2323" t="s">
        <v>854</v>
      </c>
      <c r="E20" s="2324"/>
      <c r="F20" s="2338" t="s">
        <v>855</v>
      </c>
      <c r="G20" s="2324"/>
      <c r="H20" s="3"/>
      <c r="I20" s="313">
        <v>13677000</v>
      </c>
      <c r="J20" s="3"/>
      <c r="K20" s="998">
        <f t="shared" si="3"/>
        <v>5.1245587494323725E-3</v>
      </c>
      <c r="L20" s="3"/>
      <c r="M20" s="596">
        <f t="shared" si="4"/>
        <v>0.1811508950664798</v>
      </c>
      <c r="N20" s="170"/>
      <c r="O20" s="170"/>
      <c r="P20" s="170"/>
      <c r="Q20" s="170"/>
      <c r="R20" s="170"/>
      <c r="S20" s="170"/>
      <c r="T20" s="3"/>
      <c r="U20" s="170">
        <v>8297000</v>
      </c>
      <c r="V20" s="170"/>
      <c r="W20" s="170"/>
      <c r="X20" s="3"/>
      <c r="Y20" s="3"/>
      <c r="Z20" s="3"/>
      <c r="AA20" s="3"/>
      <c r="AB20" s="3"/>
      <c r="AC20" s="3"/>
      <c r="AD20" s="3"/>
      <c r="AE20" s="3"/>
      <c r="AF20" s="3"/>
      <c r="AG20" s="3"/>
      <c r="AH20" s="3"/>
    </row>
    <row r="21" spans="1:34" ht="15.75" customHeight="1" x14ac:dyDescent="0.25">
      <c r="A21" s="3"/>
      <c r="B21" s="179" t="s">
        <v>842</v>
      </c>
      <c r="C21" s="1002">
        <v>2011</v>
      </c>
      <c r="D21" s="2323" t="s">
        <v>858</v>
      </c>
      <c r="E21" s="2324"/>
      <c r="F21" s="2338" t="s">
        <v>859</v>
      </c>
      <c r="G21" s="2324"/>
      <c r="H21" s="3"/>
      <c r="I21" s="313">
        <v>10338000</v>
      </c>
      <c r="J21" s="3"/>
      <c r="K21" s="998">
        <f t="shared" si="3"/>
        <v>3.8734874864101683E-3</v>
      </c>
      <c r="L21" s="3"/>
      <c r="M21" s="596">
        <f t="shared" si="4"/>
        <v>0.13692607685876057</v>
      </c>
      <c r="N21" s="170"/>
      <c r="O21" s="170"/>
      <c r="P21" s="170"/>
      <c r="Q21" s="170"/>
      <c r="R21" s="170"/>
      <c r="S21" s="170"/>
      <c r="T21" s="3"/>
      <c r="U21" s="170">
        <v>24818000</v>
      </c>
      <c r="V21" s="170"/>
      <c r="W21" s="170"/>
      <c r="X21" s="3"/>
      <c r="Y21" s="3"/>
      <c r="Z21" s="3"/>
      <c r="AA21" s="3"/>
      <c r="AB21" s="3"/>
      <c r="AC21" s="3"/>
      <c r="AD21" s="3"/>
      <c r="AE21" s="3"/>
      <c r="AF21" s="3"/>
      <c r="AG21" s="3"/>
      <c r="AH21" s="3"/>
    </row>
    <row r="22" spans="1:34" ht="15.75" customHeight="1" x14ac:dyDescent="0.25">
      <c r="A22" s="3"/>
      <c r="B22" s="179" t="s">
        <v>861</v>
      </c>
      <c r="C22" s="1002">
        <v>2011</v>
      </c>
      <c r="D22" s="2323" t="s">
        <v>858</v>
      </c>
      <c r="E22" s="2324"/>
      <c r="F22" s="2338" t="s">
        <v>862</v>
      </c>
      <c r="G22" s="2324"/>
      <c r="H22" s="3"/>
      <c r="I22" s="313">
        <v>21138593</v>
      </c>
      <c r="J22" s="3"/>
      <c r="K22" s="998">
        <f t="shared" si="3"/>
        <v>7.9203013605936914E-3</v>
      </c>
      <c r="L22" s="3"/>
      <c r="M22" s="596">
        <f t="shared" si="4"/>
        <v>0.27997916519675548</v>
      </c>
      <c r="N22" s="170"/>
      <c r="O22" s="170"/>
      <c r="P22" s="170"/>
      <c r="Q22" s="170"/>
      <c r="R22" s="170"/>
      <c r="S22" s="170"/>
      <c r="T22" s="3"/>
      <c r="U22" s="170">
        <v>16130243.465111727</v>
      </c>
      <c r="V22" s="170"/>
      <c r="W22" s="170"/>
      <c r="X22" s="3"/>
      <c r="Y22" s="3"/>
      <c r="Z22" s="3"/>
      <c r="AA22" s="3"/>
      <c r="AB22" s="3"/>
      <c r="AC22" s="3"/>
      <c r="AD22" s="3"/>
      <c r="AE22" s="3"/>
      <c r="AF22" s="3"/>
      <c r="AG22" s="3"/>
      <c r="AH22" s="3"/>
    </row>
    <row r="23" spans="1:34" ht="15.75" customHeight="1" x14ac:dyDescent="0.25">
      <c r="A23" s="3"/>
      <c r="B23" s="179" t="s">
        <v>842</v>
      </c>
      <c r="C23" s="1010">
        <v>2011</v>
      </c>
      <c r="D23" s="2325" t="s">
        <v>866</v>
      </c>
      <c r="E23" s="2300"/>
      <c r="F23" s="2348" t="s">
        <v>867</v>
      </c>
      <c r="G23" s="2300"/>
      <c r="H23" s="3"/>
      <c r="I23" s="539">
        <v>20910000</v>
      </c>
      <c r="J23" s="3"/>
      <c r="K23" s="1015">
        <f t="shared" si="3"/>
        <v>7.8346511260240486E-3</v>
      </c>
      <c r="L23" s="3"/>
      <c r="M23" s="1016">
        <f t="shared" si="4"/>
        <v>0.27695146712291385</v>
      </c>
      <c r="N23" s="170"/>
      <c r="O23" s="170"/>
      <c r="P23" s="170"/>
      <c r="Q23" s="170"/>
      <c r="R23" s="170"/>
      <c r="S23" s="170"/>
      <c r="T23" s="3"/>
      <c r="U23" s="170">
        <v>24070000</v>
      </c>
      <c r="V23" s="170"/>
      <c r="W23" s="170"/>
      <c r="X23" s="3"/>
      <c r="Y23" s="3"/>
      <c r="Z23" s="3"/>
      <c r="AA23" s="3"/>
      <c r="AB23" s="3"/>
      <c r="AC23" s="3"/>
      <c r="AD23" s="3"/>
      <c r="AE23" s="3"/>
      <c r="AF23" s="3"/>
      <c r="AG23" s="3"/>
      <c r="AH23" s="3"/>
    </row>
    <row r="24" spans="1:34" ht="15.75" customHeight="1" x14ac:dyDescent="0.25">
      <c r="A24" s="3"/>
      <c r="B24" s="1018" t="s">
        <v>878</v>
      </c>
      <c r="C24" s="1020">
        <v>2011</v>
      </c>
      <c r="D24" s="2349" t="s">
        <v>880</v>
      </c>
      <c r="E24" s="2332"/>
      <c r="F24" s="2350" t="s">
        <v>881</v>
      </c>
      <c r="G24" s="2333"/>
      <c r="H24" s="41"/>
      <c r="I24" s="382">
        <v>2668912714</v>
      </c>
      <c r="J24" s="3"/>
      <c r="K24" s="1023">
        <f t="shared" si="3"/>
        <v>1</v>
      </c>
      <c r="L24" s="3"/>
      <c r="M24" s="292"/>
      <c r="N24" s="170"/>
      <c r="O24" s="170"/>
      <c r="P24" s="170"/>
      <c r="Q24" s="170"/>
      <c r="R24" s="170"/>
      <c r="S24" s="170"/>
      <c r="T24" s="3"/>
      <c r="U24" s="170"/>
      <c r="V24" s="170"/>
      <c r="W24" s="170"/>
      <c r="X24" s="3"/>
      <c r="Y24" s="3"/>
      <c r="Z24" s="3"/>
      <c r="AA24" s="3"/>
      <c r="AB24" s="3"/>
      <c r="AC24" s="3"/>
      <c r="AD24" s="3"/>
      <c r="AE24" s="3"/>
      <c r="AF24" s="3"/>
      <c r="AG24" s="3"/>
      <c r="AH24" s="3"/>
    </row>
    <row r="25" spans="1:34" ht="15.75" customHeight="1" x14ac:dyDescent="0.25">
      <c r="A25" s="3"/>
      <c r="B25" s="1027" t="s">
        <v>886</v>
      </c>
      <c r="C25" s="1002">
        <v>2011</v>
      </c>
      <c r="D25" s="2323" t="s">
        <v>888</v>
      </c>
      <c r="E25" s="2324"/>
      <c r="F25" s="2338" t="s">
        <v>881</v>
      </c>
      <c r="G25" s="2324"/>
      <c r="H25" s="3"/>
      <c r="I25" s="362">
        <v>2405394000</v>
      </c>
      <c r="J25" s="3"/>
      <c r="K25" s="998">
        <f t="shared" si="3"/>
        <v>0.90126364469782361</v>
      </c>
      <c r="L25" s="3"/>
      <c r="M25" s="179"/>
      <c r="N25" s="170"/>
      <c r="O25" s="170"/>
      <c r="P25" s="170"/>
      <c r="Q25" s="170"/>
      <c r="R25" s="170"/>
      <c r="S25" s="170"/>
      <c r="T25" s="3"/>
      <c r="U25" s="170"/>
      <c r="V25" s="170"/>
      <c r="W25" s="170"/>
      <c r="X25" s="3"/>
      <c r="Y25" s="3"/>
      <c r="Z25" s="3"/>
      <c r="AA25" s="3"/>
      <c r="AB25" s="3"/>
      <c r="AC25" s="3"/>
      <c r="AD25" s="3"/>
      <c r="AE25" s="3"/>
      <c r="AF25" s="3"/>
      <c r="AG25" s="3"/>
      <c r="AH25" s="3"/>
    </row>
    <row r="26" spans="1:34" ht="15.75" customHeight="1" x14ac:dyDescent="0.25">
      <c r="A26" s="3"/>
      <c r="B26" s="292" t="s">
        <v>230</v>
      </c>
      <c r="C26" s="1030">
        <v>2011</v>
      </c>
      <c r="D26" s="2328" t="s">
        <v>893</v>
      </c>
      <c r="E26" s="2307"/>
      <c r="F26" s="2345" t="s">
        <v>881</v>
      </c>
      <c r="G26" s="2307"/>
      <c r="H26" s="179"/>
      <c r="I26" s="463">
        <f>I24-I25</f>
        <v>263518714</v>
      </c>
      <c r="J26" s="179"/>
      <c r="K26" s="1035">
        <f t="shared" si="3"/>
        <v>9.8736355302176435E-2</v>
      </c>
      <c r="L26" s="179"/>
      <c r="M26" s="1039">
        <f>SUM(M19:M23)</f>
        <v>1</v>
      </c>
      <c r="N26" s="170"/>
      <c r="O26" s="170"/>
      <c r="P26" s="170"/>
      <c r="Q26" s="170"/>
      <c r="R26" s="170"/>
      <c r="S26" s="170"/>
      <c r="T26" s="3"/>
      <c r="U26" s="170"/>
      <c r="V26" s="170"/>
      <c r="W26" s="170"/>
      <c r="X26" s="3"/>
      <c r="Y26" s="3"/>
      <c r="Z26" s="3"/>
      <c r="AA26" s="3"/>
      <c r="AB26" s="3"/>
      <c r="AC26" s="3"/>
      <c r="AD26" s="3"/>
      <c r="AE26" s="3"/>
      <c r="AF26" s="3"/>
      <c r="AG26" s="3"/>
      <c r="AH26" s="3"/>
    </row>
    <row r="27" spans="1:34" ht="15.75" customHeight="1" x14ac:dyDescent="0.25">
      <c r="A27" s="3"/>
      <c r="B27" s="3"/>
      <c r="C27" s="3"/>
      <c r="D27" s="3"/>
      <c r="E27" s="3"/>
      <c r="F27" s="3"/>
      <c r="G27" s="3"/>
      <c r="H27" s="3"/>
      <c r="I27" s="3"/>
      <c r="J27" s="3"/>
      <c r="K27" s="3"/>
      <c r="L27" s="3"/>
      <c r="M27" s="3"/>
      <c r="N27" s="3"/>
      <c r="O27" s="3"/>
      <c r="P27" s="3"/>
      <c r="Q27" s="3"/>
      <c r="R27" s="3"/>
      <c r="S27" s="3"/>
      <c r="T27" s="3"/>
      <c r="U27" s="3"/>
      <c r="V27" s="3"/>
      <c r="W27" s="3"/>
      <c r="X27" s="3"/>
      <c r="Y27" s="3"/>
      <c r="Z27" s="3"/>
      <c r="AA27" s="3"/>
      <c r="AB27" s="3"/>
      <c r="AC27" s="3"/>
      <c r="AD27" s="3"/>
      <c r="AE27" s="3"/>
      <c r="AF27" s="3"/>
      <c r="AG27" s="3"/>
      <c r="AH27" s="3"/>
    </row>
    <row r="28" spans="1:34" ht="15.75" customHeight="1" x14ac:dyDescent="0.25">
      <c r="A28" s="3"/>
      <c r="B28" s="3"/>
      <c r="C28" s="3"/>
      <c r="D28" s="3"/>
      <c r="E28" s="3"/>
      <c r="F28" s="3"/>
      <c r="G28" s="3"/>
      <c r="H28" s="3"/>
      <c r="I28" s="170">
        <f>I21+I22</f>
        <v>31476593</v>
      </c>
      <c r="J28" s="3"/>
      <c r="K28" s="3"/>
      <c r="L28" s="3"/>
      <c r="M28" s="3"/>
      <c r="N28" s="3"/>
      <c r="O28" s="3"/>
      <c r="P28" s="3"/>
      <c r="Q28" s="3"/>
      <c r="R28" s="3"/>
      <c r="S28" s="3"/>
      <c r="T28" s="3"/>
      <c r="U28" s="3"/>
      <c r="V28" s="3"/>
      <c r="W28" s="3"/>
      <c r="X28" s="3"/>
      <c r="Y28" s="3"/>
      <c r="Z28" s="3"/>
      <c r="AA28" s="3"/>
      <c r="AB28" s="3"/>
      <c r="AC28" s="3"/>
      <c r="AD28" s="3"/>
      <c r="AE28" s="3"/>
      <c r="AF28" s="3"/>
      <c r="AG28" s="3"/>
      <c r="AH28" s="3"/>
    </row>
    <row r="29" spans="1:34" ht="15.75" customHeight="1" x14ac:dyDescent="0.25">
      <c r="A29" s="3"/>
      <c r="B29" s="2346" t="s">
        <v>906</v>
      </c>
      <c r="C29" s="2344"/>
      <c r="D29" s="2344"/>
      <c r="E29" s="2344"/>
      <c r="F29" s="2347"/>
      <c r="G29" s="170"/>
      <c r="H29" s="3"/>
      <c r="I29" s="3"/>
      <c r="J29" s="3"/>
      <c r="K29" s="3"/>
      <c r="L29" s="992"/>
      <c r="M29" s="3"/>
      <c r="N29" s="3"/>
      <c r="O29" s="3"/>
      <c r="P29" s="3"/>
      <c r="Q29" s="3"/>
      <c r="R29" s="3"/>
      <c r="S29" s="3"/>
      <c r="T29" s="3"/>
      <c r="U29" s="3"/>
      <c r="V29" s="3"/>
      <c r="W29" s="3"/>
      <c r="X29" s="3"/>
      <c r="Y29" s="3"/>
      <c r="Z29" s="3"/>
      <c r="AA29" s="3"/>
      <c r="AB29" s="3"/>
      <c r="AC29" s="3"/>
      <c r="AD29" s="3"/>
      <c r="AE29" s="3"/>
      <c r="AF29" s="3"/>
      <c r="AG29" s="3"/>
      <c r="AH29" s="3"/>
    </row>
    <row r="30" spans="1:34" ht="15.75" customHeight="1" x14ac:dyDescent="0.25">
      <c r="A30" s="3"/>
      <c r="B30" s="3"/>
      <c r="C30" s="3"/>
      <c r="D30" s="12"/>
      <c r="E30" s="12"/>
      <c r="F30" s="12"/>
      <c r="G30" s="12"/>
      <c r="H30" s="3"/>
      <c r="I30" s="3"/>
      <c r="J30" s="3"/>
      <c r="K30" s="3"/>
      <c r="L30" s="3"/>
      <c r="M30" s="992"/>
      <c r="N30" s="992"/>
      <c r="O30" s="992"/>
      <c r="P30" s="992"/>
      <c r="Q30" s="992"/>
      <c r="R30" s="992"/>
      <c r="S30" s="992"/>
      <c r="T30" s="3"/>
      <c r="U30" s="992"/>
      <c r="V30" s="992"/>
      <c r="W30" s="992"/>
      <c r="X30" s="3"/>
      <c r="Y30" s="3"/>
      <c r="Z30" s="3"/>
      <c r="AA30" s="3"/>
      <c r="AB30" s="3"/>
      <c r="AC30" s="3"/>
      <c r="AD30" s="3"/>
      <c r="AE30" s="3"/>
      <c r="AF30" s="3"/>
      <c r="AG30" s="3"/>
      <c r="AH30" s="3"/>
    </row>
    <row r="31" spans="1:34" ht="30" customHeight="1" x14ac:dyDescent="0.25">
      <c r="A31" s="3"/>
      <c r="B31" s="881" t="s">
        <v>834</v>
      </c>
      <c r="C31" s="982" t="s">
        <v>835</v>
      </c>
      <c r="D31" s="2321" t="s">
        <v>836</v>
      </c>
      <c r="E31" s="2333"/>
      <c r="F31" s="2334" t="s">
        <v>837</v>
      </c>
      <c r="G31" s="2333"/>
      <c r="H31" s="3"/>
      <c r="I31" s="985" t="s">
        <v>838</v>
      </c>
      <c r="J31" s="3"/>
      <c r="K31" s="987" t="s">
        <v>839</v>
      </c>
      <c r="L31" s="3"/>
      <c r="M31" s="988" t="s">
        <v>911</v>
      </c>
      <c r="N31" s="3"/>
      <c r="O31" s="3"/>
      <c r="P31" s="3"/>
      <c r="Q31" s="3"/>
      <c r="R31" s="3"/>
      <c r="S31" s="3"/>
      <c r="T31" s="3"/>
      <c r="U31" s="3"/>
      <c r="V31" s="3"/>
      <c r="W31" s="3"/>
      <c r="X31" s="3"/>
      <c r="Y31" s="3"/>
      <c r="Z31" s="3"/>
      <c r="AA31" s="3"/>
      <c r="AB31" s="3"/>
      <c r="AC31" s="3"/>
      <c r="AD31" s="3"/>
      <c r="AE31" s="3"/>
      <c r="AF31" s="3"/>
      <c r="AG31" s="3"/>
      <c r="AH31" s="3"/>
    </row>
    <row r="32" spans="1:34" ht="15.75" customHeight="1" x14ac:dyDescent="0.25">
      <c r="A32" s="3"/>
      <c r="B32" s="179" t="s">
        <v>912</v>
      </c>
      <c r="C32" s="700">
        <v>2011</v>
      </c>
      <c r="D32" s="2335" t="s">
        <v>843</v>
      </c>
      <c r="E32" s="2336"/>
      <c r="F32" s="2337" t="s">
        <v>913</v>
      </c>
      <c r="G32" s="2336"/>
      <c r="H32" s="3"/>
      <c r="I32" s="394">
        <v>11621000</v>
      </c>
      <c r="J32" s="3"/>
      <c r="K32" s="1058">
        <f t="shared" ref="K32:K39" si="5">I32/$I$37</f>
        <v>2.0373350724576703E-2</v>
      </c>
      <c r="L32" s="3"/>
      <c r="M32" s="1000">
        <f t="shared" ref="M32:M36" si="6">I32/SUM($I$32:$I$36)</f>
        <v>5.0390451394771378E-2</v>
      </c>
      <c r="N32" s="3"/>
      <c r="O32" s="3"/>
      <c r="P32" s="3"/>
      <c r="Q32" s="3"/>
      <c r="R32" s="3"/>
      <c r="S32" s="3"/>
      <c r="T32" s="3"/>
      <c r="U32" s="3"/>
      <c r="V32" s="3"/>
      <c r="W32" s="3"/>
      <c r="X32" s="3"/>
      <c r="Y32" s="3"/>
      <c r="Z32" s="3"/>
      <c r="AA32" s="3"/>
      <c r="AB32" s="3"/>
      <c r="AC32" s="3"/>
      <c r="AD32" s="3"/>
      <c r="AE32" s="3"/>
      <c r="AF32" s="3"/>
      <c r="AG32" s="3"/>
      <c r="AH32" s="3"/>
    </row>
    <row r="33" spans="1:34" ht="15.75" customHeight="1" x14ac:dyDescent="0.25">
      <c r="A33" s="3"/>
      <c r="B33" s="179" t="s">
        <v>912</v>
      </c>
      <c r="C33" s="378">
        <v>2011</v>
      </c>
      <c r="D33" s="2323" t="s">
        <v>854</v>
      </c>
      <c r="E33" s="2324"/>
      <c r="F33" s="2338" t="s">
        <v>924</v>
      </c>
      <c r="G33" s="2324"/>
      <c r="H33" s="3"/>
      <c r="I33" s="1062">
        <v>189703064.09999999</v>
      </c>
      <c r="J33" s="3"/>
      <c r="K33" s="998">
        <f t="shared" si="5"/>
        <v>0.33257783826143666</v>
      </c>
      <c r="L33" s="3"/>
      <c r="M33" s="596">
        <f t="shared" si="6"/>
        <v>0.82258179424922551</v>
      </c>
      <c r="N33" s="3"/>
      <c r="O33" s="3"/>
      <c r="P33" s="3"/>
      <c r="Q33" s="3"/>
      <c r="R33" s="3"/>
      <c r="S33" s="3"/>
      <c r="T33" s="3"/>
      <c r="U33" s="3"/>
      <c r="V33" s="3"/>
      <c r="W33" s="3"/>
      <c r="X33" s="3"/>
      <c r="Y33" s="3"/>
      <c r="Z33" s="3"/>
      <c r="AA33" s="3"/>
      <c r="AB33" s="3"/>
      <c r="AC33" s="3"/>
      <c r="AD33" s="3"/>
      <c r="AE33" s="3"/>
      <c r="AF33" s="3"/>
      <c r="AG33" s="3"/>
      <c r="AH33" s="3"/>
    </row>
    <row r="34" spans="1:34" ht="15.75" customHeight="1" x14ac:dyDescent="0.25">
      <c r="A34" s="3"/>
      <c r="B34" s="179" t="s">
        <v>912</v>
      </c>
      <c r="C34" s="378">
        <v>2011</v>
      </c>
      <c r="D34" s="2323" t="s">
        <v>858</v>
      </c>
      <c r="E34" s="2324"/>
      <c r="F34" s="2338" t="s">
        <v>926</v>
      </c>
      <c r="G34" s="2324"/>
      <c r="H34" s="3"/>
      <c r="I34" s="313">
        <v>6818999</v>
      </c>
      <c r="J34" s="3"/>
      <c r="K34" s="998">
        <f t="shared" si="5"/>
        <v>1.1954724913306755E-2</v>
      </c>
      <c r="L34" s="3"/>
      <c r="M34" s="596">
        <f t="shared" si="6"/>
        <v>2.9568233170165617E-2</v>
      </c>
      <c r="N34" s="3"/>
      <c r="O34" s="3"/>
      <c r="P34" s="3"/>
      <c r="Q34" s="3"/>
      <c r="R34" s="3"/>
      <c r="S34" s="3"/>
      <c r="T34" s="3"/>
      <c r="U34" s="3"/>
      <c r="V34" s="3"/>
      <c r="W34" s="3"/>
      <c r="X34" s="3"/>
      <c r="Y34" s="3"/>
      <c r="Z34" s="3"/>
      <c r="AA34" s="3"/>
      <c r="AB34" s="3"/>
      <c r="AC34" s="3"/>
      <c r="AD34" s="3"/>
      <c r="AE34" s="3"/>
      <c r="AF34" s="3"/>
      <c r="AG34" s="3"/>
      <c r="AH34" s="3"/>
    </row>
    <row r="35" spans="1:34" ht="15.75" customHeight="1" x14ac:dyDescent="0.25">
      <c r="A35" s="3"/>
      <c r="B35" s="1069" t="s">
        <v>928</v>
      </c>
      <c r="C35" s="378">
        <v>2011</v>
      </c>
      <c r="D35" s="2323" t="s">
        <v>929</v>
      </c>
      <c r="E35" s="2324"/>
      <c r="F35" s="2338" t="s">
        <v>930</v>
      </c>
      <c r="G35" s="2324"/>
      <c r="H35" s="3"/>
      <c r="I35" s="1073">
        <v>18081260</v>
      </c>
      <c r="J35" s="3"/>
      <c r="K35" s="998">
        <f t="shared" si="5"/>
        <v>3.1699152527515685E-2</v>
      </c>
      <c r="L35" s="3"/>
      <c r="M35" s="596">
        <f t="shared" si="6"/>
        <v>7.8403136837296619E-2</v>
      </c>
      <c r="N35" s="3"/>
      <c r="O35" s="3"/>
      <c r="P35" s="3"/>
      <c r="Q35" s="3"/>
      <c r="R35" s="3"/>
      <c r="S35" s="3"/>
      <c r="T35" s="3"/>
      <c r="U35" s="3"/>
      <c r="V35" s="3"/>
      <c r="W35" s="3"/>
      <c r="X35" s="3"/>
      <c r="Y35" s="3"/>
      <c r="Z35" s="3"/>
      <c r="AA35" s="3"/>
      <c r="AB35" s="3"/>
      <c r="AC35" s="3"/>
      <c r="AD35" s="3"/>
      <c r="AE35" s="3"/>
      <c r="AF35" s="3"/>
      <c r="AG35" s="3"/>
      <c r="AH35" s="3"/>
    </row>
    <row r="36" spans="1:34" ht="15.75" customHeight="1" x14ac:dyDescent="0.25">
      <c r="A36" s="3"/>
      <c r="B36" s="179" t="s">
        <v>912</v>
      </c>
      <c r="C36" s="1010">
        <v>2011</v>
      </c>
      <c r="D36" s="2325" t="s">
        <v>932</v>
      </c>
      <c r="E36" s="2300"/>
      <c r="F36" s="2348" t="s">
        <v>933</v>
      </c>
      <c r="G36" s="2300"/>
      <c r="H36" s="3"/>
      <c r="I36" s="539">
        <v>4394766</v>
      </c>
      <c r="J36" s="3"/>
      <c r="K36" s="1015">
        <f t="shared" si="5"/>
        <v>7.7046819611431934E-3</v>
      </c>
      <c r="L36" s="3"/>
      <c r="M36" s="1016">
        <f t="shared" si="6"/>
        <v>1.9056384348540904E-2</v>
      </c>
      <c r="N36" s="3"/>
      <c r="O36" s="3"/>
      <c r="P36" s="3"/>
      <c r="Q36" s="3"/>
      <c r="R36" s="3"/>
      <c r="S36" s="3"/>
      <c r="T36" s="3"/>
      <c r="U36" s="3"/>
      <c r="V36" s="3"/>
      <c r="W36" s="3"/>
      <c r="X36" s="3"/>
      <c r="Y36" s="3"/>
      <c r="Z36" s="3"/>
      <c r="AA36" s="3"/>
      <c r="AB36" s="3"/>
      <c r="AC36" s="3"/>
      <c r="AD36" s="3"/>
      <c r="AE36" s="3"/>
      <c r="AF36" s="3"/>
      <c r="AG36" s="3"/>
      <c r="AH36" s="3"/>
    </row>
    <row r="37" spans="1:34" ht="15.75" customHeight="1" x14ac:dyDescent="0.25">
      <c r="A37" s="3"/>
      <c r="B37" s="113" t="s">
        <v>935</v>
      </c>
      <c r="C37" s="1002">
        <v>2011</v>
      </c>
      <c r="D37" s="2326" t="s">
        <v>936</v>
      </c>
      <c r="E37" s="2327"/>
      <c r="F37" s="2341" t="s">
        <v>881</v>
      </c>
      <c r="G37" s="2324"/>
      <c r="H37" s="3"/>
      <c r="I37" s="118">
        <f>C6*42*1000</f>
        <v>570402000</v>
      </c>
      <c r="J37" s="3"/>
      <c r="K37" s="998">
        <f t="shared" si="5"/>
        <v>1</v>
      </c>
      <c r="L37" s="3"/>
      <c r="M37" s="179"/>
      <c r="N37" s="3"/>
      <c r="O37" s="3"/>
      <c r="P37" s="3"/>
      <c r="Q37" s="3"/>
      <c r="R37" s="3"/>
      <c r="S37" s="3"/>
      <c r="T37" s="3"/>
      <c r="U37" s="3"/>
      <c r="V37" s="3"/>
      <c r="W37" s="3"/>
      <c r="X37" s="3"/>
      <c r="Y37" s="3"/>
      <c r="Z37" s="3"/>
      <c r="AA37" s="3"/>
      <c r="AB37" s="3"/>
      <c r="AC37" s="3"/>
      <c r="AD37" s="3"/>
      <c r="AE37" s="3"/>
      <c r="AF37" s="3"/>
      <c r="AG37" s="3"/>
      <c r="AH37" s="3"/>
    </row>
    <row r="38" spans="1:34" ht="15.75" customHeight="1" x14ac:dyDescent="0.25">
      <c r="A38" s="3"/>
      <c r="B38" s="1027" t="s">
        <v>886</v>
      </c>
      <c r="C38" s="462">
        <v>2011</v>
      </c>
      <c r="D38" s="2328" t="s">
        <v>939</v>
      </c>
      <c r="E38" s="2307"/>
      <c r="F38" s="2342" t="s">
        <v>881</v>
      </c>
      <c r="G38" s="2307"/>
      <c r="H38" s="3"/>
      <c r="I38" s="1087">
        <v>528232000</v>
      </c>
      <c r="J38" s="3"/>
      <c r="K38" s="1023">
        <f t="shared" si="5"/>
        <v>0.92606968418764313</v>
      </c>
      <c r="L38" s="3"/>
      <c r="M38" s="292"/>
      <c r="N38" s="3"/>
      <c r="O38" s="3"/>
      <c r="P38" s="3"/>
      <c r="Q38" s="3"/>
      <c r="R38" s="3"/>
      <c r="S38" s="3"/>
      <c r="T38" s="3"/>
      <c r="U38" s="3"/>
      <c r="V38" s="3"/>
      <c r="W38" s="3"/>
      <c r="X38" s="3"/>
      <c r="Y38" s="3"/>
      <c r="Z38" s="3"/>
      <c r="AA38" s="3"/>
      <c r="AB38" s="3"/>
      <c r="AC38" s="3"/>
      <c r="AD38" s="3"/>
      <c r="AE38" s="3"/>
      <c r="AF38" s="3"/>
      <c r="AG38" s="3"/>
      <c r="AH38" s="3"/>
    </row>
    <row r="39" spans="1:34" ht="15.75" customHeight="1" x14ac:dyDescent="0.25">
      <c r="A39" s="3"/>
      <c r="B39" s="461" t="s">
        <v>941</v>
      </c>
      <c r="C39" s="1030">
        <v>2011</v>
      </c>
      <c r="D39" s="2328" t="s">
        <v>943</v>
      </c>
      <c r="E39" s="2307"/>
      <c r="F39" s="2342" t="s">
        <v>881</v>
      </c>
      <c r="G39" s="2307"/>
      <c r="H39" s="179"/>
      <c r="I39" s="463">
        <f>I37-I38</f>
        <v>42170000</v>
      </c>
      <c r="J39" s="179"/>
      <c r="K39" s="1035">
        <f t="shared" si="5"/>
        <v>7.39303158123569E-2</v>
      </c>
      <c r="L39" s="179"/>
      <c r="M39" s="1039">
        <f>SUM(M32:M36)</f>
        <v>1</v>
      </c>
      <c r="N39" s="3"/>
      <c r="O39" s="3"/>
      <c r="P39" s="3"/>
      <c r="Q39" s="3"/>
      <c r="R39" s="3"/>
      <c r="S39" s="3"/>
      <c r="T39" s="3"/>
      <c r="U39" s="3"/>
      <c r="V39" s="3"/>
      <c r="W39" s="3"/>
      <c r="X39" s="3"/>
      <c r="Y39" s="3"/>
      <c r="Z39" s="3"/>
      <c r="AA39" s="3"/>
      <c r="AB39" s="3"/>
      <c r="AC39" s="3"/>
      <c r="AD39" s="3"/>
      <c r="AE39" s="3"/>
      <c r="AF39" s="3"/>
      <c r="AG39" s="3"/>
      <c r="AH39" s="3"/>
    </row>
    <row r="40" spans="1:34" ht="15.75" customHeight="1" x14ac:dyDescent="0.25">
      <c r="A40" s="3"/>
      <c r="B40" s="3"/>
      <c r="C40" s="3"/>
      <c r="D40" s="3"/>
      <c r="E40" s="3"/>
      <c r="F40" s="3"/>
      <c r="G40" s="3"/>
      <c r="H40" s="3"/>
      <c r="I40" s="170"/>
      <c r="J40" s="3"/>
      <c r="K40" s="110"/>
      <c r="L40" s="3"/>
      <c r="M40" s="3"/>
      <c r="N40" s="3"/>
      <c r="O40" s="3"/>
      <c r="P40" s="3"/>
      <c r="Q40" s="3"/>
      <c r="R40" s="3"/>
      <c r="S40" s="3"/>
      <c r="T40" s="3"/>
      <c r="U40" s="3"/>
      <c r="V40" s="3"/>
      <c r="W40" s="3"/>
      <c r="X40" s="3"/>
      <c r="Y40" s="3"/>
      <c r="Z40" s="3"/>
      <c r="AA40" s="3"/>
      <c r="AB40" s="3"/>
      <c r="AC40" s="3"/>
      <c r="AD40" s="3"/>
      <c r="AE40" s="3"/>
      <c r="AF40" s="3"/>
      <c r="AG40" s="3"/>
      <c r="AH40" s="3"/>
    </row>
    <row r="41" spans="1:34" ht="15.75" customHeight="1" x14ac:dyDescent="0.25">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ht="15.75" customHeight="1" x14ac:dyDescent="0.25">
      <c r="A42" s="3"/>
      <c r="B42" s="3"/>
      <c r="C42" s="1002">
        <v>2011</v>
      </c>
      <c r="D42" s="2329" t="s">
        <v>949</v>
      </c>
      <c r="E42" s="2324"/>
      <c r="F42" s="2343" t="s">
        <v>205</v>
      </c>
      <c r="G42" s="2344"/>
      <c r="H42" s="2327"/>
      <c r="I42" s="1093">
        <f>SUM(I32:I35)</f>
        <v>226224323.09999999</v>
      </c>
      <c r="J42" s="3"/>
      <c r="K42" s="170"/>
      <c r="L42" s="3"/>
      <c r="M42" s="3"/>
      <c r="N42" s="3"/>
      <c r="O42" s="3"/>
      <c r="P42" s="3"/>
      <c r="Q42" s="3"/>
      <c r="R42" s="3"/>
      <c r="S42" s="3"/>
      <c r="T42" s="3"/>
      <c r="U42" s="3"/>
      <c r="V42" s="3"/>
      <c r="W42" s="3"/>
      <c r="X42" s="3"/>
      <c r="Y42" s="3"/>
      <c r="Z42" s="3"/>
      <c r="AA42" s="3"/>
      <c r="AB42" s="3"/>
      <c r="AC42" s="3"/>
      <c r="AD42" s="3"/>
      <c r="AE42" s="3"/>
      <c r="AF42" s="3"/>
      <c r="AG42" s="3"/>
      <c r="AH42" s="3"/>
    </row>
    <row r="43" spans="1:34" ht="15.75" customHeight="1" x14ac:dyDescent="0.25">
      <c r="A43" s="3"/>
      <c r="B43" s="3"/>
      <c r="C43" s="1002">
        <v>2011</v>
      </c>
      <c r="D43" s="2339" t="s">
        <v>929</v>
      </c>
      <c r="E43" s="2324"/>
      <c r="F43" s="2338" t="s">
        <v>829</v>
      </c>
      <c r="G43" s="2317"/>
      <c r="H43" s="2324"/>
      <c r="I43" s="1094">
        <v>0</v>
      </c>
      <c r="J43" s="1097"/>
      <c r="K43" s="3"/>
      <c r="L43" s="3"/>
      <c r="M43" s="3"/>
      <c r="N43" s="3"/>
      <c r="O43" s="3"/>
      <c r="P43" s="3"/>
      <c r="Q43" s="3"/>
      <c r="R43" s="3"/>
      <c r="S43" s="3"/>
      <c r="T43" s="3"/>
      <c r="U43" s="3"/>
      <c r="V43" s="3"/>
      <c r="W43" s="3"/>
      <c r="X43" s="3"/>
      <c r="Y43" s="3"/>
      <c r="Z43" s="3"/>
      <c r="AA43" s="3"/>
      <c r="AB43" s="3"/>
      <c r="AC43" s="3"/>
      <c r="AD43" s="3"/>
      <c r="AE43" s="3"/>
      <c r="AF43" s="3"/>
      <c r="AG43" s="3"/>
      <c r="AH43" s="3"/>
    </row>
    <row r="44" spans="1:34" ht="15.75" customHeight="1" x14ac:dyDescent="0.25">
      <c r="A44" s="3"/>
      <c r="B44" s="461" t="s">
        <v>935</v>
      </c>
      <c r="C44" s="1002">
        <v>2011</v>
      </c>
      <c r="D44" s="2339" t="s">
        <v>932</v>
      </c>
      <c r="E44" s="2324"/>
      <c r="F44" s="1102" t="s">
        <v>954</v>
      </c>
      <c r="G44" s="3"/>
      <c r="H44" s="3"/>
      <c r="I44" s="1106">
        <f>C14*42*1000</f>
        <v>10710000</v>
      </c>
      <c r="J44" s="170"/>
      <c r="K44" s="170"/>
      <c r="L44" s="3"/>
      <c r="M44" s="3"/>
      <c r="N44" s="3"/>
      <c r="O44" s="3"/>
      <c r="P44" s="3"/>
      <c r="Q44" s="3"/>
      <c r="R44" s="3"/>
      <c r="S44" s="3"/>
      <c r="T44" s="3"/>
      <c r="U44" s="3"/>
      <c r="V44" s="3"/>
      <c r="W44" s="3"/>
      <c r="X44" s="3"/>
      <c r="Y44" s="3"/>
      <c r="Z44" s="3"/>
      <c r="AA44" s="3"/>
      <c r="AB44" s="3"/>
      <c r="AC44" s="3"/>
      <c r="AD44" s="3"/>
      <c r="AE44" s="3"/>
      <c r="AF44" s="3"/>
      <c r="AG44" s="3"/>
      <c r="AH44" s="3"/>
    </row>
    <row r="45" spans="1:34" ht="15.75" customHeight="1" x14ac:dyDescent="0.25">
      <c r="A45" s="12"/>
      <c r="B45" s="12"/>
      <c r="C45" s="12"/>
      <c r="D45" s="2340" t="s">
        <v>964</v>
      </c>
      <c r="E45" s="2333"/>
      <c r="F45" s="2330" t="s">
        <v>205</v>
      </c>
      <c r="G45" s="2331"/>
      <c r="H45" s="2332"/>
      <c r="I45" s="1110">
        <f>SUM(I43:I44)</f>
        <v>10710000</v>
      </c>
      <c r="J45" s="1111"/>
      <c r="K45" s="12"/>
      <c r="L45" s="12"/>
      <c r="M45" s="12"/>
      <c r="N45" s="3"/>
      <c r="O45" s="3"/>
      <c r="P45" s="3"/>
      <c r="Q45" s="3"/>
      <c r="R45" s="3"/>
      <c r="S45" s="3"/>
      <c r="T45" s="3"/>
      <c r="U45" s="3"/>
      <c r="V45" s="3"/>
      <c r="W45" s="3"/>
      <c r="X45" s="3"/>
      <c r="Y45" s="3"/>
      <c r="Z45" s="3"/>
      <c r="AA45" s="3"/>
      <c r="AB45" s="3"/>
      <c r="AC45" s="3"/>
      <c r="AD45" s="3"/>
      <c r="AE45" s="3"/>
      <c r="AF45" s="3"/>
      <c r="AG45" s="3"/>
      <c r="AH45" s="3"/>
    </row>
    <row r="46" spans="1:34" ht="15.75" customHeight="1" x14ac:dyDescent="0.25">
      <c r="A46" s="3"/>
      <c r="B46" s="400" t="s">
        <v>965</v>
      </c>
      <c r="C46" s="3"/>
      <c r="D46" s="3"/>
      <c r="E46" s="3"/>
      <c r="F46" s="3"/>
      <c r="G46" s="3"/>
      <c r="H46" s="3"/>
      <c r="I46" s="3"/>
      <c r="J46" s="170"/>
      <c r="K46" s="3"/>
      <c r="L46" s="3"/>
      <c r="M46" s="3"/>
      <c r="N46" s="3"/>
      <c r="O46" s="3"/>
      <c r="P46" s="3"/>
      <c r="Q46" s="3"/>
      <c r="R46" s="3"/>
      <c r="S46" s="3"/>
      <c r="T46" s="3"/>
      <c r="U46" s="3"/>
      <c r="V46" s="3"/>
      <c r="W46" s="3"/>
      <c r="X46" s="3"/>
      <c r="Y46" s="3"/>
      <c r="Z46" s="3"/>
      <c r="AA46" s="3"/>
      <c r="AB46" s="3"/>
      <c r="AC46" s="3"/>
      <c r="AD46" s="3"/>
      <c r="AE46" s="3"/>
      <c r="AF46" s="3"/>
      <c r="AG46" s="3"/>
      <c r="AH46" s="3"/>
    </row>
    <row r="47" spans="1:34" ht="15.75" customHeight="1" x14ac:dyDescent="0.25">
      <c r="A47" s="3"/>
      <c r="B47" s="1115" t="s">
        <v>867</v>
      </c>
      <c r="C47" s="863">
        <v>124238</v>
      </c>
      <c r="D47" s="3" t="s">
        <v>968</v>
      </c>
      <c r="E47" s="3"/>
      <c r="F47" s="3"/>
      <c r="G47" s="3"/>
      <c r="H47" s="3"/>
      <c r="I47" s="3"/>
      <c r="J47" s="170"/>
      <c r="K47" s="3"/>
      <c r="L47" s="3"/>
      <c r="M47" s="3"/>
      <c r="N47" s="3"/>
      <c r="O47" s="3"/>
      <c r="P47" s="3"/>
      <c r="Q47" s="3"/>
      <c r="R47" s="3"/>
      <c r="S47" s="3"/>
      <c r="T47" s="3"/>
      <c r="U47" s="3"/>
      <c r="V47" s="3"/>
      <c r="W47" s="3"/>
      <c r="X47" s="3"/>
      <c r="Y47" s="3"/>
      <c r="Z47" s="3"/>
      <c r="AA47" s="3"/>
      <c r="AB47" s="3"/>
      <c r="AC47" s="3"/>
      <c r="AD47" s="3"/>
      <c r="AE47" s="3"/>
      <c r="AF47" s="3"/>
      <c r="AG47" s="3"/>
      <c r="AH47" s="3"/>
    </row>
    <row r="48" spans="1:34" ht="15.75" customHeight="1" x14ac:dyDescent="0.25">
      <c r="A48" s="3"/>
      <c r="B48" s="1115" t="s">
        <v>65</v>
      </c>
      <c r="C48" s="863">
        <v>138690</v>
      </c>
      <c r="D48" s="3" t="s">
        <v>968</v>
      </c>
      <c r="E48" s="3"/>
      <c r="F48" s="3"/>
      <c r="G48" s="3"/>
      <c r="H48" s="3"/>
      <c r="I48" s="170"/>
      <c r="J48" s="170"/>
      <c r="K48" s="3"/>
      <c r="L48" s="3"/>
      <c r="M48" s="3"/>
      <c r="N48" s="3"/>
      <c r="O48" s="3"/>
      <c r="P48" s="3"/>
      <c r="Q48" s="3"/>
      <c r="R48" s="3"/>
      <c r="S48" s="3"/>
      <c r="T48" s="3"/>
      <c r="U48" s="3"/>
      <c r="V48" s="3"/>
      <c r="W48" s="3"/>
      <c r="X48" s="3"/>
      <c r="Y48" s="3"/>
      <c r="Z48" s="3"/>
      <c r="AA48" s="3"/>
      <c r="AB48" s="3"/>
      <c r="AC48" s="3"/>
      <c r="AD48" s="3"/>
      <c r="AE48" s="3"/>
      <c r="AF48" s="3"/>
      <c r="AG48" s="3"/>
      <c r="AH48" s="3"/>
    </row>
    <row r="49" spans="1:34" ht="15.75" customHeight="1" x14ac:dyDescent="0.25">
      <c r="A49" s="12"/>
      <c r="B49" s="12"/>
      <c r="C49" s="12"/>
      <c r="D49" s="2321"/>
      <c r="E49" s="2322"/>
      <c r="F49" s="12"/>
      <c r="G49" s="12"/>
      <c r="H49" s="12"/>
      <c r="I49" s="12"/>
      <c r="J49" s="12"/>
      <c r="K49" s="12"/>
      <c r="L49" s="12"/>
      <c r="M49" s="12"/>
      <c r="N49" s="3"/>
      <c r="O49" s="3"/>
      <c r="P49" s="3"/>
      <c r="Q49" s="3"/>
      <c r="R49" s="3"/>
      <c r="S49" s="3"/>
      <c r="T49" s="3"/>
      <c r="U49" s="3"/>
      <c r="V49" s="3"/>
      <c r="W49" s="3"/>
      <c r="X49" s="3"/>
      <c r="Y49" s="3"/>
      <c r="Z49" s="3"/>
      <c r="AA49" s="3"/>
      <c r="AB49" s="3"/>
      <c r="AC49" s="3"/>
      <c r="AD49" s="3"/>
      <c r="AE49" s="3"/>
      <c r="AF49" s="3"/>
      <c r="AG49" s="3"/>
      <c r="AH49" s="3"/>
    </row>
    <row r="50" spans="1:34" ht="15.75" customHeight="1" x14ac:dyDescent="0.25">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ht="15.75" customHeight="1" x14ac:dyDescent="0.25">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ht="21" customHeight="1" x14ac:dyDescent="0.4">
      <c r="A52" s="3"/>
      <c r="B52" s="1132" t="s">
        <v>986</v>
      </c>
      <c r="C52" s="1133"/>
      <c r="D52" s="1133"/>
      <c r="E52" s="1133"/>
      <c r="F52" s="1133"/>
      <c r="G52" s="1133"/>
      <c r="H52" s="1133"/>
      <c r="I52" s="1133"/>
      <c r="J52" s="1133"/>
      <c r="K52" s="1133"/>
      <c r="L52" s="1133"/>
      <c r="M52" s="1133"/>
      <c r="N52" s="1133"/>
      <c r="O52" s="1133"/>
      <c r="P52" s="1133"/>
      <c r="Q52" s="1133"/>
      <c r="R52" s="1133"/>
      <c r="S52" s="1133"/>
      <c r="T52" s="1133"/>
      <c r="U52" s="1133"/>
      <c r="V52" s="1133"/>
      <c r="W52" s="1133"/>
      <c r="X52" s="1133"/>
      <c r="Y52" s="1133"/>
      <c r="Z52" s="1133"/>
      <c r="AA52" s="1133"/>
      <c r="AB52" s="1133"/>
      <c r="AC52" s="1133"/>
      <c r="AD52" s="1133"/>
      <c r="AE52" s="1133"/>
      <c r="AF52" s="1133"/>
      <c r="AG52" s="1133"/>
      <c r="AH52" s="1137"/>
    </row>
    <row r="53" spans="1:34" ht="15.75" customHeight="1" x14ac:dyDescent="0.25">
      <c r="A53" s="3"/>
      <c r="B53" s="1138" t="s">
        <v>997</v>
      </c>
      <c r="C53" s="1139"/>
      <c r="D53" s="1139"/>
      <c r="E53" s="1139"/>
      <c r="F53" s="1139"/>
      <c r="G53" s="1139"/>
      <c r="H53" s="1139"/>
      <c r="I53" s="1139"/>
      <c r="J53" s="1139"/>
      <c r="K53" s="1139"/>
      <c r="L53" s="1139"/>
      <c r="M53" s="1139"/>
      <c r="N53" s="1139"/>
      <c r="O53" s="1139"/>
      <c r="P53" s="3"/>
      <c r="Q53" s="3"/>
      <c r="R53" s="3"/>
      <c r="S53" s="3"/>
      <c r="T53" s="3"/>
      <c r="U53" s="3"/>
      <c r="V53" s="3"/>
      <c r="W53" s="3"/>
      <c r="X53" s="3"/>
      <c r="Y53" s="3"/>
      <c r="Z53" s="3"/>
      <c r="AA53" s="3"/>
      <c r="AB53" s="3"/>
      <c r="AC53" s="3"/>
      <c r="AD53" s="3"/>
      <c r="AE53" s="3"/>
      <c r="AF53" s="3"/>
      <c r="AG53" s="3"/>
      <c r="AH53" s="1146"/>
    </row>
    <row r="54" spans="1:34" ht="15.75" customHeight="1" x14ac:dyDescent="0.25">
      <c r="A54" s="3"/>
      <c r="B54" s="1147"/>
      <c r="C54" s="3"/>
      <c r="D54" s="3"/>
      <c r="E54" s="20"/>
      <c r="F54" s="20"/>
      <c r="G54" s="20"/>
      <c r="H54" s="20"/>
      <c r="I54" s="20"/>
      <c r="J54" s="20"/>
      <c r="K54" s="1149"/>
      <c r="L54" s="1150"/>
      <c r="M54" s="1153" t="s">
        <v>1000</v>
      </c>
      <c r="N54" s="1150"/>
      <c r="O54" s="1154"/>
      <c r="P54" s="20"/>
      <c r="Q54" s="1149"/>
      <c r="R54" s="1150"/>
      <c r="S54" s="1150"/>
      <c r="T54" s="1153" t="s">
        <v>1001</v>
      </c>
      <c r="U54" s="1156"/>
      <c r="V54" s="1156"/>
      <c r="W54" s="1156"/>
      <c r="X54" s="1157"/>
      <c r="Y54" s="3"/>
      <c r="Z54" s="1158"/>
      <c r="AA54" s="1160" t="s">
        <v>1002</v>
      </c>
      <c r="AB54" s="1153"/>
      <c r="AC54" s="1153"/>
      <c r="AD54" s="1153"/>
      <c r="AE54" s="1157"/>
      <c r="AF54" s="3"/>
      <c r="AG54" s="1161" t="s">
        <v>1003</v>
      </c>
      <c r="AH54" s="1146"/>
    </row>
    <row r="55" spans="1:34" ht="15.75" customHeight="1" x14ac:dyDescent="0.25">
      <c r="A55" s="3"/>
      <c r="B55" s="1147"/>
      <c r="C55" s="960" t="s">
        <v>685</v>
      </c>
      <c r="D55" s="3"/>
      <c r="E55" s="960" t="s">
        <v>685</v>
      </c>
      <c r="F55" s="960"/>
      <c r="G55" s="960" t="s">
        <v>738</v>
      </c>
      <c r="H55" s="20"/>
      <c r="I55" s="960" t="s">
        <v>739</v>
      </c>
      <c r="J55" s="20"/>
      <c r="K55" s="1163" t="s">
        <v>686</v>
      </c>
      <c r="L55" s="20"/>
      <c r="M55" s="13" t="s">
        <v>686</v>
      </c>
      <c r="N55" s="20"/>
      <c r="O55" s="1166" t="s">
        <v>686</v>
      </c>
      <c r="P55" s="20"/>
      <c r="Q55" s="1167"/>
      <c r="R55" s="20"/>
      <c r="S55" s="20"/>
      <c r="T55" s="3"/>
      <c r="U55" s="3"/>
      <c r="V55" s="3"/>
      <c r="W55" s="3"/>
      <c r="X55" s="1168"/>
      <c r="Y55" s="3"/>
      <c r="Z55" s="1169"/>
      <c r="AA55" s="3"/>
      <c r="AB55" s="3"/>
      <c r="AC55" s="3"/>
      <c r="AD55" s="3"/>
      <c r="AE55" s="1168"/>
      <c r="AF55" s="3"/>
      <c r="AG55" s="1170" t="s">
        <v>1005</v>
      </c>
      <c r="AH55" s="1146"/>
    </row>
    <row r="56" spans="1:34" ht="45" customHeight="1" x14ac:dyDescent="0.25">
      <c r="A56" s="3"/>
      <c r="B56" s="1171" t="s">
        <v>9</v>
      </c>
      <c r="C56" s="960" t="s">
        <v>1006</v>
      </c>
      <c r="D56" s="3"/>
      <c r="E56" s="960" t="s">
        <v>690</v>
      </c>
      <c r="F56" s="20"/>
      <c r="G56" s="960" t="s">
        <v>740</v>
      </c>
      <c r="H56" s="20"/>
      <c r="I56" s="960" t="s">
        <v>741</v>
      </c>
      <c r="J56" s="20"/>
      <c r="K56" s="1172" t="s">
        <v>742</v>
      </c>
      <c r="L56" s="960"/>
      <c r="M56" s="960" t="s">
        <v>1008</v>
      </c>
      <c r="N56" s="20"/>
      <c r="O56" s="1166" t="s">
        <v>1009</v>
      </c>
      <c r="P56" s="20"/>
      <c r="Q56" s="1173" t="s">
        <v>1010</v>
      </c>
      <c r="R56" s="1174" t="s">
        <v>1012</v>
      </c>
      <c r="S56" s="1174" t="s">
        <v>1013</v>
      </c>
      <c r="T56" s="1175" t="s">
        <v>1014</v>
      </c>
      <c r="U56" s="3"/>
      <c r="V56" s="1175" t="s">
        <v>1015</v>
      </c>
      <c r="W56" s="3"/>
      <c r="X56" s="1176" t="s">
        <v>1016</v>
      </c>
      <c r="Y56" s="1174"/>
      <c r="Z56" s="1173" t="s">
        <v>1018</v>
      </c>
      <c r="AA56" s="1175" t="s">
        <v>1019</v>
      </c>
      <c r="AB56" s="3"/>
      <c r="AC56" s="1175" t="s">
        <v>1020</v>
      </c>
      <c r="AD56" s="3"/>
      <c r="AE56" s="1176" t="s">
        <v>1021</v>
      </c>
      <c r="AF56" s="3"/>
      <c r="AG56" s="1177" t="s">
        <v>1022</v>
      </c>
      <c r="AH56" s="1146"/>
    </row>
    <row r="57" spans="1:34" ht="15.75" customHeight="1" x14ac:dyDescent="0.25">
      <c r="A57" s="3"/>
      <c r="B57" s="1147" t="s">
        <v>1023</v>
      </c>
      <c r="C57" s="170">
        <f>E5</f>
        <v>1764000</v>
      </c>
      <c r="D57" s="3"/>
      <c r="E57" s="1179">
        <f>G5</f>
        <v>210</v>
      </c>
      <c r="F57" s="965" t="s">
        <v>904</v>
      </c>
      <c r="G57" s="1181">
        <v>41.53</v>
      </c>
      <c r="H57" s="965" t="s">
        <v>904</v>
      </c>
      <c r="I57" s="1182">
        <v>1</v>
      </c>
      <c r="J57" s="965" t="s">
        <v>889</v>
      </c>
      <c r="K57" s="1186">
        <f t="shared" ref="K57:K73" si="7">E57*1000*G57*I57/2000</f>
        <v>4360.6499999999996</v>
      </c>
      <c r="L57" s="965" t="s">
        <v>889</v>
      </c>
      <c r="M57" s="1038">
        <f t="shared" ref="M57:M73" si="8">K57*0.90718474/1000000</f>
        <v>3.9559151364810001E-3</v>
      </c>
      <c r="N57" s="965" t="s">
        <v>889</v>
      </c>
      <c r="O57" s="1191">
        <f t="shared" ref="O57:O73" si="9">M57*44/12</f>
        <v>1.4505022167097001E-2</v>
      </c>
      <c r="P57" s="20"/>
      <c r="Q57" s="1192">
        <v>22.257999999999999</v>
      </c>
      <c r="R57" s="3"/>
      <c r="S57" s="1193">
        <v>0.04</v>
      </c>
      <c r="T57" s="1194">
        <f>E57*1000*Q57*S57/1000000000</f>
        <v>1.869672E-4</v>
      </c>
      <c r="U57" s="965" t="s">
        <v>889</v>
      </c>
      <c r="V57" s="865">
        <f t="shared" ref="V57:V63" si="10">T57*$P$10*12/44*1000</f>
        <v>13.920557890909091</v>
      </c>
      <c r="W57" s="965" t="s">
        <v>889</v>
      </c>
      <c r="X57" s="1195">
        <f t="shared" ref="X57:X63" si="11">V57*44/12</f>
        <v>51.042045600000002</v>
      </c>
      <c r="Y57" s="1196"/>
      <c r="Z57" s="1197">
        <v>2.64</v>
      </c>
      <c r="AA57" s="1198">
        <f>E57*1000*Q57*Z57/1000000000</f>
        <v>1.2339835200000001E-2</v>
      </c>
      <c r="AB57" s="965" t="s">
        <v>889</v>
      </c>
      <c r="AC57" s="1196">
        <f t="shared" ref="AC57:AC63" si="12">AA57*$P$9*12/44*1000</f>
        <v>93.894927840000008</v>
      </c>
      <c r="AD57" s="965" t="s">
        <v>889</v>
      </c>
      <c r="AE57" s="1201">
        <f t="shared" ref="AE57:AE63" si="13">AC57*44/12</f>
        <v>344.28140208000008</v>
      </c>
      <c r="AF57" s="3" t="s">
        <v>904</v>
      </c>
      <c r="AG57" s="1202">
        <f t="shared" ref="AG57:AG63" si="14">X57+AE57</f>
        <v>395.32344768000007</v>
      </c>
      <c r="AH57" s="1146"/>
    </row>
    <row r="58" spans="1:34" ht="15.75" customHeight="1" x14ac:dyDescent="0.25">
      <c r="A58" s="3"/>
      <c r="B58" s="1147" t="s">
        <v>1031</v>
      </c>
      <c r="C58" s="1204">
        <f t="shared" ref="C58:C62" si="15">I32</f>
        <v>11621000</v>
      </c>
      <c r="D58" s="3"/>
      <c r="E58" s="1179">
        <f t="shared" ref="E58:E62" si="16">C58*$C$48/1000000000</f>
        <v>1611.71649</v>
      </c>
      <c r="F58" s="965" t="s">
        <v>904</v>
      </c>
      <c r="G58" s="1181">
        <v>44.43</v>
      </c>
      <c r="H58" s="965" t="s">
        <v>904</v>
      </c>
      <c r="I58" s="1182">
        <v>1</v>
      </c>
      <c r="J58" s="965" t="s">
        <v>889</v>
      </c>
      <c r="K58" s="1186">
        <f t="shared" si="7"/>
        <v>35804.281825350001</v>
      </c>
      <c r="L58" s="965" t="s">
        <v>889</v>
      </c>
      <c r="M58" s="1038">
        <f t="shared" si="8"/>
        <v>3.2481098098616872E-2</v>
      </c>
      <c r="N58" s="965" t="s">
        <v>889</v>
      </c>
      <c r="O58" s="1191">
        <f t="shared" si="9"/>
        <v>0.11909735969492853</v>
      </c>
      <c r="P58" s="20"/>
      <c r="Q58" s="1169"/>
      <c r="R58" s="1207">
        <v>3.1920000000000002</v>
      </c>
      <c r="S58" s="1208">
        <v>0.08</v>
      </c>
      <c r="T58" s="1194">
        <f t="shared" ref="T58:T62" si="17">C58*R58*S58/1000000000</f>
        <v>2.96753856E-3</v>
      </c>
      <c r="U58" s="965" t="s">
        <v>889</v>
      </c>
      <c r="V58" s="865">
        <f t="shared" si="10"/>
        <v>220.9467346036364</v>
      </c>
      <c r="W58" s="965" t="s">
        <v>889</v>
      </c>
      <c r="X58" s="1195">
        <f t="shared" si="11"/>
        <v>810.13802688000021</v>
      </c>
      <c r="Y58" s="3"/>
      <c r="Z58" s="1197">
        <v>0.45</v>
      </c>
      <c r="AA58" s="1198">
        <f t="shared" ref="AA58:AA62" si="18">C58*R58*Z58/1000000000</f>
        <v>1.6692404399999999E-2</v>
      </c>
      <c r="AB58" s="965" t="s">
        <v>889</v>
      </c>
      <c r="AC58" s="1196">
        <f t="shared" si="12"/>
        <v>127.01402257090908</v>
      </c>
      <c r="AD58" s="965" t="s">
        <v>889</v>
      </c>
      <c r="AE58" s="1201">
        <f t="shared" si="13"/>
        <v>465.71808275999996</v>
      </c>
      <c r="AF58" s="3"/>
      <c r="AG58" s="1202">
        <f t="shared" si="14"/>
        <v>1275.8561096400001</v>
      </c>
      <c r="AH58" s="1146"/>
    </row>
    <row r="59" spans="1:34" ht="15.75" customHeight="1" x14ac:dyDescent="0.25">
      <c r="A59" s="3"/>
      <c r="B59" s="1147" t="s">
        <v>1034</v>
      </c>
      <c r="C59" s="1204">
        <f t="shared" si="15"/>
        <v>189703064.09999999</v>
      </c>
      <c r="D59" s="3"/>
      <c r="E59" s="1179">
        <f t="shared" si="16"/>
        <v>26309.917960029001</v>
      </c>
      <c r="F59" s="965" t="s">
        <v>904</v>
      </c>
      <c r="G59" s="1181">
        <v>44.43</v>
      </c>
      <c r="H59" s="965" t="s">
        <v>904</v>
      </c>
      <c r="I59" s="1182">
        <v>1</v>
      </c>
      <c r="J59" s="965" t="s">
        <v>889</v>
      </c>
      <c r="K59" s="1186">
        <f t="shared" si="7"/>
        <v>584474.82748204435</v>
      </c>
      <c r="L59" s="965" t="s">
        <v>889</v>
      </c>
      <c r="M59" s="1038">
        <f t="shared" si="8"/>
        <v>0.53022664440584322</v>
      </c>
      <c r="N59" s="965" t="s">
        <v>889</v>
      </c>
      <c r="O59" s="1191">
        <f t="shared" si="9"/>
        <v>1.9441643628214251</v>
      </c>
      <c r="P59" s="20"/>
      <c r="Q59" s="1169"/>
      <c r="R59" s="1207">
        <v>3.1920000000000002</v>
      </c>
      <c r="S59" s="1208">
        <v>0.08</v>
      </c>
      <c r="T59" s="1194">
        <f t="shared" si="17"/>
        <v>4.8442574448576005E-2</v>
      </c>
      <c r="U59" s="965" t="s">
        <v>889</v>
      </c>
      <c r="V59" s="865">
        <f t="shared" si="10"/>
        <v>3606.7698612167046</v>
      </c>
      <c r="W59" s="965" t="s">
        <v>889</v>
      </c>
      <c r="X59" s="1195">
        <f t="shared" si="11"/>
        <v>13224.822824461249</v>
      </c>
      <c r="Y59" s="3"/>
      <c r="Z59" s="1197">
        <v>0.45</v>
      </c>
      <c r="AA59" s="1198">
        <f t="shared" si="18"/>
        <v>0.27248948127324002</v>
      </c>
      <c r="AB59" s="965" t="s">
        <v>889</v>
      </c>
      <c r="AC59" s="1196">
        <f t="shared" si="12"/>
        <v>2073.3972347791082</v>
      </c>
      <c r="AD59" s="965" t="s">
        <v>889</v>
      </c>
      <c r="AE59" s="1201">
        <f t="shared" si="13"/>
        <v>7602.4565275233972</v>
      </c>
      <c r="AF59" s="3"/>
      <c r="AG59" s="1202">
        <f t="shared" si="14"/>
        <v>20827.279351984645</v>
      </c>
      <c r="AH59" s="1146"/>
    </row>
    <row r="60" spans="1:34" ht="15.75" customHeight="1" x14ac:dyDescent="0.25">
      <c r="A60" s="3"/>
      <c r="B60" s="1147" t="s">
        <v>1037</v>
      </c>
      <c r="C60" s="1204">
        <f t="shared" si="15"/>
        <v>6818999</v>
      </c>
      <c r="D60" s="3"/>
      <c r="E60" s="1179">
        <f t="shared" si="16"/>
        <v>945.72697130999995</v>
      </c>
      <c r="F60" s="965" t="s">
        <v>904</v>
      </c>
      <c r="G60" s="1181">
        <v>44.43</v>
      </c>
      <c r="H60" s="965" t="s">
        <v>904</v>
      </c>
      <c r="I60" s="1182">
        <v>1</v>
      </c>
      <c r="J60" s="965" t="s">
        <v>889</v>
      </c>
      <c r="K60" s="1186">
        <f t="shared" si="7"/>
        <v>21009.32466765165</v>
      </c>
      <c r="L60" s="965" t="s">
        <v>889</v>
      </c>
      <c r="M60" s="1038">
        <f t="shared" si="8"/>
        <v>1.9059338736199149E-2</v>
      </c>
      <c r="N60" s="965" t="s">
        <v>889</v>
      </c>
      <c r="O60" s="1191">
        <f t="shared" si="9"/>
        <v>6.9884242032730207E-2</v>
      </c>
      <c r="P60" s="20"/>
      <c r="Q60" s="1169"/>
      <c r="R60" s="1207">
        <v>3.1920000000000002</v>
      </c>
      <c r="S60" s="1208">
        <v>0.08</v>
      </c>
      <c r="T60" s="1194">
        <f t="shared" si="17"/>
        <v>1.7412995846400002E-3</v>
      </c>
      <c r="U60" s="965" t="s">
        <v>889</v>
      </c>
      <c r="V60" s="865">
        <f t="shared" si="10"/>
        <v>129.64766907456001</v>
      </c>
      <c r="W60" s="965" t="s">
        <v>889</v>
      </c>
      <c r="X60" s="1195">
        <f t="shared" si="11"/>
        <v>475.37478660672008</v>
      </c>
      <c r="Y60" s="3"/>
      <c r="Z60" s="1197">
        <v>0.18</v>
      </c>
      <c r="AA60" s="1198">
        <f t="shared" si="18"/>
        <v>3.9179240654400004E-3</v>
      </c>
      <c r="AB60" s="965" t="s">
        <v>889</v>
      </c>
      <c r="AC60" s="1196">
        <f t="shared" si="12"/>
        <v>29.811840388847997</v>
      </c>
      <c r="AD60" s="965" t="s">
        <v>889</v>
      </c>
      <c r="AE60" s="1201">
        <f t="shared" si="13"/>
        <v>109.31008142577599</v>
      </c>
      <c r="AF60" s="3"/>
      <c r="AG60" s="1202">
        <f t="shared" si="14"/>
        <v>584.68486803249607</v>
      </c>
      <c r="AH60" s="1146"/>
    </row>
    <row r="61" spans="1:34" ht="15.75" customHeight="1" x14ac:dyDescent="0.25">
      <c r="A61" s="3"/>
      <c r="B61" s="1147" t="s">
        <v>1040</v>
      </c>
      <c r="C61" s="1204">
        <f t="shared" si="15"/>
        <v>18081260</v>
      </c>
      <c r="D61" s="3"/>
      <c r="E61" s="1179">
        <f t="shared" si="16"/>
        <v>2507.6899493999999</v>
      </c>
      <c r="F61" s="965" t="s">
        <v>904</v>
      </c>
      <c r="G61" s="1181">
        <v>44.43</v>
      </c>
      <c r="H61" s="965" t="s">
        <v>904</v>
      </c>
      <c r="I61" s="1182">
        <v>1</v>
      </c>
      <c r="J61" s="965" t="s">
        <v>889</v>
      </c>
      <c r="K61" s="1186">
        <f t="shared" si="7"/>
        <v>55708.332225920996</v>
      </c>
      <c r="L61" s="965" t="s">
        <v>889</v>
      </c>
      <c r="M61" s="1038">
        <f t="shared" si="8"/>
        <v>5.0537748886205762E-2</v>
      </c>
      <c r="N61" s="965" t="s">
        <v>889</v>
      </c>
      <c r="O61" s="1191">
        <f t="shared" si="9"/>
        <v>0.18530507924942111</v>
      </c>
      <c r="P61" s="20"/>
      <c r="Q61" s="1169"/>
      <c r="R61" s="1207">
        <v>3.1920000000000002</v>
      </c>
      <c r="S61" s="1208">
        <v>0.08</v>
      </c>
      <c r="T61" s="1194">
        <f t="shared" si="17"/>
        <v>4.6172305536E-3</v>
      </c>
      <c r="U61" s="965" t="s">
        <v>889</v>
      </c>
      <c r="V61" s="865">
        <f t="shared" si="10"/>
        <v>343.77380212712728</v>
      </c>
      <c r="W61" s="965" t="s">
        <v>889</v>
      </c>
      <c r="X61" s="1195">
        <f t="shared" si="11"/>
        <v>1260.5039411328</v>
      </c>
      <c r="Y61" s="3"/>
      <c r="Z61" s="1197">
        <v>0.25</v>
      </c>
      <c r="AA61" s="1198">
        <f t="shared" si="18"/>
        <v>1.4428845480000001E-2</v>
      </c>
      <c r="AB61" s="965" t="s">
        <v>889</v>
      </c>
      <c r="AC61" s="1196">
        <f t="shared" si="12"/>
        <v>109.79039697054543</v>
      </c>
      <c r="AD61" s="965" t="s">
        <v>889</v>
      </c>
      <c r="AE61" s="1201">
        <f t="shared" si="13"/>
        <v>402.56478889199997</v>
      </c>
      <c r="AF61" s="3"/>
      <c r="AG61" s="1202">
        <f t="shared" si="14"/>
        <v>1663.0687300248001</v>
      </c>
      <c r="AH61" s="1146"/>
    </row>
    <row r="62" spans="1:34" ht="15.75" customHeight="1" x14ac:dyDescent="0.25">
      <c r="A62" s="3"/>
      <c r="B62" s="1147" t="s">
        <v>1041</v>
      </c>
      <c r="C62" s="1204">
        <f t="shared" si="15"/>
        <v>4394766</v>
      </c>
      <c r="D62" s="3"/>
      <c r="E62" s="1179">
        <f t="shared" si="16"/>
        <v>609.51009653999995</v>
      </c>
      <c r="F62" s="965" t="s">
        <v>904</v>
      </c>
      <c r="G62" s="1181">
        <v>44.43</v>
      </c>
      <c r="H62" s="965" t="s">
        <v>904</v>
      </c>
      <c r="I62" s="1182">
        <v>1</v>
      </c>
      <c r="J62" s="965" t="s">
        <v>889</v>
      </c>
      <c r="K62" s="1186">
        <f t="shared" si="7"/>
        <v>13540.266794636098</v>
      </c>
      <c r="L62" s="965" t="s">
        <v>889</v>
      </c>
      <c r="M62" s="1038">
        <f t="shared" si="8"/>
        <v>1.2283523411622583E-2</v>
      </c>
      <c r="N62" s="965" t="s">
        <v>889</v>
      </c>
      <c r="O62" s="1191">
        <f t="shared" si="9"/>
        <v>4.5039585842616137E-2</v>
      </c>
      <c r="P62" s="20"/>
      <c r="Q62" s="1169"/>
      <c r="R62" s="1207">
        <v>3.1920000000000002</v>
      </c>
      <c r="S62" s="1208">
        <v>0.08</v>
      </c>
      <c r="T62" s="1194">
        <f t="shared" si="17"/>
        <v>1.1222474457600001E-3</v>
      </c>
      <c r="U62" s="965" t="s">
        <v>889</v>
      </c>
      <c r="V62" s="865">
        <f t="shared" si="10"/>
        <v>83.556423461585453</v>
      </c>
      <c r="W62" s="965" t="s">
        <v>889</v>
      </c>
      <c r="X62" s="1195">
        <f t="shared" si="11"/>
        <v>306.37355269248002</v>
      </c>
      <c r="Y62" s="3"/>
      <c r="Z62" s="1197">
        <v>0.23</v>
      </c>
      <c r="AA62" s="1198">
        <f t="shared" si="18"/>
        <v>3.2264614065600004E-3</v>
      </c>
      <c r="AB62" s="965" t="s">
        <v>889</v>
      </c>
      <c r="AC62" s="1196">
        <f t="shared" si="12"/>
        <v>24.550438157188367</v>
      </c>
      <c r="AD62" s="965" t="s">
        <v>889</v>
      </c>
      <c r="AE62" s="1201">
        <f t="shared" si="13"/>
        <v>90.018273243024012</v>
      </c>
      <c r="AF62" s="3"/>
      <c r="AG62" s="1202">
        <f t="shared" si="14"/>
        <v>396.39182593550402</v>
      </c>
      <c r="AH62" s="1146"/>
    </row>
    <row r="63" spans="1:34" ht="15.75" customHeight="1" x14ac:dyDescent="0.25">
      <c r="A63" s="3"/>
      <c r="B63" s="1147" t="s">
        <v>1042</v>
      </c>
      <c r="C63" s="170">
        <f>C8</f>
        <v>5903</v>
      </c>
      <c r="D63" s="3"/>
      <c r="E63" s="1179">
        <f>G8</f>
        <v>33468</v>
      </c>
      <c r="F63" s="965" t="s">
        <v>904</v>
      </c>
      <c r="G63" s="730">
        <v>43.431818181818173</v>
      </c>
      <c r="H63" s="965" t="s">
        <v>904</v>
      </c>
      <c r="I63" s="1182">
        <v>1</v>
      </c>
      <c r="J63" s="965" t="s">
        <v>889</v>
      </c>
      <c r="K63" s="1186">
        <f t="shared" si="7"/>
        <v>726788.0454545453</v>
      </c>
      <c r="L63" s="965" t="s">
        <v>889</v>
      </c>
      <c r="M63" s="1038">
        <f t="shared" si="8"/>
        <v>0.65933102405078992</v>
      </c>
      <c r="N63" s="965" t="s">
        <v>889</v>
      </c>
      <c r="O63" s="1191">
        <f t="shared" si="9"/>
        <v>2.4175470881862298</v>
      </c>
      <c r="P63" s="20"/>
      <c r="Q63" s="1192">
        <v>22.24</v>
      </c>
      <c r="R63" s="3"/>
      <c r="S63" s="1193">
        <v>0.1</v>
      </c>
      <c r="T63" s="1194">
        <f>E63*1000*Q63*S63/1000000000</f>
        <v>7.4432832000000004E-2</v>
      </c>
      <c r="U63" s="965" t="s">
        <v>889</v>
      </c>
      <c r="V63" s="865">
        <f t="shared" si="10"/>
        <v>5541.8626734545451</v>
      </c>
      <c r="W63" s="965" t="s">
        <v>889</v>
      </c>
      <c r="X63" s="1195">
        <f t="shared" si="11"/>
        <v>20320.163135999999</v>
      </c>
      <c r="Y63" s="3"/>
      <c r="Z63" s="1197">
        <v>8.7000000000000008E-2</v>
      </c>
      <c r="AA63" s="1198">
        <f>E63*1000*Q63*Z63/1000000000</f>
        <v>6.4756563840000003E-2</v>
      </c>
      <c r="AB63" s="965" t="s">
        <v>889</v>
      </c>
      <c r="AC63" s="1196">
        <f t="shared" si="12"/>
        <v>492.73858121890908</v>
      </c>
      <c r="AD63" s="965" t="s">
        <v>889</v>
      </c>
      <c r="AE63" s="1201">
        <f t="shared" si="13"/>
        <v>1806.7081311359998</v>
      </c>
      <c r="AF63" s="3" t="s">
        <v>904</v>
      </c>
      <c r="AG63" s="1202">
        <f t="shared" si="14"/>
        <v>22126.871267135997</v>
      </c>
      <c r="AH63" s="1146"/>
    </row>
    <row r="64" spans="1:34" ht="15.75" customHeight="1" x14ac:dyDescent="0.25">
      <c r="A64" s="3"/>
      <c r="B64" s="1147" t="s">
        <v>1043</v>
      </c>
      <c r="C64" s="1051">
        <v>0</v>
      </c>
      <c r="D64" s="3"/>
      <c r="E64" s="1179">
        <v>0</v>
      </c>
      <c r="F64" s="965" t="s">
        <v>904</v>
      </c>
      <c r="G64" s="1181">
        <v>43.39</v>
      </c>
      <c r="H64" s="965" t="s">
        <v>904</v>
      </c>
      <c r="I64" s="1182">
        <v>1</v>
      </c>
      <c r="J64" s="965" t="s">
        <v>889</v>
      </c>
      <c r="K64" s="1186">
        <f t="shared" si="7"/>
        <v>0</v>
      </c>
      <c r="L64" s="965" t="s">
        <v>889</v>
      </c>
      <c r="M64" s="1038">
        <f t="shared" si="8"/>
        <v>0</v>
      </c>
      <c r="N64" s="965" t="s">
        <v>889</v>
      </c>
      <c r="O64" s="1191">
        <f t="shared" si="9"/>
        <v>0</v>
      </c>
      <c r="P64" s="20"/>
      <c r="Q64" s="1167"/>
      <c r="R64" s="20"/>
      <c r="S64" s="1193">
        <v>0.1</v>
      </c>
      <c r="T64" s="3"/>
      <c r="U64" s="3"/>
      <c r="V64" s="865"/>
      <c r="W64" s="3"/>
      <c r="X64" s="1195"/>
      <c r="Y64" s="3"/>
      <c r="Z64" s="1197">
        <v>8.6999999999999994E-2</v>
      </c>
      <c r="AA64" s="1198"/>
      <c r="AB64" s="3"/>
      <c r="AC64" s="3"/>
      <c r="AD64" s="3"/>
      <c r="AE64" s="1168"/>
      <c r="AF64" s="3"/>
      <c r="AG64" s="1210"/>
      <c r="AH64" s="1146"/>
    </row>
    <row r="65" spans="1:34" ht="15.75" customHeight="1" x14ac:dyDescent="0.25">
      <c r="A65" s="3"/>
      <c r="B65" s="1147" t="s">
        <v>755</v>
      </c>
      <c r="C65" s="170">
        <f>E9</f>
        <v>3192000</v>
      </c>
      <c r="D65" s="3"/>
      <c r="E65" s="1179">
        <f>G9</f>
        <v>293</v>
      </c>
      <c r="F65" s="965" t="s">
        <v>904</v>
      </c>
      <c r="G65" s="730">
        <v>37.110283550140529</v>
      </c>
      <c r="H65" s="965" t="s">
        <v>904</v>
      </c>
      <c r="I65" s="1182">
        <v>1</v>
      </c>
      <c r="J65" s="965" t="s">
        <v>889</v>
      </c>
      <c r="K65" s="1186">
        <f t="shared" si="7"/>
        <v>5436.6565400955869</v>
      </c>
      <c r="L65" s="965" t="s">
        <v>889</v>
      </c>
      <c r="M65" s="1038">
        <f t="shared" si="8"/>
        <v>4.9320518497959149E-3</v>
      </c>
      <c r="N65" s="965" t="s">
        <v>889</v>
      </c>
      <c r="O65" s="1191">
        <f t="shared" si="9"/>
        <v>1.8084190115918355E-2</v>
      </c>
      <c r="P65" s="20"/>
      <c r="Q65" s="1167"/>
      <c r="R65" s="20"/>
      <c r="S65" s="20"/>
      <c r="T65" s="3"/>
      <c r="U65" s="3"/>
      <c r="V65" s="865"/>
      <c r="W65" s="3"/>
      <c r="X65" s="1195"/>
      <c r="Y65" s="3"/>
      <c r="Z65" s="1169"/>
      <c r="AA65" s="1198"/>
      <c r="AB65" s="3"/>
      <c r="AC65" s="3"/>
      <c r="AD65" s="3"/>
      <c r="AE65" s="1168"/>
      <c r="AF65" s="3"/>
      <c r="AG65" s="1210"/>
      <c r="AH65" s="1146"/>
    </row>
    <row r="66" spans="1:34" ht="15.75" customHeight="1" x14ac:dyDescent="0.25">
      <c r="A66" s="3"/>
      <c r="B66" s="1147" t="s">
        <v>1044</v>
      </c>
      <c r="C66" s="1204">
        <f t="shared" ref="C66:C70" si="19">I19</f>
        <v>9437000</v>
      </c>
      <c r="D66" s="3"/>
      <c r="E66" s="1179">
        <f>K26*G11</f>
        <v>32678.127158234041</v>
      </c>
      <c r="F66" s="965" t="s">
        <v>904</v>
      </c>
      <c r="G66" s="730">
        <v>42.900741155457617</v>
      </c>
      <c r="H66" s="965" t="s">
        <v>904</v>
      </c>
      <c r="I66" s="1182">
        <v>1</v>
      </c>
      <c r="J66" s="965" t="s">
        <v>889</v>
      </c>
      <c r="K66" s="1186">
        <f t="shared" si="7"/>
        <v>700957.93733026425</v>
      </c>
      <c r="L66" s="965" t="s">
        <v>889</v>
      </c>
      <c r="M66" s="1038">
        <f t="shared" si="8"/>
        <v>0.63589834412789203</v>
      </c>
      <c r="N66" s="965" t="s">
        <v>889</v>
      </c>
      <c r="O66" s="1191">
        <f t="shared" si="9"/>
        <v>2.3316272618022711</v>
      </c>
      <c r="P66" s="20"/>
      <c r="Q66" s="1167"/>
      <c r="R66" s="1208">
        <v>2.8008999999999999</v>
      </c>
      <c r="S66" s="1208">
        <v>0.08</v>
      </c>
      <c r="T66" s="1194">
        <f t="shared" ref="T66:T71" si="20">C66*R66*S66/1000000000</f>
        <v>2.1145674640000002E-3</v>
      </c>
      <c r="U66" s="965" t="s">
        <v>889</v>
      </c>
      <c r="V66" s="865">
        <f t="shared" ref="V66:V71" si="21">T66*$P$10*12/44*1000</f>
        <v>157.43915936509092</v>
      </c>
      <c r="W66" s="965" t="s">
        <v>889</v>
      </c>
      <c r="X66" s="1195">
        <f t="shared" ref="X66:X71" si="22">V66*44/12</f>
        <v>577.27691767199997</v>
      </c>
      <c r="Y66" s="3"/>
      <c r="Z66" s="1197">
        <v>0.45</v>
      </c>
      <c r="AA66" s="1198">
        <f t="shared" ref="AA66:AA71" si="23">C66*R66*Z66/1000000000</f>
        <v>1.1894441985000002E-2</v>
      </c>
      <c r="AB66" s="965" t="s">
        <v>889</v>
      </c>
      <c r="AC66" s="1196">
        <f t="shared" ref="AC66:AC71" si="24">AA66*$P$9*12/44*1000</f>
        <v>90.505890376772726</v>
      </c>
      <c r="AD66" s="965" t="s">
        <v>889</v>
      </c>
      <c r="AE66" s="1201">
        <f t="shared" ref="AE66:AE71" si="25">AC66*44/12</f>
        <v>331.85493138149997</v>
      </c>
      <c r="AF66" s="3"/>
      <c r="AG66" s="1202">
        <f t="shared" ref="AG66:AG71" si="26">X66+AE66</f>
        <v>909.13184905349999</v>
      </c>
      <c r="AH66" s="1146"/>
    </row>
    <row r="67" spans="1:34" ht="15.75" customHeight="1" x14ac:dyDescent="0.25">
      <c r="A67" s="3"/>
      <c r="B67" s="1147" t="s">
        <v>1045</v>
      </c>
      <c r="C67" s="1204">
        <f t="shared" si="19"/>
        <v>13677000</v>
      </c>
      <c r="D67" s="3"/>
      <c r="E67" s="1179">
        <f>C67*C47/1000000000</f>
        <v>1699.2031260000001</v>
      </c>
      <c r="F67" s="965" t="s">
        <v>904</v>
      </c>
      <c r="G67" s="730">
        <v>42.900741155457617</v>
      </c>
      <c r="H67" s="965" t="s">
        <v>904</v>
      </c>
      <c r="I67" s="1182">
        <v>1</v>
      </c>
      <c r="J67" s="965" t="s">
        <v>889</v>
      </c>
      <c r="K67" s="1186">
        <f t="shared" si="7"/>
        <v>36448.536739535222</v>
      </c>
      <c r="L67" s="965" t="s">
        <v>889</v>
      </c>
      <c r="M67" s="1038">
        <f t="shared" si="8"/>
        <v>3.3065556325435709E-2</v>
      </c>
      <c r="N67" s="965" t="s">
        <v>889</v>
      </c>
      <c r="O67" s="1191">
        <f t="shared" si="9"/>
        <v>0.12124037319326426</v>
      </c>
      <c r="P67" s="20"/>
      <c r="Q67" s="1167"/>
      <c r="R67" s="1208">
        <v>2.8008999999999999</v>
      </c>
      <c r="S67" s="1208">
        <v>0.08</v>
      </c>
      <c r="T67" s="1194">
        <f t="shared" si="20"/>
        <v>3.0646327439999999E-3</v>
      </c>
      <c r="U67" s="965" t="s">
        <v>889</v>
      </c>
      <c r="V67" s="865">
        <f t="shared" si="21"/>
        <v>228.17583793963638</v>
      </c>
      <c r="W67" s="965" t="s">
        <v>889</v>
      </c>
      <c r="X67" s="1195">
        <f t="shared" si="22"/>
        <v>836.64473911200002</v>
      </c>
      <c r="Y67" s="3"/>
      <c r="Z67" s="1197">
        <v>0.45</v>
      </c>
      <c r="AA67" s="1198">
        <f t="shared" si="23"/>
        <v>1.7238559184999998E-2</v>
      </c>
      <c r="AB67" s="965" t="s">
        <v>889</v>
      </c>
      <c r="AC67" s="1196">
        <f t="shared" si="24"/>
        <v>131.16976398040904</v>
      </c>
      <c r="AD67" s="965" t="s">
        <v>889</v>
      </c>
      <c r="AE67" s="1201">
        <f t="shared" si="25"/>
        <v>480.9558012614998</v>
      </c>
      <c r="AF67" s="3"/>
      <c r="AG67" s="1202">
        <f t="shared" si="26"/>
        <v>1317.6005403734998</v>
      </c>
      <c r="AH67" s="1146"/>
    </row>
    <row r="68" spans="1:34" ht="15.75" customHeight="1" x14ac:dyDescent="0.25">
      <c r="A68" s="3"/>
      <c r="B68" s="1147" t="s">
        <v>1046</v>
      </c>
      <c r="C68" s="1204">
        <f t="shared" si="19"/>
        <v>10338000</v>
      </c>
      <c r="D68" s="3"/>
      <c r="E68" s="1179">
        <f>C68*C47/1000000000</f>
        <v>1284.3724440000001</v>
      </c>
      <c r="F68" s="965" t="s">
        <v>904</v>
      </c>
      <c r="G68" s="730">
        <v>42.900741155457617</v>
      </c>
      <c r="H68" s="965" t="s">
        <v>904</v>
      </c>
      <c r="I68" s="1182">
        <v>1</v>
      </c>
      <c r="J68" s="965" t="s">
        <v>889</v>
      </c>
      <c r="K68" s="1186">
        <f t="shared" si="7"/>
        <v>27550.264883623247</v>
      </c>
      <c r="L68" s="965" t="s">
        <v>889</v>
      </c>
      <c r="M68" s="1038">
        <f t="shared" si="8"/>
        <v>2.4993179885380887E-2</v>
      </c>
      <c r="N68" s="965" t="s">
        <v>889</v>
      </c>
      <c r="O68" s="1191">
        <f t="shared" si="9"/>
        <v>9.1641659579729917E-2</v>
      </c>
      <c r="P68" s="20"/>
      <c r="Q68" s="1167"/>
      <c r="R68" s="1207">
        <v>2.8008999999999999</v>
      </c>
      <c r="S68" s="1208">
        <v>0.08</v>
      </c>
      <c r="T68" s="1194">
        <f t="shared" si="20"/>
        <v>2.3164563360000001E-3</v>
      </c>
      <c r="U68" s="965" t="s">
        <v>889</v>
      </c>
      <c r="V68" s="865">
        <f t="shared" si="21"/>
        <v>172.4707035621818</v>
      </c>
      <c r="W68" s="965" t="s">
        <v>889</v>
      </c>
      <c r="X68" s="1195">
        <f t="shared" si="22"/>
        <v>632.39257972799999</v>
      </c>
      <c r="Y68" s="3"/>
      <c r="Z68" s="1197">
        <v>0.18</v>
      </c>
      <c r="AA68" s="1198">
        <f t="shared" si="23"/>
        <v>5.2120267560000003E-3</v>
      </c>
      <c r="AB68" s="965" t="s">
        <v>889</v>
      </c>
      <c r="AC68" s="1196">
        <f t="shared" si="24"/>
        <v>39.658785407018179</v>
      </c>
      <c r="AD68" s="965" t="s">
        <v>889</v>
      </c>
      <c r="AE68" s="1201">
        <f t="shared" si="25"/>
        <v>145.41554649239998</v>
      </c>
      <c r="AF68" s="3"/>
      <c r="AG68" s="1202">
        <f t="shared" si="26"/>
        <v>777.80812622040003</v>
      </c>
      <c r="AH68" s="1146"/>
    </row>
    <row r="69" spans="1:34" ht="15.75" customHeight="1" x14ac:dyDescent="0.25">
      <c r="A69" s="3"/>
      <c r="B69" s="1147" t="s">
        <v>1047</v>
      </c>
      <c r="C69" s="1204">
        <f t="shared" si="19"/>
        <v>21138593</v>
      </c>
      <c r="D69" s="3"/>
      <c r="E69" s="1179">
        <f>C69*C47/1000000000</f>
        <v>2626.2165171339998</v>
      </c>
      <c r="F69" s="965" t="s">
        <v>904</v>
      </c>
      <c r="G69" s="730">
        <v>42.900741155457617</v>
      </c>
      <c r="H69" s="965" t="s">
        <v>904</v>
      </c>
      <c r="I69" s="1182">
        <v>1</v>
      </c>
      <c r="J69" s="965" t="s">
        <v>889</v>
      </c>
      <c r="K69" s="1186">
        <f t="shared" si="7"/>
        <v>56333.317509876571</v>
      </c>
      <c r="L69" s="965" t="s">
        <v>889</v>
      </c>
      <c r="M69" s="1038">
        <f t="shared" si="8"/>
        <v>5.1104725998534828E-2</v>
      </c>
      <c r="N69" s="965" t="s">
        <v>889</v>
      </c>
      <c r="O69" s="1191">
        <f t="shared" si="9"/>
        <v>0.18738399532796102</v>
      </c>
      <c r="P69" s="20"/>
      <c r="Q69" s="1167"/>
      <c r="R69" s="1207">
        <v>2.8008999999999999</v>
      </c>
      <c r="S69" s="1208">
        <v>0.08</v>
      </c>
      <c r="T69" s="1194">
        <f t="shared" si="20"/>
        <v>4.7365668106960001E-3</v>
      </c>
      <c r="U69" s="965" t="s">
        <v>889</v>
      </c>
      <c r="V69" s="865">
        <f t="shared" si="21"/>
        <v>352.65892890545672</v>
      </c>
      <c r="W69" s="965" t="s">
        <v>889</v>
      </c>
      <c r="X69" s="1195">
        <f t="shared" si="22"/>
        <v>1293.0827393200079</v>
      </c>
      <c r="Y69" s="3"/>
      <c r="Z69" s="1197">
        <v>0.18</v>
      </c>
      <c r="AA69" s="1198">
        <f t="shared" si="23"/>
        <v>1.0657275324066001E-2</v>
      </c>
      <c r="AB69" s="965" t="s">
        <v>889</v>
      </c>
      <c r="AC69" s="1196">
        <f t="shared" si="24"/>
        <v>81.092176784029476</v>
      </c>
      <c r="AD69" s="965" t="s">
        <v>889</v>
      </c>
      <c r="AE69" s="1201">
        <f t="shared" si="25"/>
        <v>297.33798154144142</v>
      </c>
      <c r="AF69" s="3"/>
      <c r="AG69" s="1202">
        <f t="shared" si="26"/>
        <v>1590.4207208614494</v>
      </c>
      <c r="AH69" s="1146"/>
    </row>
    <row r="70" spans="1:34" ht="15.75" customHeight="1" x14ac:dyDescent="0.25">
      <c r="A70" s="3"/>
      <c r="B70" s="1211" t="s">
        <v>1048</v>
      </c>
      <c r="C70" s="1204">
        <f t="shared" si="19"/>
        <v>20910000</v>
      </c>
      <c r="D70" s="3"/>
      <c r="E70" s="1179">
        <f>C70*C47/1000000000</f>
        <v>2597.8165800000002</v>
      </c>
      <c r="F70" s="965" t="s">
        <v>904</v>
      </c>
      <c r="G70" s="730">
        <v>42.900741155457617</v>
      </c>
      <c r="H70" s="965" t="s">
        <v>904</v>
      </c>
      <c r="I70" s="1182">
        <v>1</v>
      </c>
      <c r="J70" s="965" t="s">
        <v>889</v>
      </c>
      <c r="K70" s="1186">
        <f t="shared" si="7"/>
        <v>55724.128333968081</v>
      </c>
      <c r="L70" s="965" t="s">
        <v>889</v>
      </c>
      <c r="M70" s="1038">
        <f t="shared" si="8"/>
        <v>5.0552078874377467E-2</v>
      </c>
      <c r="N70" s="965" t="s">
        <v>889</v>
      </c>
      <c r="O70" s="1191">
        <f t="shared" si="9"/>
        <v>0.18535762253938404</v>
      </c>
      <c r="P70" s="20"/>
      <c r="Q70" s="1167"/>
      <c r="R70" s="1212">
        <v>2.8008999999999999</v>
      </c>
      <c r="S70" s="1213">
        <v>0.08</v>
      </c>
      <c r="T70" s="1194">
        <f t="shared" si="20"/>
        <v>4.6853455200000001E-3</v>
      </c>
      <c r="U70" s="965" t="s">
        <v>889</v>
      </c>
      <c r="V70" s="865">
        <f t="shared" si="21"/>
        <v>348.84527098909092</v>
      </c>
      <c r="W70" s="965" t="s">
        <v>889</v>
      </c>
      <c r="X70" s="1195">
        <f t="shared" si="22"/>
        <v>1279.0993269600001</v>
      </c>
      <c r="Y70" s="3"/>
      <c r="Z70" s="1214">
        <v>0.23</v>
      </c>
      <c r="AA70" s="1198">
        <f t="shared" si="23"/>
        <v>1.3470368370000001E-2</v>
      </c>
      <c r="AB70" s="965" t="s">
        <v>889</v>
      </c>
      <c r="AC70" s="1196">
        <f t="shared" si="24"/>
        <v>102.49725750627273</v>
      </c>
      <c r="AD70" s="965" t="s">
        <v>889</v>
      </c>
      <c r="AE70" s="1201">
        <f t="shared" si="25"/>
        <v>375.82327752300006</v>
      </c>
      <c r="AF70" s="3"/>
      <c r="AG70" s="1202">
        <f t="shared" si="26"/>
        <v>1654.9226044830002</v>
      </c>
      <c r="AH70" s="1146"/>
    </row>
    <row r="71" spans="1:34" ht="15.75" customHeight="1" x14ac:dyDescent="0.25">
      <c r="A71" s="3"/>
      <c r="B71" s="1147" t="s">
        <v>704</v>
      </c>
      <c r="C71" s="170">
        <f>E14</f>
        <v>10710000</v>
      </c>
      <c r="D71" s="3"/>
      <c r="E71" s="1179">
        <f>G14</f>
        <v>1603</v>
      </c>
      <c r="F71" s="965" t="s">
        <v>904</v>
      </c>
      <c r="G71" s="1181">
        <v>45.11</v>
      </c>
      <c r="H71" s="965" t="s">
        <v>904</v>
      </c>
      <c r="I71" s="1182">
        <v>1</v>
      </c>
      <c r="J71" s="965" t="s">
        <v>889</v>
      </c>
      <c r="K71" s="1186">
        <f t="shared" si="7"/>
        <v>36155.665000000001</v>
      </c>
      <c r="L71" s="965" t="s">
        <v>889</v>
      </c>
      <c r="M71" s="1038">
        <f t="shared" si="8"/>
        <v>3.2799867552552105E-2</v>
      </c>
      <c r="N71" s="965" t="s">
        <v>889</v>
      </c>
      <c r="O71" s="1191">
        <f t="shared" si="9"/>
        <v>0.12026618102602438</v>
      </c>
      <c r="P71" s="20"/>
      <c r="Q71" s="1167"/>
      <c r="R71" s="1207">
        <v>3.5750000000000002</v>
      </c>
      <c r="S71" s="1208">
        <v>0.08</v>
      </c>
      <c r="T71" s="1194">
        <f t="shared" si="20"/>
        <v>3.0630599999999998E-3</v>
      </c>
      <c r="U71" s="965" t="s">
        <v>889</v>
      </c>
      <c r="V71" s="865">
        <f t="shared" si="21"/>
        <v>228.05873999999997</v>
      </c>
      <c r="W71" s="965" t="s">
        <v>889</v>
      </c>
      <c r="X71" s="1195">
        <f t="shared" si="22"/>
        <v>836.21537999999998</v>
      </c>
      <c r="Y71" s="3"/>
      <c r="Z71" s="1197">
        <v>0.23</v>
      </c>
      <c r="AA71" s="1198">
        <f t="shared" si="23"/>
        <v>8.8062975000000009E-3</v>
      </c>
      <c r="AB71" s="965" t="s">
        <v>889</v>
      </c>
      <c r="AC71" s="1196">
        <f t="shared" si="24"/>
        <v>67.007918250000003</v>
      </c>
      <c r="AD71" s="965" t="s">
        <v>889</v>
      </c>
      <c r="AE71" s="1201">
        <f t="shared" si="25"/>
        <v>245.69570024999999</v>
      </c>
      <c r="AF71" s="3"/>
      <c r="AG71" s="1202">
        <f t="shared" si="26"/>
        <v>1081.9110802499999</v>
      </c>
      <c r="AH71" s="1146"/>
    </row>
    <row r="72" spans="1:34" ht="15.75" customHeight="1" x14ac:dyDescent="0.25">
      <c r="A72" s="3"/>
      <c r="B72" s="1147" t="s">
        <v>77</v>
      </c>
      <c r="C72" s="170">
        <f>E13</f>
        <v>261870000</v>
      </c>
      <c r="D72" s="3"/>
      <c r="E72" s="1179">
        <f>G13</f>
        <v>6408</v>
      </c>
      <c r="F72" s="965" t="s">
        <v>904</v>
      </c>
      <c r="G72" s="1181">
        <v>31.87</v>
      </c>
      <c r="H72" s="965" t="s">
        <v>904</v>
      </c>
      <c r="I72" s="1182">
        <v>1</v>
      </c>
      <c r="J72" s="965" t="s">
        <v>889</v>
      </c>
      <c r="K72" s="1186">
        <f t="shared" si="7"/>
        <v>102111.48</v>
      </c>
      <c r="L72" s="965" t="s">
        <v>889</v>
      </c>
      <c r="M72" s="1038">
        <f t="shared" si="8"/>
        <v>9.2633976434815191E-2</v>
      </c>
      <c r="N72" s="965" t="s">
        <v>889</v>
      </c>
      <c r="O72" s="1191">
        <f t="shared" si="9"/>
        <v>0.33965791359432235</v>
      </c>
      <c r="P72" s="20"/>
      <c r="Q72" s="1167"/>
      <c r="R72" s="20"/>
      <c r="S72" s="20"/>
      <c r="T72" s="3"/>
      <c r="U72" s="3"/>
      <c r="V72" s="3"/>
      <c r="W72" s="3"/>
      <c r="X72" s="1168"/>
      <c r="Y72" s="3"/>
      <c r="Z72" s="1169"/>
      <c r="AA72" s="3"/>
      <c r="AB72" s="3"/>
      <c r="AC72" s="3"/>
      <c r="AD72" s="3"/>
      <c r="AE72" s="1168"/>
      <c r="AF72" s="3"/>
      <c r="AG72" s="1210"/>
      <c r="AH72" s="1146"/>
    </row>
    <row r="73" spans="1:34" ht="15.75" customHeight="1" x14ac:dyDescent="0.25">
      <c r="A73" s="3"/>
      <c r="B73" s="1147" t="s">
        <v>702</v>
      </c>
      <c r="C73" s="3"/>
      <c r="D73" s="3"/>
      <c r="E73" s="1179"/>
      <c r="F73" s="965" t="s">
        <v>904</v>
      </c>
      <c r="G73" s="1215"/>
      <c r="H73" s="965" t="s">
        <v>904</v>
      </c>
      <c r="I73" s="1216"/>
      <c r="J73" s="965" t="s">
        <v>889</v>
      </c>
      <c r="K73" s="1186">
        <f t="shared" si="7"/>
        <v>0</v>
      </c>
      <c r="L73" s="965" t="s">
        <v>889</v>
      </c>
      <c r="M73" s="1038">
        <f t="shared" si="8"/>
        <v>0</v>
      </c>
      <c r="N73" s="965" t="s">
        <v>889</v>
      </c>
      <c r="O73" s="1191">
        <f t="shared" si="9"/>
        <v>0</v>
      </c>
      <c r="P73" s="20"/>
      <c r="Q73" s="1167"/>
      <c r="R73" s="20"/>
      <c r="S73" s="20"/>
      <c r="T73" s="3"/>
      <c r="U73" s="3"/>
      <c r="V73" s="3"/>
      <c r="W73" s="3"/>
      <c r="X73" s="1168"/>
      <c r="Y73" s="3"/>
      <c r="Z73" s="1169"/>
      <c r="AA73" s="3"/>
      <c r="AB73" s="3"/>
      <c r="AC73" s="3"/>
      <c r="AD73" s="3"/>
      <c r="AE73" s="1168"/>
      <c r="AF73" s="3"/>
      <c r="AG73" s="1210"/>
      <c r="AH73" s="1146"/>
    </row>
    <row r="74" spans="1:34" ht="15.75" customHeight="1" x14ac:dyDescent="0.25">
      <c r="A74" s="3"/>
      <c r="B74" s="1147"/>
      <c r="C74" s="3"/>
      <c r="D74" s="3"/>
      <c r="E74" s="1217"/>
      <c r="F74" s="965"/>
      <c r="G74" s="1139"/>
      <c r="H74" s="965"/>
      <c r="I74" s="1218"/>
      <c r="J74" s="965"/>
      <c r="K74" s="1219"/>
      <c r="L74" s="965"/>
      <c r="M74" s="865"/>
      <c r="N74" s="965"/>
      <c r="O74" s="1220">
        <f>SUM(O57:O73)</f>
        <v>8.1908019371733243</v>
      </c>
      <c r="P74" s="20"/>
      <c r="Q74" s="1167"/>
      <c r="R74" s="20"/>
      <c r="S74" s="20"/>
      <c r="T74" s="3"/>
      <c r="U74" s="3"/>
      <c r="V74" s="3"/>
      <c r="W74" s="3"/>
      <c r="X74" s="1168"/>
      <c r="Y74" s="3"/>
      <c r="Z74" s="1169"/>
      <c r="AA74" s="3"/>
      <c r="AB74" s="3"/>
      <c r="AC74" s="3"/>
      <c r="AD74" s="3"/>
      <c r="AE74" s="1168"/>
      <c r="AF74" s="3"/>
      <c r="AG74" s="1210"/>
      <c r="AH74" s="1146"/>
    </row>
    <row r="75" spans="1:34" ht="15.75" customHeight="1" x14ac:dyDescent="0.25">
      <c r="A75" s="3"/>
      <c r="B75" s="1147"/>
      <c r="C75" s="1204">
        <f>C66+C67+C68+C69+C70</f>
        <v>75500593</v>
      </c>
      <c r="D75" s="3"/>
      <c r="E75" s="20"/>
      <c r="F75" s="20"/>
      <c r="G75" s="20"/>
      <c r="H75" s="20"/>
      <c r="I75" s="20"/>
      <c r="J75" s="20"/>
      <c r="K75" s="1221"/>
      <c r="L75" s="1222"/>
      <c r="M75" s="1223"/>
      <c r="N75" s="1224"/>
      <c r="O75" s="1225"/>
      <c r="P75" s="20"/>
      <c r="Q75" s="1221"/>
      <c r="R75" s="1223"/>
      <c r="S75" s="1223"/>
      <c r="T75" s="1226"/>
      <c r="U75" s="1226"/>
      <c r="V75" s="1226"/>
      <c r="W75" s="1226"/>
      <c r="X75" s="1227"/>
      <c r="Y75" s="3"/>
      <c r="Z75" s="1228"/>
      <c r="AA75" s="1226"/>
      <c r="AB75" s="1226"/>
      <c r="AC75" s="1226"/>
      <c r="AD75" s="1226"/>
      <c r="AE75" s="1227"/>
      <c r="AF75" s="3"/>
      <c r="AG75" s="1229"/>
      <c r="AH75" s="1146"/>
    </row>
    <row r="76" spans="1:34" ht="15.75" customHeight="1" x14ac:dyDescent="0.25">
      <c r="A76" s="3"/>
      <c r="B76" s="1230"/>
      <c r="C76" s="504"/>
      <c r="D76" s="504"/>
      <c r="E76" s="504"/>
      <c r="F76" s="504"/>
      <c r="G76" s="504"/>
      <c r="H76" s="504"/>
      <c r="I76" s="504"/>
      <c r="J76" s="504"/>
      <c r="K76" s="504"/>
      <c r="L76" s="504"/>
      <c r="M76" s="504"/>
      <c r="N76" s="504"/>
      <c r="O76" s="504"/>
      <c r="P76" s="504"/>
      <c r="Q76" s="504"/>
      <c r="R76" s="504"/>
      <c r="S76" s="504"/>
      <c r="T76" s="504"/>
      <c r="U76" s="504"/>
      <c r="V76" s="504"/>
      <c r="W76" s="504"/>
      <c r="X76" s="504"/>
      <c r="Y76" s="504"/>
      <c r="Z76" s="504"/>
      <c r="AA76" s="504"/>
      <c r="AB76" s="504"/>
      <c r="AC76" s="504"/>
      <c r="AD76" s="504"/>
      <c r="AE76" s="504"/>
      <c r="AF76" s="504"/>
      <c r="AG76" s="504"/>
      <c r="AH76" s="1231"/>
    </row>
    <row r="77" spans="1:34" ht="15.75" customHeight="1" x14ac:dyDescent="0.25">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ht="15.75" customHeight="1" x14ac:dyDescent="0.25">
      <c r="A78" s="3"/>
      <c r="B78" s="3"/>
      <c r="C78" s="3"/>
      <c r="D78" s="3"/>
      <c r="E78" s="3"/>
      <c r="F78" s="3"/>
      <c r="G78" s="3"/>
      <c r="H78" s="3"/>
      <c r="I78" s="110"/>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ht="15.75" customHeight="1" x14ac:dyDescent="0.25">
      <c r="A79" s="3"/>
      <c r="B79" s="1232"/>
      <c r="C79" s="1233"/>
      <c r="D79" s="1233"/>
      <c r="E79" s="1234" t="s">
        <v>798</v>
      </c>
      <c r="F79" s="1233"/>
      <c r="G79" s="1233"/>
      <c r="H79" s="1233"/>
      <c r="I79" s="1234" t="s">
        <v>799</v>
      </c>
      <c r="J79" s="1235"/>
      <c r="K79" s="1233"/>
      <c r="L79" s="1236"/>
      <c r="M79" s="1233"/>
      <c r="N79" s="1235"/>
      <c r="O79" s="1133"/>
      <c r="P79" s="1133"/>
      <c r="Q79" s="1133"/>
      <c r="R79" s="1133"/>
      <c r="S79" s="1133"/>
      <c r="T79" s="1137"/>
      <c r="U79" s="3"/>
      <c r="V79" s="3"/>
      <c r="W79" s="3"/>
      <c r="X79" s="3"/>
      <c r="Y79" s="3"/>
      <c r="Z79" s="3"/>
      <c r="AA79" s="3"/>
      <c r="AB79" s="3"/>
      <c r="AC79" s="3"/>
      <c r="AD79" s="3"/>
      <c r="AE79" s="3"/>
      <c r="AF79" s="3"/>
      <c r="AG79" s="3"/>
      <c r="AH79" s="3"/>
    </row>
    <row r="80" spans="1:34" ht="15.75" customHeight="1" x14ac:dyDescent="0.25">
      <c r="A80" s="3"/>
      <c r="B80" s="1147"/>
      <c r="C80" s="960" t="s">
        <v>685</v>
      </c>
      <c r="D80" s="20"/>
      <c r="E80" s="960" t="s">
        <v>685</v>
      </c>
      <c r="F80" s="20"/>
      <c r="G80" s="20"/>
      <c r="H80" s="20"/>
      <c r="I80" s="960" t="s">
        <v>685</v>
      </c>
      <c r="J80" s="20"/>
      <c r="K80" s="960" t="s">
        <v>738</v>
      </c>
      <c r="L80" s="20"/>
      <c r="M80" s="960" t="s">
        <v>739</v>
      </c>
      <c r="N80" s="20"/>
      <c r="O80" s="13" t="s">
        <v>686</v>
      </c>
      <c r="P80" s="20"/>
      <c r="Q80" s="13" t="s">
        <v>686</v>
      </c>
      <c r="R80" s="20"/>
      <c r="S80" s="13" t="s">
        <v>686</v>
      </c>
      <c r="T80" s="1146"/>
      <c r="U80" s="3"/>
      <c r="V80" s="3"/>
      <c r="W80" s="3"/>
      <c r="X80" s="3"/>
      <c r="Y80" s="3"/>
      <c r="Z80" s="3"/>
      <c r="AA80" s="3"/>
      <c r="AB80" s="3"/>
      <c r="AC80" s="3"/>
      <c r="AD80" s="3"/>
      <c r="AE80" s="3"/>
      <c r="AF80" s="3"/>
      <c r="AG80" s="3"/>
      <c r="AH80" s="3"/>
    </row>
    <row r="81" spans="1:34" ht="15.75" customHeight="1" x14ac:dyDescent="0.25">
      <c r="A81" s="3"/>
      <c r="B81" s="1147"/>
      <c r="C81" s="960" t="s">
        <v>690</v>
      </c>
      <c r="D81" s="20"/>
      <c r="E81" s="960" t="s">
        <v>690</v>
      </c>
      <c r="F81" s="20"/>
      <c r="G81" s="960" t="s">
        <v>800</v>
      </c>
      <c r="H81" s="20"/>
      <c r="I81" s="960" t="s">
        <v>690</v>
      </c>
      <c r="J81" s="20"/>
      <c r="K81" s="960" t="s">
        <v>740</v>
      </c>
      <c r="L81" s="20"/>
      <c r="M81" s="960" t="s">
        <v>741</v>
      </c>
      <c r="N81" s="20"/>
      <c r="O81" s="960" t="s">
        <v>742</v>
      </c>
      <c r="P81" s="960"/>
      <c r="Q81" s="960" t="s">
        <v>1008</v>
      </c>
      <c r="R81" s="20"/>
      <c r="S81" s="13" t="s">
        <v>1049</v>
      </c>
      <c r="T81" s="1146"/>
      <c r="U81" s="3"/>
      <c r="V81" s="3"/>
      <c r="W81" s="3"/>
      <c r="X81" s="3"/>
      <c r="Y81" s="3"/>
      <c r="Z81" s="3"/>
      <c r="AA81" s="3"/>
      <c r="AB81" s="3"/>
      <c r="AC81" s="3"/>
      <c r="AD81" s="3"/>
      <c r="AE81" s="3"/>
      <c r="AF81" s="3"/>
      <c r="AG81" s="3"/>
      <c r="AH81" s="3"/>
    </row>
    <row r="82" spans="1:34" ht="15.75" customHeight="1" x14ac:dyDescent="0.25">
      <c r="A82" s="3"/>
      <c r="B82" s="1171" t="s">
        <v>818</v>
      </c>
      <c r="C82" s="1179">
        <f>G10</f>
        <v>1466</v>
      </c>
      <c r="D82" s="965" t="s">
        <v>1050</v>
      </c>
      <c r="E82" s="1179">
        <v>1466</v>
      </c>
      <c r="F82" s="965" t="s">
        <v>904</v>
      </c>
      <c r="G82" s="1237">
        <v>9.2393732597307904E-2</v>
      </c>
      <c r="H82" s="965" t="s">
        <v>1051</v>
      </c>
      <c r="I82" s="771">
        <f>C82-(E82*G82)</f>
        <v>1330.5507880123466</v>
      </c>
      <c r="J82" s="965" t="s">
        <v>904</v>
      </c>
      <c r="K82" s="1181">
        <v>43.97</v>
      </c>
      <c r="L82" s="965" t="s">
        <v>904</v>
      </c>
      <c r="M82" s="1182">
        <v>1</v>
      </c>
      <c r="N82" s="965" t="s">
        <v>889</v>
      </c>
      <c r="O82" s="771">
        <f>I82*1000*K82*M82/2000</f>
        <v>29252.159074451443</v>
      </c>
      <c r="P82" s="965" t="s">
        <v>889</v>
      </c>
      <c r="Q82" s="1038">
        <f>O82*0.90718474/1000000</f>
        <v>2.6537112324394874E-2</v>
      </c>
      <c r="R82" s="965" t="s">
        <v>889</v>
      </c>
      <c r="S82" s="1238">
        <f>Q82*44/12</f>
        <v>9.730274518944787E-2</v>
      </c>
      <c r="T82" s="1146"/>
      <c r="U82" s="3"/>
      <c r="V82" s="3"/>
      <c r="W82" s="3"/>
      <c r="X82" s="3"/>
      <c r="Y82" s="3"/>
      <c r="Z82" s="3"/>
      <c r="AA82" s="3"/>
      <c r="AB82" s="3"/>
      <c r="AC82" s="3"/>
      <c r="AD82" s="3"/>
      <c r="AE82" s="3"/>
      <c r="AF82" s="3"/>
      <c r="AG82" s="3"/>
      <c r="AH82" s="3"/>
    </row>
    <row r="83" spans="1:34" ht="15.75" customHeight="1" x14ac:dyDescent="0.25">
      <c r="A83" s="3"/>
      <c r="B83" s="1239"/>
      <c r="C83" s="1240"/>
      <c r="D83" s="1241"/>
      <c r="E83" s="1240"/>
      <c r="F83" s="1241"/>
      <c r="G83" s="1242"/>
      <c r="H83" s="1241"/>
      <c r="I83" s="1240"/>
      <c r="J83" s="1241"/>
      <c r="K83" s="1243"/>
      <c r="L83" s="1241"/>
      <c r="M83" s="1244"/>
      <c r="N83" s="1241"/>
      <c r="O83" s="1240"/>
      <c r="P83" s="1241"/>
      <c r="Q83" s="1245"/>
      <c r="R83" s="1241"/>
      <c r="S83" s="1245"/>
      <c r="T83" s="1231"/>
      <c r="U83" s="3"/>
      <c r="V83" s="3"/>
      <c r="W83" s="3"/>
      <c r="X83" s="3"/>
      <c r="Y83" s="3"/>
      <c r="Z83" s="3"/>
      <c r="AA83" s="3"/>
      <c r="AB83" s="3"/>
      <c r="AC83" s="3"/>
      <c r="AD83" s="3"/>
      <c r="AE83" s="3"/>
      <c r="AF83" s="3"/>
      <c r="AG83" s="3"/>
      <c r="AH83" s="3"/>
    </row>
    <row r="84" spans="1:34" ht="15.75" customHeight="1" x14ac:dyDescent="0.25">
      <c r="A84" s="3"/>
      <c r="B84" s="20"/>
      <c r="C84" s="1051"/>
      <c r="D84" s="965"/>
      <c r="E84" s="1051"/>
      <c r="F84" s="965"/>
      <c r="G84" s="1246"/>
      <c r="H84" s="965"/>
      <c r="I84" s="1051"/>
      <c r="J84" s="965"/>
      <c r="K84" s="1247"/>
      <c r="L84" s="965"/>
      <c r="M84" s="1248"/>
      <c r="N84" s="965"/>
      <c r="O84" s="1051"/>
      <c r="P84" s="965"/>
      <c r="Q84" s="865"/>
      <c r="R84" s="965"/>
      <c r="S84" s="865"/>
      <c r="T84" s="3"/>
      <c r="U84" s="3"/>
      <c r="V84" s="3"/>
      <c r="W84" s="3"/>
      <c r="X84" s="3"/>
      <c r="Y84" s="3"/>
      <c r="Z84" s="3"/>
      <c r="AA84" s="3"/>
      <c r="AB84" s="3"/>
      <c r="AC84" s="3"/>
      <c r="AD84" s="3"/>
      <c r="AE84" s="3"/>
      <c r="AF84" s="3"/>
      <c r="AG84" s="3"/>
      <c r="AH84" s="3"/>
    </row>
    <row r="85" spans="1:34" ht="15.75" customHeight="1" x14ac:dyDescent="0.25">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row>
    <row r="86" spans="1:34" ht="15.75" customHeight="1" x14ac:dyDescent="0.25">
      <c r="A86" s="3"/>
      <c r="B86" s="1249" t="s">
        <v>1052</v>
      </c>
      <c r="C86" s="1250"/>
      <c r="D86" s="1250"/>
      <c r="E86" s="1250"/>
      <c r="F86" s="1250"/>
      <c r="G86" s="1250">
        <v>2011</v>
      </c>
      <c r="H86" s="1250"/>
      <c r="I86" s="1250"/>
      <c r="J86" s="1250"/>
      <c r="K86" s="1250"/>
      <c r="L86" s="1250"/>
      <c r="M86" s="1250"/>
      <c r="N86" s="1137"/>
      <c r="O86" s="3"/>
      <c r="P86" s="3"/>
      <c r="Q86" s="3"/>
      <c r="R86" s="3"/>
      <c r="S86" s="3"/>
      <c r="T86" s="3"/>
      <c r="U86" s="3"/>
      <c r="V86" s="3"/>
      <c r="W86" s="3"/>
      <c r="X86" s="3"/>
      <c r="Y86" s="3"/>
      <c r="Z86" s="3"/>
      <c r="AA86" s="3"/>
      <c r="AB86" s="3"/>
      <c r="AC86" s="3"/>
      <c r="AD86" s="3"/>
      <c r="AE86" s="3"/>
      <c r="AF86" s="3"/>
      <c r="AG86" s="3"/>
      <c r="AH86" s="3"/>
    </row>
    <row r="87" spans="1:34" ht="15.75" customHeight="1" x14ac:dyDescent="0.25">
      <c r="A87" s="3"/>
      <c r="B87" s="1147"/>
      <c r="C87" s="20"/>
      <c r="D87" s="20"/>
      <c r="E87" s="20"/>
      <c r="F87" s="20"/>
      <c r="G87" s="20"/>
      <c r="H87" s="20"/>
      <c r="I87" s="20"/>
      <c r="J87" s="20"/>
      <c r="K87" s="20"/>
      <c r="L87" s="20"/>
      <c r="M87" s="20"/>
      <c r="N87" s="1146"/>
      <c r="O87" s="3"/>
      <c r="P87" s="865"/>
      <c r="Q87" s="3"/>
      <c r="R87" s="3"/>
      <c r="S87" s="3"/>
      <c r="T87" s="3"/>
      <c r="U87" s="3"/>
      <c r="V87" s="3"/>
      <c r="W87" s="3"/>
      <c r="X87" s="3"/>
      <c r="Y87" s="3"/>
      <c r="Z87" s="3"/>
      <c r="AA87" s="3"/>
      <c r="AB87" s="3"/>
      <c r="AC87" s="3"/>
      <c r="AD87" s="3"/>
      <c r="AE87" s="3"/>
      <c r="AF87" s="3"/>
      <c r="AG87" s="3"/>
      <c r="AH87" s="3"/>
    </row>
    <row r="88" spans="1:34" ht="15.75" customHeight="1" x14ac:dyDescent="0.25">
      <c r="A88" s="3"/>
      <c r="B88" s="1147"/>
      <c r="C88" s="960" t="s">
        <v>685</v>
      </c>
      <c r="D88" s="960"/>
      <c r="E88" s="960" t="s">
        <v>738</v>
      </c>
      <c r="F88" s="20"/>
      <c r="G88" s="960" t="s">
        <v>739</v>
      </c>
      <c r="H88" s="20"/>
      <c r="I88" s="13" t="s">
        <v>686</v>
      </c>
      <c r="J88" s="20"/>
      <c r="K88" s="13" t="s">
        <v>686</v>
      </c>
      <c r="L88" s="20"/>
      <c r="M88" s="13" t="s">
        <v>686</v>
      </c>
      <c r="N88" s="1146"/>
      <c r="O88" s="170"/>
      <c r="P88" s="3"/>
      <c r="Q88" s="3"/>
      <c r="R88" s="3"/>
      <c r="S88" s="3"/>
      <c r="T88" s="3"/>
      <c r="U88" s="3"/>
      <c r="V88" s="3"/>
      <c r="W88" s="3"/>
      <c r="X88" s="3"/>
      <c r="Y88" s="3"/>
      <c r="Z88" s="3"/>
      <c r="AA88" s="3"/>
      <c r="AB88" s="3"/>
      <c r="AC88" s="3"/>
      <c r="AD88" s="3"/>
      <c r="AE88" s="3"/>
      <c r="AF88" s="3"/>
      <c r="AG88" s="3"/>
      <c r="AH88" s="3"/>
    </row>
    <row r="89" spans="1:34" ht="15.75" customHeight="1" x14ac:dyDescent="0.25">
      <c r="A89" s="3"/>
      <c r="B89" s="1171" t="s">
        <v>9</v>
      </c>
      <c r="C89" s="960" t="s">
        <v>690</v>
      </c>
      <c r="D89" s="20"/>
      <c r="E89" s="960" t="s">
        <v>740</v>
      </c>
      <c r="F89" s="20"/>
      <c r="G89" s="960" t="s">
        <v>741</v>
      </c>
      <c r="H89" s="20"/>
      <c r="I89" s="960" t="s">
        <v>742</v>
      </c>
      <c r="J89" s="960"/>
      <c r="K89" s="960" t="s">
        <v>1008</v>
      </c>
      <c r="L89" s="20"/>
      <c r="M89" s="13" t="s">
        <v>1053</v>
      </c>
      <c r="N89" s="1146"/>
      <c r="O89" s="865"/>
      <c r="P89" s="3"/>
      <c r="Q89" s="3"/>
      <c r="R89" s="3"/>
      <c r="S89" s="3"/>
      <c r="T89" s="3"/>
      <c r="U89" s="3"/>
      <c r="V89" s="3"/>
      <c r="W89" s="3"/>
      <c r="X89" s="3"/>
      <c r="Y89" s="3"/>
      <c r="Z89" s="3"/>
      <c r="AA89" s="3"/>
      <c r="AB89" s="3"/>
      <c r="AC89" s="3"/>
      <c r="AD89" s="3"/>
      <c r="AE89" s="3"/>
      <c r="AF89" s="3"/>
      <c r="AG89" s="3"/>
      <c r="AH89" s="3"/>
    </row>
    <row r="90" spans="1:34" ht="15.75" customHeight="1" x14ac:dyDescent="0.25">
      <c r="A90" s="3"/>
      <c r="B90" s="1147" t="s">
        <v>1042</v>
      </c>
      <c r="C90" s="1251">
        <v>0</v>
      </c>
      <c r="D90" s="965" t="s">
        <v>904</v>
      </c>
      <c r="E90" s="730">
        <v>43.431818181818173</v>
      </c>
      <c r="F90" s="965" t="s">
        <v>904</v>
      </c>
      <c r="G90" s="1182">
        <v>1</v>
      </c>
      <c r="H90" s="965" t="s">
        <v>889</v>
      </c>
      <c r="I90" s="771">
        <f t="shared" ref="I90:I92" si="27">C90*1000*E90*G90/2000</f>
        <v>0</v>
      </c>
      <c r="J90" s="965" t="s">
        <v>889</v>
      </c>
      <c r="K90" s="943">
        <f t="shared" ref="K90:K92" si="28">I90*0.90718474/1000000</f>
        <v>0</v>
      </c>
      <c r="L90" s="965" t="s">
        <v>889</v>
      </c>
      <c r="M90" s="943">
        <f t="shared" ref="M90:M92" si="29">K90*44/12</f>
        <v>0</v>
      </c>
      <c r="N90" s="1146"/>
      <c r="O90" s="3"/>
      <c r="P90" s="3"/>
      <c r="Q90" s="3"/>
      <c r="R90" s="3"/>
      <c r="S90" s="3"/>
      <c r="T90" s="3"/>
      <c r="U90" s="3"/>
      <c r="V90" s="3"/>
      <c r="W90" s="3"/>
      <c r="X90" s="3"/>
      <c r="Y90" s="3"/>
      <c r="Z90" s="3"/>
      <c r="AA90" s="3"/>
      <c r="AB90" s="3"/>
      <c r="AC90" s="3"/>
      <c r="AD90" s="3"/>
      <c r="AE90" s="3"/>
      <c r="AF90" s="3"/>
      <c r="AG90" s="3"/>
      <c r="AH90" s="3"/>
    </row>
    <row r="91" spans="1:34" ht="15.75" customHeight="1" x14ac:dyDescent="0.25">
      <c r="A91" s="3"/>
      <c r="B91" s="1147" t="s">
        <v>703</v>
      </c>
      <c r="C91" s="1251">
        <v>18</v>
      </c>
      <c r="D91" s="965" t="s">
        <v>904</v>
      </c>
      <c r="E91" s="1181">
        <v>44.43</v>
      </c>
      <c r="F91" s="965" t="s">
        <v>904</v>
      </c>
      <c r="G91" s="1182">
        <v>1</v>
      </c>
      <c r="H91" s="965" t="s">
        <v>889</v>
      </c>
      <c r="I91" s="771">
        <f t="shared" si="27"/>
        <v>399.87</v>
      </c>
      <c r="J91" s="965" t="s">
        <v>889</v>
      </c>
      <c r="K91" s="943">
        <f t="shared" si="28"/>
        <v>3.6275596198380005E-4</v>
      </c>
      <c r="L91" s="965" t="s">
        <v>889</v>
      </c>
      <c r="M91" s="943">
        <f t="shared" si="29"/>
        <v>1.3301051939406002E-3</v>
      </c>
      <c r="N91" s="1146"/>
      <c r="O91" s="3"/>
      <c r="P91" s="3"/>
      <c r="Q91" s="3"/>
      <c r="R91" s="3"/>
      <c r="S91" s="3"/>
      <c r="T91" s="3"/>
      <c r="U91" s="3"/>
      <c r="V91" s="3"/>
      <c r="W91" s="3"/>
      <c r="X91" s="3"/>
      <c r="Y91" s="3"/>
      <c r="Z91" s="3"/>
      <c r="AA91" s="3"/>
      <c r="AB91" s="3"/>
      <c r="AC91" s="3"/>
      <c r="AD91" s="3"/>
      <c r="AE91" s="3"/>
      <c r="AF91" s="3"/>
      <c r="AG91" s="3"/>
      <c r="AH91" s="3"/>
    </row>
    <row r="92" spans="1:34" ht="15.75" customHeight="1" x14ac:dyDescent="0.25">
      <c r="A92" s="3"/>
      <c r="B92" s="1147" t="s">
        <v>704</v>
      </c>
      <c r="C92" s="1251">
        <v>0</v>
      </c>
      <c r="D92" s="965" t="s">
        <v>904</v>
      </c>
      <c r="E92" s="1181">
        <v>45.11</v>
      </c>
      <c r="F92" s="965" t="s">
        <v>904</v>
      </c>
      <c r="G92" s="1182">
        <v>1</v>
      </c>
      <c r="H92" s="965" t="s">
        <v>889</v>
      </c>
      <c r="I92" s="771">
        <f t="shared" si="27"/>
        <v>0</v>
      </c>
      <c r="J92" s="965" t="s">
        <v>889</v>
      </c>
      <c r="K92" s="943">
        <f t="shared" si="28"/>
        <v>0</v>
      </c>
      <c r="L92" s="965" t="s">
        <v>889</v>
      </c>
      <c r="M92" s="943">
        <f t="shared" si="29"/>
        <v>0</v>
      </c>
      <c r="N92" s="1146"/>
      <c r="O92" s="3"/>
      <c r="P92" s="3"/>
      <c r="Q92" s="3"/>
      <c r="R92" s="3"/>
      <c r="S92" s="3"/>
      <c r="T92" s="3"/>
      <c r="U92" s="3"/>
      <c r="V92" s="3"/>
      <c r="W92" s="3"/>
      <c r="X92" s="3"/>
      <c r="Y92" s="3"/>
      <c r="Z92" s="3"/>
      <c r="AA92" s="3"/>
      <c r="AB92" s="3"/>
      <c r="AC92" s="3"/>
      <c r="AD92" s="3"/>
      <c r="AE92" s="3"/>
      <c r="AF92" s="3"/>
      <c r="AG92" s="3"/>
      <c r="AH92" s="3"/>
    </row>
    <row r="93" spans="1:34" ht="15.75" customHeight="1" x14ac:dyDescent="0.25">
      <c r="A93" s="3"/>
      <c r="B93" s="1171" t="s">
        <v>205</v>
      </c>
      <c r="C93" s="1252"/>
      <c r="D93" s="965"/>
      <c r="E93" s="20"/>
      <c r="F93" s="965"/>
      <c r="G93" s="1248"/>
      <c r="H93" s="965"/>
      <c r="I93" s="1051"/>
      <c r="J93" s="965"/>
      <c r="K93" s="1253">
        <f>SUM(K90:K92)</f>
        <v>3.6275596198380005E-4</v>
      </c>
      <c r="L93" s="20"/>
      <c r="M93" s="1254">
        <f>SUM(M90:M92)</f>
        <v>1.3301051939406002E-3</v>
      </c>
      <c r="N93" s="1146"/>
      <c r="O93" s="3"/>
      <c r="P93" s="3"/>
      <c r="Q93" s="3"/>
      <c r="R93" s="3"/>
      <c r="S93" s="3"/>
      <c r="T93" s="3"/>
      <c r="U93" s="3"/>
      <c r="V93" s="3"/>
      <c r="W93" s="3"/>
      <c r="X93" s="3"/>
      <c r="Y93" s="3"/>
      <c r="Z93" s="3"/>
      <c r="AA93" s="3"/>
      <c r="AB93" s="3"/>
      <c r="AC93" s="3"/>
      <c r="AD93" s="3"/>
      <c r="AE93" s="3"/>
      <c r="AF93" s="3"/>
      <c r="AG93" s="3"/>
      <c r="AH93" s="3"/>
    </row>
    <row r="94" spans="1:34" ht="15.75" customHeight="1" x14ac:dyDescent="0.25">
      <c r="A94" s="3"/>
      <c r="B94" s="1255"/>
      <c r="C94" s="1256"/>
      <c r="D94" s="1241"/>
      <c r="E94" s="1257"/>
      <c r="F94" s="1241"/>
      <c r="G94" s="1244"/>
      <c r="H94" s="1241"/>
      <c r="I94" s="1240"/>
      <c r="J94" s="1241"/>
      <c r="K94" s="1258"/>
      <c r="L94" s="1257"/>
      <c r="M94" s="1258"/>
      <c r="N94" s="1231"/>
      <c r="O94" s="3"/>
      <c r="P94" s="3"/>
      <c r="Q94" s="3"/>
      <c r="R94" s="3"/>
      <c r="S94" s="3"/>
      <c r="T94" s="3"/>
      <c r="U94" s="3"/>
      <c r="V94" s="3"/>
      <c r="W94" s="3"/>
      <c r="X94" s="3"/>
      <c r="Y94" s="3"/>
      <c r="Z94" s="3"/>
      <c r="AA94" s="3"/>
      <c r="AB94" s="3"/>
      <c r="AC94" s="3"/>
      <c r="AD94" s="3"/>
      <c r="AE94" s="3"/>
      <c r="AF94" s="3"/>
      <c r="AG94" s="3"/>
      <c r="AH94" s="3"/>
    </row>
    <row r="95" spans="1:34" ht="15.75" customHeight="1" x14ac:dyDescent="0.25">
      <c r="A95" s="3"/>
      <c r="B95" s="1259"/>
      <c r="C95" s="1252"/>
      <c r="D95" s="965"/>
      <c r="E95" s="20"/>
      <c r="F95" s="965"/>
      <c r="G95" s="1248"/>
      <c r="H95" s="965"/>
      <c r="I95" s="1051"/>
      <c r="J95" s="965"/>
      <c r="K95" s="865"/>
      <c r="L95" s="20"/>
      <c r="M95" s="865"/>
      <c r="N95" s="3"/>
      <c r="O95" s="3"/>
      <c r="P95" s="3"/>
      <c r="Q95" s="3"/>
      <c r="R95" s="3"/>
      <c r="S95" s="3"/>
      <c r="T95" s="3"/>
      <c r="U95" s="3"/>
      <c r="V95" s="3"/>
      <c r="W95" s="3"/>
      <c r="X95" s="3"/>
      <c r="Y95" s="3"/>
      <c r="Z95" s="3"/>
      <c r="AA95" s="3"/>
      <c r="AB95" s="3"/>
      <c r="AC95" s="3"/>
      <c r="AD95" s="3"/>
      <c r="AE95" s="3"/>
      <c r="AF95" s="3"/>
      <c r="AG95" s="3"/>
      <c r="AH95" s="3"/>
    </row>
    <row r="96" spans="1:34" ht="15.75" customHeight="1" x14ac:dyDescent="0.25">
      <c r="A96" s="3"/>
      <c r="B96" s="1259"/>
      <c r="C96" s="1252"/>
      <c r="D96" s="965"/>
      <c r="E96" s="20"/>
      <c r="F96" s="965"/>
      <c r="G96" s="1248"/>
      <c r="H96" s="965"/>
      <c r="I96" s="1051"/>
      <c r="J96" s="965"/>
      <c r="K96" s="865"/>
      <c r="L96" s="20"/>
      <c r="M96" s="865"/>
      <c r="N96" s="3"/>
      <c r="O96" s="3"/>
      <c r="P96" s="3"/>
      <c r="Q96" s="3"/>
      <c r="R96" s="3"/>
      <c r="S96" s="3"/>
      <c r="T96" s="3"/>
      <c r="U96" s="3"/>
      <c r="V96" s="3"/>
      <c r="W96" s="3"/>
      <c r="X96" s="3"/>
      <c r="Y96" s="3"/>
      <c r="Z96" s="3"/>
      <c r="AA96" s="3"/>
      <c r="AB96" s="3"/>
      <c r="AC96" s="3"/>
      <c r="AD96" s="3"/>
      <c r="AE96" s="3"/>
      <c r="AF96" s="3"/>
      <c r="AG96" s="3"/>
      <c r="AH96" s="3"/>
    </row>
    <row r="97" spans="1:34" ht="15.75" customHeight="1" x14ac:dyDescent="0.25">
      <c r="A97" s="3"/>
      <c r="B97" s="1259"/>
      <c r="C97" s="1252"/>
      <c r="D97" s="965"/>
      <c r="E97" s="20"/>
      <c r="F97" s="965"/>
      <c r="G97" s="1248"/>
      <c r="H97" s="965"/>
      <c r="I97" s="1051"/>
      <c r="J97" s="965"/>
      <c r="K97" s="865"/>
      <c r="L97" s="20"/>
      <c r="M97" s="865"/>
      <c r="N97" s="3"/>
      <c r="O97" s="3"/>
      <c r="P97" s="3"/>
      <c r="Q97" s="3"/>
      <c r="R97" s="3"/>
      <c r="S97" s="3"/>
      <c r="T97" s="3"/>
      <c r="U97" s="3"/>
      <c r="V97" s="3"/>
      <c r="W97" s="3"/>
      <c r="X97" s="3"/>
      <c r="Y97" s="3"/>
      <c r="Z97" s="3"/>
      <c r="AA97" s="3"/>
      <c r="AB97" s="3"/>
      <c r="AC97" s="3"/>
      <c r="AD97" s="3"/>
      <c r="AE97" s="3"/>
      <c r="AF97" s="3"/>
      <c r="AG97" s="3"/>
      <c r="AH97" s="3"/>
    </row>
    <row r="98" spans="1:34" ht="21" customHeight="1" x14ac:dyDescent="0.4">
      <c r="A98" s="3"/>
      <c r="B98" s="1132" t="s">
        <v>1054</v>
      </c>
      <c r="C98" s="1260"/>
      <c r="D98" s="1235"/>
      <c r="E98" s="1233"/>
      <c r="F98" s="1235"/>
      <c r="G98" s="1261"/>
      <c r="H98" s="1235"/>
      <c r="I98" s="1262"/>
      <c r="J98" s="1235"/>
      <c r="K98" s="1263"/>
      <c r="L98" s="1233"/>
      <c r="M98" s="1263"/>
      <c r="N98" s="1133"/>
      <c r="O98" s="1133"/>
      <c r="P98" s="1133"/>
      <c r="Q98" s="1133"/>
      <c r="R98" s="1133"/>
      <c r="S98" s="1133"/>
      <c r="T98" s="1133"/>
      <c r="U98" s="1133"/>
      <c r="V98" s="1133"/>
      <c r="W98" s="1133"/>
      <c r="X98" s="1133"/>
      <c r="Y98" s="1133"/>
      <c r="Z98" s="1133"/>
      <c r="AA98" s="1133"/>
      <c r="AB98" s="1133"/>
      <c r="AC98" s="1133"/>
      <c r="AD98" s="1133"/>
      <c r="AE98" s="1133"/>
      <c r="AF98" s="1133"/>
      <c r="AG98" s="1133"/>
      <c r="AH98" s="1137"/>
    </row>
    <row r="99" spans="1:34" ht="15.75" customHeight="1" x14ac:dyDescent="0.25">
      <c r="A99" s="3"/>
      <c r="B99" s="1211"/>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1146"/>
    </row>
    <row r="100" spans="1:34" ht="15.75" customHeight="1" x14ac:dyDescent="0.25">
      <c r="A100" s="3"/>
      <c r="B100" s="1138" t="s">
        <v>1055</v>
      </c>
      <c r="C100" s="1139"/>
      <c r="D100" s="1139"/>
      <c r="E100" s="1139"/>
      <c r="F100" s="1139"/>
      <c r="G100" s="1139"/>
      <c r="H100" s="1139"/>
      <c r="I100" s="1139"/>
      <c r="J100" s="1139"/>
      <c r="K100" s="1139"/>
      <c r="L100" s="3"/>
      <c r="M100" s="3"/>
      <c r="N100" s="3"/>
      <c r="O100" s="3"/>
      <c r="P100" s="3"/>
      <c r="Q100" s="3"/>
      <c r="R100" s="3"/>
      <c r="S100" s="3"/>
      <c r="T100" s="3"/>
      <c r="U100" s="3"/>
      <c r="V100" s="3"/>
      <c r="W100" s="3"/>
      <c r="X100" s="3"/>
      <c r="Y100" s="3"/>
      <c r="Z100" s="3"/>
      <c r="AA100" s="3"/>
      <c r="AB100" s="3"/>
      <c r="AC100" s="3"/>
      <c r="AD100" s="3"/>
      <c r="AE100" s="3"/>
      <c r="AF100" s="3"/>
      <c r="AG100" s="3"/>
      <c r="AH100" s="1146"/>
    </row>
    <row r="101" spans="1:34" ht="15.75" customHeight="1" x14ac:dyDescent="0.25">
      <c r="A101" s="3"/>
      <c r="B101" s="1211"/>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1146"/>
    </row>
    <row r="102" spans="1:34" ht="15.75" customHeight="1" x14ac:dyDescent="0.25">
      <c r="A102" s="3"/>
      <c r="B102" s="1211"/>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1146"/>
    </row>
    <row r="103" spans="1:34" ht="15.75" customHeight="1" x14ac:dyDescent="0.25">
      <c r="A103" s="3"/>
      <c r="B103" s="1147"/>
      <c r="C103" s="3"/>
      <c r="D103" s="3"/>
      <c r="E103" s="20"/>
      <c r="F103" s="20"/>
      <c r="G103" s="20"/>
      <c r="H103" s="20"/>
      <c r="I103" s="20"/>
      <c r="J103" s="20"/>
      <c r="K103" s="1149"/>
      <c r="L103" s="1150"/>
      <c r="M103" s="1153" t="s">
        <v>1056</v>
      </c>
      <c r="N103" s="1150"/>
      <c r="O103" s="1154"/>
      <c r="P103" s="20"/>
      <c r="Q103" s="1149"/>
      <c r="R103" s="1150"/>
      <c r="S103" s="1150"/>
      <c r="T103" s="1153" t="s">
        <v>1057</v>
      </c>
      <c r="U103" s="1156"/>
      <c r="V103" s="1156"/>
      <c r="W103" s="1156"/>
      <c r="X103" s="1157"/>
      <c r="Y103" s="3"/>
      <c r="Z103" s="1158"/>
      <c r="AA103" s="1160" t="s">
        <v>1058</v>
      </c>
      <c r="AB103" s="1153"/>
      <c r="AC103" s="1153"/>
      <c r="AD103" s="1153"/>
      <c r="AE103" s="1157"/>
      <c r="AF103" s="3"/>
      <c r="AG103" s="1161" t="s">
        <v>1059</v>
      </c>
      <c r="AH103" s="1146"/>
    </row>
    <row r="104" spans="1:34" ht="15.75" customHeight="1" x14ac:dyDescent="0.25">
      <c r="A104" s="3"/>
      <c r="B104" s="1147"/>
      <c r="C104" s="960" t="s">
        <v>685</v>
      </c>
      <c r="D104" s="3"/>
      <c r="E104" s="960" t="s">
        <v>685</v>
      </c>
      <c r="F104" s="960"/>
      <c r="G104" s="960" t="s">
        <v>738</v>
      </c>
      <c r="H104" s="20"/>
      <c r="I104" s="960" t="s">
        <v>739</v>
      </c>
      <c r="J104" s="20"/>
      <c r="K104" s="1163" t="s">
        <v>686</v>
      </c>
      <c r="L104" s="20"/>
      <c r="M104" s="13" t="s">
        <v>686</v>
      </c>
      <c r="N104" s="20"/>
      <c r="O104" s="1166" t="s">
        <v>686</v>
      </c>
      <c r="P104" s="20"/>
      <c r="Q104" s="1167"/>
      <c r="R104" s="20"/>
      <c r="S104" s="20"/>
      <c r="T104" s="3"/>
      <c r="U104" s="3"/>
      <c r="V104" s="3"/>
      <c r="W104" s="3"/>
      <c r="X104" s="1168"/>
      <c r="Y104" s="3"/>
      <c r="Z104" s="1169"/>
      <c r="AA104" s="3"/>
      <c r="AB104" s="3"/>
      <c r="AC104" s="3"/>
      <c r="AD104" s="3"/>
      <c r="AE104" s="1168"/>
      <c r="AF104" s="3"/>
      <c r="AG104" s="1170" t="s">
        <v>1060</v>
      </c>
      <c r="AH104" s="1146"/>
    </row>
    <row r="105" spans="1:34" ht="45" customHeight="1" x14ac:dyDescent="0.25">
      <c r="A105" s="3"/>
      <c r="B105" s="1171" t="s">
        <v>9</v>
      </c>
      <c r="C105" s="960" t="s">
        <v>1006</v>
      </c>
      <c r="D105" s="3"/>
      <c r="E105" s="960" t="s">
        <v>690</v>
      </c>
      <c r="F105" s="20"/>
      <c r="G105" s="960" t="s">
        <v>740</v>
      </c>
      <c r="H105" s="20"/>
      <c r="I105" s="960" t="s">
        <v>741</v>
      </c>
      <c r="J105" s="20"/>
      <c r="K105" s="1172" t="s">
        <v>742</v>
      </c>
      <c r="L105" s="960"/>
      <c r="M105" s="960" t="s">
        <v>1008</v>
      </c>
      <c r="N105" s="20"/>
      <c r="O105" s="1166" t="s">
        <v>1061</v>
      </c>
      <c r="P105" s="20"/>
      <c r="Q105" s="1173" t="s">
        <v>1062</v>
      </c>
      <c r="R105" s="1174" t="s">
        <v>1063</v>
      </c>
      <c r="S105" s="1174" t="s">
        <v>1064</v>
      </c>
      <c r="T105" s="1175" t="s">
        <v>1065</v>
      </c>
      <c r="U105" s="3"/>
      <c r="V105" s="1175" t="s">
        <v>1066</v>
      </c>
      <c r="W105" s="3"/>
      <c r="X105" s="1176" t="s">
        <v>1067</v>
      </c>
      <c r="Y105" s="1174"/>
      <c r="Z105" s="1173" t="s">
        <v>1068</v>
      </c>
      <c r="AA105" s="1175" t="s">
        <v>1069</v>
      </c>
      <c r="AB105" s="3"/>
      <c r="AC105" s="1175" t="s">
        <v>1070</v>
      </c>
      <c r="AD105" s="3"/>
      <c r="AE105" s="1176" t="s">
        <v>1071</v>
      </c>
      <c r="AF105" s="3"/>
      <c r="AG105" s="1177" t="s">
        <v>1072</v>
      </c>
      <c r="AH105" s="1146"/>
    </row>
    <row r="106" spans="1:34" ht="15.75" customHeight="1" x14ac:dyDescent="0.25">
      <c r="A106" s="3"/>
      <c r="B106" s="1211" t="s">
        <v>1073</v>
      </c>
      <c r="C106" s="544">
        <v>528516836.10000002</v>
      </c>
      <c r="D106" s="3"/>
      <c r="E106" s="1179">
        <f>C106*$C$48/1000000000</f>
        <v>73299.999998708998</v>
      </c>
      <c r="F106" s="965" t="s">
        <v>904</v>
      </c>
      <c r="G106" s="1181">
        <v>46.923999999999999</v>
      </c>
      <c r="H106" s="965" t="s">
        <v>904</v>
      </c>
      <c r="I106" s="1182">
        <v>1</v>
      </c>
      <c r="J106" s="965" t="s">
        <v>889</v>
      </c>
      <c r="K106" s="1186">
        <f t="shared" ref="K106:K107" si="30">E106*1000*G106*I106/2000</f>
        <v>1719764.5999697105</v>
      </c>
      <c r="L106" s="965" t="s">
        <v>889</v>
      </c>
      <c r="M106" s="1038">
        <f t="shared" ref="M106:M107" si="31">K106*0.90718474/1000000</f>
        <v>1.5601442014847258</v>
      </c>
      <c r="N106" s="965" t="s">
        <v>889</v>
      </c>
      <c r="O106" s="1264">
        <f t="shared" ref="O106:O107" si="32">M106*44/12</f>
        <v>5.720528738777328</v>
      </c>
      <c r="P106" s="20"/>
      <c r="Q106" s="1169"/>
      <c r="R106" s="1207">
        <v>3.1920000000000002</v>
      </c>
      <c r="S106" s="1207">
        <v>4.0000000000000002E-4</v>
      </c>
      <c r="T106" s="1194">
        <f t="shared" ref="T106:T107" si="33">C106*R106*S106/1000000000</f>
        <v>6.7481029633248001E-4</v>
      </c>
      <c r="U106" s="965" t="s">
        <v>889</v>
      </c>
      <c r="V106" s="865">
        <f t="shared" ref="V106:V107" si="34">T106*$P$10*12/44*1000</f>
        <v>50.24269388148192</v>
      </c>
      <c r="W106" s="965" t="s">
        <v>889</v>
      </c>
      <c r="X106" s="1265">
        <f t="shared" ref="X106:X107" si="35">V106*44/12</f>
        <v>184.22321089876706</v>
      </c>
      <c r="Y106" s="3"/>
      <c r="Z106" s="1197">
        <v>2.3E-3</v>
      </c>
      <c r="AA106" s="1266">
        <f t="shared" ref="AA106:AA107" si="36">C106*R106*Z106/1000000000</f>
        <v>3.8801592039117605E-3</v>
      </c>
      <c r="AB106" s="1267" t="s">
        <v>889</v>
      </c>
      <c r="AC106" s="110">
        <f t="shared" ref="AC106:AC107" si="37">AA106*$P$9*12/44*1000</f>
        <v>29.524484124310391</v>
      </c>
      <c r="AD106" s="1267" t="s">
        <v>889</v>
      </c>
      <c r="AE106" s="1265">
        <f t="shared" ref="AE106:AE107" si="38">AC106*44/12</f>
        <v>108.25644178913809</v>
      </c>
      <c r="AF106" s="3"/>
      <c r="AG106" s="1202">
        <f t="shared" ref="AG106:AG107" si="39">X106+AE106</f>
        <v>292.47965268790517</v>
      </c>
      <c r="AH106" s="1146"/>
    </row>
    <row r="107" spans="1:34" ht="15.75" customHeight="1" x14ac:dyDescent="0.25">
      <c r="A107" s="3"/>
      <c r="B107" s="1147" t="s">
        <v>1074</v>
      </c>
      <c r="C107" s="1268">
        <v>2405061253</v>
      </c>
      <c r="D107" s="3"/>
      <c r="E107" s="1179">
        <f>C107*$C$47/1000000000</f>
        <v>298799.999950214</v>
      </c>
      <c r="F107" s="965" t="s">
        <v>904</v>
      </c>
      <c r="G107" s="730">
        <v>45.314</v>
      </c>
      <c r="H107" s="965" t="s">
        <v>904</v>
      </c>
      <c r="I107" s="1182">
        <v>1</v>
      </c>
      <c r="J107" s="965" t="s">
        <v>889</v>
      </c>
      <c r="K107" s="1186">
        <f t="shared" si="30"/>
        <v>6769911.5988719976</v>
      </c>
      <c r="L107" s="965" t="s">
        <v>889</v>
      </c>
      <c r="M107" s="1038">
        <f t="shared" si="31"/>
        <v>6.1415604936456774</v>
      </c>
      <c r="N107" s="965" t="s">
        <v>889</v>
      </c>
      <c r="O107" s="1269">
        <f t="shared" si="32"/>
        <v>22.519055143367485</v>
      </c>
      <c r="P107" s="20"/>
      <c r="Q107" s="1167"/>
      <c r="R107" s="1208">
        <v>2.8008999999999999</v>
      </c>
      <c r="S107" s="1207">
        <v>4.0000000000000002E-4</v>
      </c>
      <c r="T107" s="1194">
        <f t="shared" si="33"/>
        <v>2.6945344254110802E-3</v>
      </c>
      <c r="U107" s="965" t="s">
        <v>889</v>
      </c>
      <c r="V107" s="865">
        <f t="shared" si="34"/>
        <v>200.62033585560678</v>
      </c>
      <c r="W107" s="965" t="s">
        <v>889</v>
      </c>
      <c r="X107" s="1265">
        <f t="shared" si="35"/>
        <v>735.60789813722488</v>
      </c>
      <c r="Y107" s="3"/>
      <c r="Z107" s="1197">
        <v>4.4999999999999998E-2</v>
      </c>
      <c r="AA107" s="1266">
        <f t="shared" si="36"/>
        <v>0.30313512285874644</v>
      </c>
      <c r="AB107" s="1267" t="s">
        <v>889</v>
      </c>
      <c r="AC107" s="110">
        <f t="shared" si="37"/>
        <v>2306.5827075706429</v>
      </c>
      <c r="AD107" s="1267" t="s">
        <v>889</v>
      </c>
      <c r="AE107" s="1265">
        <f t="shared" si="38"/>
        <v>8457.4699277590244</v>
      </c>
      <c r="AF107" s="3"/>
      <c r="AG107" s="1202">
        <f t="shared" si="39"/>
        <v>9193.0778258962491</v>
      </c>
      <c r="AH107" s="1146"/>
    </row>
    <row r="108" spans="1:34" ht="15.75" customHeight="1" x14ac:dyDescent="0.25">
      <c r="A108" s="3"/>
      <c r="B108" s="1147"/>
      <c r="C108" s="1204"/>
      <c r="D108" s="3"/>
      <c r="E108" s="1217"/>
      <c r="F108" s="965"/>
      <c r="G108" s="1052"/>
      <c r="H108" s="965"/>
      <c r="I108" s="1248"/>
      <c r="J108" s="965"/>
      <c r="K108" s="1219"/>
      <c r="L108" s="965"/>
      <c r="M108" s="865"/>
      <c r="N108" s="965"/>
      <c r="O108" s="1270">
        <f>SUM(O106:O107)</f>
        <v>28.239583882144814</v>
      </c>
      <c r="P108" s="20"/>
      <c r="Q108" s="1167"/>
      <c r="R108" s="1271"/>
      <c r="S108" s="1271"/>
      <c r="T108" s="1194"/>
      <c r="U108" s="965"/>
      <c r="V108" s="865"/>
      <c r="W108" s="965"/>
      <c r="X108" s="1195"/>
      <c r="Y108" s="3"/>
      <c r="Z108" s="1272"/>
      <c r="AA108" s="1194"/>
      <c r="AB108" s="965"/>
      <c r="AC108" s="1196"/>
      <c r="AD108" s="965"/>
      <c r="AE108" s="1201">
        <f>SUM(AE106:AE107)/1000000</f>
        <v>8.5657263695481638E-3</v>
      </c>
      <c r="AF108" s="3"/>
      <c r="AG108" s="1202"/>
      <c r="AH108" s="1146"/>
    </row>
    <row r="109" spans="1:34" ht="15.75" customHeight="1" x14ac:dyDescent="0.25">
      <c r="A109" s="3"/>
      <c r="B109" s="1147"/>
      <c r="C109" s="1204"/>
      <c r="D109" s="3"/>
      <c r="E109" s="20"/>
      <c r="F109" s="20"/>
      <c r="G109" s="20"/>
      <c r="H109" s="20"/>
      <c r="I109" s="20"/>
      <c r="J109" s="20"/>
      <c r="K109" s="1221"/>
      <c r="L109" s="1222"/>
      <c r="M109" s="1223"/>
      <c r="N109" s="1224"/>
      <c r="O109" s="1225"/>
      <c r="P109" s="20"/>
      <c r="Q109" s="1221"/>
      <c r="R109" s="1223"/>
      <c r="S109" s="1223"/>
      <c r="T109" s="1226"/>
      <c r="U109" s="1226"/>
      <c r="V109" s="1226"/>
      <c r="W109" s="1226"/>
      <c r="X109" s="1227"/>
      <c r="Y109" s="3"/>
      <c r="Z109" s="1228"/>
      <c r="AA109" s="1226"/>
      <c r="AB109" s="1226"/>
      <c r="AC109" s="1226"/>
      <c r="AD109" s="1226"/>
      <c r="AE109" s="1227"/>
      <c r="AF109" s="3"/>
      <c r="AG109" s="1229"/>
      <c r="AH109" s="1146"/>
    </row>
    <row r="110" spans="1:34" ht="15.75" customHeight="1" x14ac:dyDescent="0.25">
      <c r="A110" s="3"/>
      <c r="B110" s="1230"/>
      <c r="C110" s="504"/>
      <c r="D110" s="504"/>
      <c r="E110" s="504"/>
      <c r="F110" s="504"/>
      <c r="G110" s="504"/>
      <c r="H110" s="504"/>
      <c r="I110" s="504"/>
      <c r="J110" s="504"/>
      <c r="K110" s="504"/>
      <c r="L110" s="504"/>
      <c r="M110" s="504"/>
      <c r="N110" s="504"/>
      <c r="O110" s="504"/>
      <c r="P110" s="504"/>
      <c r="Q110" s="504"/>
      <c r="R110" s="504"/>
      <c r="S110" s="504"/>
      <c r="T110" s="504"/>
      <c r="U110" s="504"/>
      <c r="V110" s="504"/>
      <c r="W110" s="504"/>
      <c r="X110" s="504"/>
      <c r="Y110" s="504"/>
      <c r="Z110" s="504"/>
      <c r="AA110" s="504"/>
      <c r="AB110" s="504"/>
      <c r="AC110" s="504"/>
      <c r="AD110" s="504"/>
      <c r="AE110" s="504"/>
      <c r="AF110" s="504"/>
      <c r="AG110" s="504"/>
      <c r="AH110" s="1231"/>
    </row>
    <row r="111" spans="1:34" ht="15.75" customHeight="1"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row>
    <row r="112" spans="1:34" ht="15.75" customHeight="1" x14ac:dyDescent="0.25">
      <c r="A112" s="3"/>
      <c r="B112" s="3"/>
      <c r="C112" s="3"/>
      <c r="D112" s="3"/>
      <c r="E112" s="3"/>
      <c r="F112" s="3"/>
      <c r="G112" s="3"/>
      <c r="H112" s="3"/>
      <c r="I112" s="110"/>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row>
    <row r="113" spans="1:34" ht="15.75" customHeight="1" x14ac:dyDescent="0.25">
      <c r="A113" s="3"/>
      <c r="B113" s="3"/>
      <c r="C113" s="3"/>
      <c r="D113" s="3"/>
      <c r="E113" s="3"/>
      <c r="F113" s="3"/>
      <c r="G113" s="3"/>
      <c r="H113" s="3"/>
      <c r="I113" s="110"/>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row>
    <row r="114" spans="1:34" ht="15.75" customHeight="1" x14ac:dyDescent="0.25">
      <c r="A114" s="3"/>
      <c r="B114" s="3"/>
      <c r="C114" s="3"/>
      <c r="D114" s="3"/>
      <c r="E114" s="3"/>
      <c r="F114" s="3"/>
      <c r="G114" s="3"/>
      <c r="H114" s="3"/>
      <c r="I114" s="110"/>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row>
    <row r="115" spans="1:34" ht="15.75" customHeight="1" x14ac:dyDescent="0.25">
      <c r="A115" s="3"/>
      <c r="B115" s="3"/>
      <c r="C115" s="3"/>
      <c r="D115" s="3"/>
      <c r="E115" s="3"/>
      <c r="F115" s="3"/>
      <c r="G115" s="3"/>
      <c r="H115" s="3"/>
      <c r="I115" s="110"/>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row>
    <row r="116" spans="1:34" ht="15.75" customHeight="1" x14ac:dyDescent="0.25">
      <c r="A116" s="3"/>
      <c r="B116" s="3"/>
      <c r="C116" s="3"/>
      <c r="D116" s="3"/>
      <c r="E116" s="3"/>
      <c r="F116" s="3"/>
      <c r="G116" s="3"/>
      <c r="H116" s="3"/>
      <c r="I116" s="110"/>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row>
    <row r="117" spans="1:34" ht="15.75" customHeight="1" x14ac:dyDescent="0.25">
      <c r="A117" s="3"/>
      <c r="B117" s="3"/>
      <c r="C117" s="3"/>
      <c r="D117" s="3"/>
      <c r="E117" s="3"/>
      <c r="F117" s="3"/>
      <c r="G117" s="3"/>
      <c r="H117" s="3"/>
      <c r="I117" s="110"/>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row>
    <row r="118" spans="1:34" ht="15.75" customHeight="1" x14ac:dyDescent="0.25">
      <c r="A118" s="3"/>
      <c r="B118" s="3"/>
      <c r="C118" s="3"/>
      <c r="D118" s="3"/>
      <c r="E118" s="3"/>
      <c r="F118" s="3"/>
      <c r="G118" s="3"/>
      <c r="H118" s="3"/>
      <c r="I118" s="110"/>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row>
    <row r="119" spans="1:34" ht="15.75" customHeight="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row>
    <row r="120" spans="1:34" ht="15.75" customHeight="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row>
    <row r="121" spans="1:34" ht="15.75" customHeight="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row>
    <row r="122" spans="1:34" ht="15.75" customHeight="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row>
    <row r="123" spans="1:34" ht="15.75" customHeight="1"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row>
    <row r="124" spans="1:34" ht="15.75" customHeight="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row>
    <row r="125" spans="1:34" ht="15.75" customHeight="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row>
    <row r="126" spans="1:34" ht="15.75" customHeight="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row>
    <row r="127" spans="1:34" ht="15.75" customHeight="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row>
    <row r="128" spans="1:34" ht="15.75" customHeight="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row>
    <row r="129" spans="1:34" ht="15.75" customHeight="1"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row>
    <row r="130" spans="1:34" ht="15.75" customHeight="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row>
    <row r="131" spans="1:34" ht="15.75" customHeight="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row>
    <row r="132" spans="1:34" ht="15.75" customHeight="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row>
    <row r="133" spans="1:34" ht="15.75" customHeight="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row>
    <row r="134" spans="1:34" ht="15.75" customHeight="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row>
    <row r="135" spans="1:34" ht="15.75" customHeight="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row>
    <row r="136" spans="1:34" ht="15.75"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row>
    <row r="137" spans="1:34" ht="15.75"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row>
    <row r="138" spans="1:34" ht="15.75"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row>
    <row r="139" spans="1:34" ht="15.75"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row>
    <row r="140" spans="1:34" ht="15.7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row>
    <row r="141" spans="1:34" ht="15.75" customHeight="1"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row>
    <row r="142" spans="1:34" ht="15.7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row>
    <row r="143" spans="1:34" ht="15.75"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row>
    <row r="144" spans="1:34" ht="15.75"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row>
    <row r="145" spans="1:34" ht="15.75"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row>
    <row r="146" spans="1:34" ht="15.75"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row>
    <row r="147" spans="1:34" ht="15.75" customHeight="1"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row>
    <row r="148" spans="1:34" ht="15.75"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row>
    <row r="149" spans="1:34" ht="15.75"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row>
    <row r="150" spans="1:34" ht="15.75"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row>
    <row r="151" spans="1:34" ht="15.75"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row>
    <row r="152" spans="1:34" ht="15.75"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row>
    <row r="153" spans="1:34" ht="15.75" customHeight="1"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row>
    <row r="154" spans="1:34" ht="15.75"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row>
    <row r="155" spans="1:34" ht="15.75"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row>
    <row r="156" spans="1:34" ht="15.75"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row>
    <row r="157" spans="1:34" ht="15.75"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row>
    <row r="158" spans="1:34" ht="15.75"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row>
    <row r="159" spans="1:34" ht="15.75" customHeight="1"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row>
    <row r="160" spans="1:34" ht="15.75"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row>
    <row r="161" spans="1:34" ht="15.7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row>
    <row r="162" spans="1:34" ht="15.75"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row>
    <row r="163" spans="1:34" ht="15.75"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row>
    <row r="164" spans="1:34" ht="15.75"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row>
    <row r="165" spans="1:34" ht="15.75" customHeight="1"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row>
    <row r="166" spans="1:34" ht="15.75"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row>
    <row r="167" spans="1:34" ht="15.75"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row>
    <row r="168" spans="1:34" ht="15.75"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row>
    <row r="169" spans="1:34" ht="15.75"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row>
    <row r="170" spans="1:34" ht="15.75"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row>
    <row r="171" spans="1:34" ht="15.75" customHeight="1"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row>
    <row r="172" spans="1:34" ht="15.75"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row>
    <row r="173" spans="1:34" ht="15.75"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row>
    <row r="174" spans="1:34" ht="15.75"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row>
    <row r="175" spans="1:34" ht="15.75"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row>
    <row r="176" spans="1:34" ht="15.75"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row>
    <row r="177" spans="1:34" ht="15.75" customHeight="1"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row>
    <row r="178" spans="1:34" ht="15.75"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row>
    <row r="179" spans="1:34" ht="15.75"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row>
    <row r="180" spans="1:34" ht="15.7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row>
    <row r="181" spans="1:34" ht="15.7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row>
    <row r="182" spans="1:34" ht="15.7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row>
    <row r="183" spans="1:34" ht="15.75"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row>
    <row r="184" spans="1:34" ht="15.7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row>
    <row r="185" spans="1:34" ht="15.7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row>
    <row r="186" spans="1:34" ht="15.7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row>
    <row r="187" spans="1:34" ht="15.7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row>
    <row r="188" spans="1:34" ht="15.7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row>
    <row r="189" spans="1:34" ht="15.7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row>
    <row r="190" spans="1:34" ht="15.7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row>
    <row r="191" spans="1:34" ht="15.7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row>
    <row r="192" spans="1:34" ht="15.7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row>
    <row r="193" spans="1:34" ht="15.7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row>
    <row r="194" spans="1:34" ht="15.7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row>
    <row r="195" spans="1:34" ht="15.7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row>
    <row r="196" spans="1:34" ht="15.7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row>
    <row r="197" spans="1:34" ht="15.7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row>
    <row r="198" spans="1:34" ht="15.7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row>
    <row r="199" spans="1:34" ht="15.7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row>
    <row r="200" spans="1:34" ht="15.7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row>
    <row r="201" spans="1:34" ht="15.7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row>
    <row r="202" spans="1:34" ht="15.7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row>
    <row r="203" spans="1:34" ht="15.7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row>
    <row r="204" spans="1:34" ht="15.7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row>
    <row r="205" spans="1:34"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row>
    <row r="206" spans="1:34"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row>
    <row r="207" spans="1:34"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row>
    <row r="208" spans="1:34"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row>
    <row r="209" spans="1:34"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row>
    <row r="210" spans="1:34"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row>
    <row r="211" spans="1:34"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row>
    <row r="212" spans="1:34"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row>
    <row r="213" spans="1:34"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row>
    <row r="214" spans="1:34"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row>
    <row r="215" spans="1:34"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row>
    <row r="216" spans="1:34"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row>
    <row r="217" spans="1:34"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row>
    <row r="218" spans="1:34"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row>
    <row r="219" spans="1:34"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row>
    <row r="220" spans="1:34"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row>
    <row r="221" spans="1:34" ht="15.7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row>
    <row r="222" spans="1:34" ht="15.7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row>
    <row r="223" spans="1:34" ht="15.7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row>
    <row r="224" spans="1:34" ht="15.7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row>
    <row r="225" spans="1:34" ht="15.7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row>
    <row r="226" spans="1:34" ht="15.7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row>
    <row r="227" spans="1:34" ht="15.7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row>
    <row r="228" spans="1:34" ht="15.7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row>
    <row r="229" spans="1:34" ht="15.7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row>
    <row r="230" spans="1:34" ht="15.7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row>
    <row r="231" spans="1:34" ht="15.7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row>
    <row r="232" spans="1:34" ht="15.7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row>
    <row r="233" spans="1:34" ht="15.7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row>
    <row r="234" spans="1:34" ht="15.7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row>
    <row r="235" spans="1:34" ht="15.7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row>
    <row r="236" spans="1:34" ht="15.7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row>
    <row r="237" spans="1:34" ht="15.7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row>
    <row r="238" spans="1:34" ht="15.7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row>
    <row r="239" spans="1:34" ht="15.7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row>
    <row r="240" spans="1:34" ht="15.7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row>
    <row r="241" spans="1:34" ht="15.7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row>
    <row r="242" spans="1:34" ht="15.7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row>
    <row r="243" spans="1:34" ht="15.7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row>
    <row r="244" spans="1:34" ht="15.7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row>
    <row r="245" spans="1:34" ht="15.7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row>
    <row r="246" spans="1:34" ht="15.7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row>
    <row r="247" spans="1:34" ht="15.7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row>
    <row r="248" spans="1:34" ht="15.7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row>
    <row r="249" spans="1:34" ht="15.7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row>
    <row r="250" spans="1:34" ht="15.7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row>
    <row r="251" spans="1:34" ht="15.75" customHeight="1"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row>
    <row r="252" spans="1:34" ht="15.75" customHeight="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row>
    <row r="253" spans="1:34" ht="15.75" customHeight="1"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row>
    <row r="254" spans="1:34" ht="15.75" customHeight="1"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row>
    <row r="255" spans="1:34" ht="15.75" customHeight="1"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row>
    <row r="256" spans="1:34" ht="15.75" customHeight="1"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row>
    <row r="257" spans="1:34" ht="15.75" customHeight="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row>
    <row r="258" spans="1:34" ht="15.75" customHeight="1"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row>
    <row r="259" spans="1:34" ht="15.75" customHeight="1"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row>
    <row r="260" spans="1:34" ht="15.75" customHeight="1"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row>
    <row r="261" spans="1:34" ht="15.75" customHeight="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row>
    <row r="262" spans="1:34" ht="15.75" customHeight="1"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row>
    <row r="263" spans="1:34" ht="15.75"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row>
    <row r="264" spans="1:34" ht="15.75"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row>
    <row r="265" spans="1:34" ht="15.75" customHeight="1"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row>
    <row r="266" spans="1:34" ht="15.75" customHeight="1"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row>
    <row r="267" spans="1:34" ht="15.75" customHeight="1"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row>
    <row r="268" spans="1:34" ht="15.75" customHeight="1"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row>
    <row r="269" spans="1:34" ht="15.75" customHeight="1"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row>
    <row r="270" spans="1:34" ht="15.75" customHeight="1"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row>
    <row r="271" spans="1:34" ht="15.75" customHeight="1"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row>
    <row r="272" spans="1:34" ht="15.75" customHeight="1"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row>
    <row r="273" spans="1:34" ht="15.75" customHeight="1"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row>
    <row r="274" spans="1:34" ht="15.75" customHeight="1"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row>
    <row r="275" spans="1:34" ht="15.75" customHeight="1"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row>
    <row r="276" spans="1:34" ht="15.75" customHeight="1"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row>
    <row r="277" spans="1:34" ht="15.75" customHeight="1"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row>
    <row r="278" spans="1:34" ht="15.75" customHeight="1"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row>
    <row r="279" spans="1:34" ht="15.75" customHeight="1"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row>
    <row r="280" spans="1:34" ht="15.75" customHeight="1"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row>
    <row r="281" spans="1:34" ht="15.75" customHeight="1"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row>
    <row r="282" spans="1:34" ht="15.75" customHeight="1"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row>
    <row r="283" spans="1:34" ht="15.75" customHeight="1"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row>
    <row r="284" spans="1:34" ht="15.75" customHeight="1"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row>
    <row r="285" spans="1:34" ht="15.75" customHeight="1"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row>
    <row r="286" spans="1:34" ht="15.75" customHeight="1"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row>
    <row r="287" spans="1:34" ht="15.75" customHeight="1"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row>
    <row r="288" spans="1:34" ht="15.75" customHeight="1"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row>
    <row r="289" spans="1:34" ht="15.75" customHeight="1"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row>
    <row r="290" spans="1:34" ht="15.75" customHeight="1"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row>
    <row r="291" spans="1:34" ht="15.75" customHeight="1"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row>
    <row r="292" spans="1:34" ht="15.75" customHeight="1"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row>
    <row r="293" spans="1:34" ht="15.75" customHeight="1"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row>
    <row r="294" spans="1:34" ht="15.75" customHeight="1"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row>
    <row r="295" spans="1:34" ht="15.75" customHeight="1"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row>
    <row r="296" spans="1:34" ht="15.75" customHeight="1"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row>
    <row r="297" spans="1:34" ht="15.75" customHeight="1"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row>
    <row r="298" spans="1:34" ht="15.75" customHeight="1"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row>
    <row r="299" spans="1:34" ht="15.75" customHeight="1"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row>
    <row r="300" spans="1:34" ht="15.75" customHeight="1"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row>
    <row r="301" spans="1:34" ht="15.75" customHeight="1"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row>
    <row r="302" spans="1:34" ht="15.75" customHeight="1"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row>
    <row r="303" spans="1:34" ht="15.75" customHeight="1"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row>
    <row r="304" spans="1:34" ht="15.75" customHeight="1"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row>
    <row r="305" spans="1:34" ht="15.75" customHeight="1"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row>
    <row r="306" spans="1:34" ht="15.75" customHeight="1"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row>
    <row r="307" spans="1:34" ht="15.75" customHeight="1"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row>
    <row r="308" spans="1:34" ht="15.75" customHeight="1"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row>
    <row r="309" spans="1:34" ht="15.75" customHeight="1" x14ac:dyDescent="0.2"/>
    <row r="310" spans="1:34" ht="15.75" customHeight="1" x14ac:dyDescent="0.2"/>
    <row r="311" spans="1:34" ht="15.75" customHeight="1" x14ac:dyDescent="0.2"/>
    <row r="312" spans="1:34" ht="15.75" customHeight="1" x14ac:dyDescent="0.2"/>
    <row r="313" spans="1:34" ht="15.75" customHeight="1" x14ac:dyDescent="0.2"/>
    <row r="314" spans="1:34" ht="15.75" customHeight="1" x14ac:dyDescent="0.2"/>
    <row r="315" spans="1:34" ht="15.75" customHeight="1" x14ac:dyDescent="0.2"/>
    <row r="316" spans="1:34" ht="15.75" customHeight="1" x14ac:dyDescent="0.2"/>
    <row r="317" spans="1:34" ht="15.75" customHeight="1" x14ac:dyDescent="0.2"/>
    <row r="318" spans="1:34" ht="15.75" customHeight="1" x14ac:dyDescent="0.2"/>
    <row r="319" spans="1:34" ht="15.75" customHeight="1" x14ac:dyDescent="0.2"/>
    <row r="320" spans="1:34"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47">
    <mergeCell ref="A2:K2"/>
    <mergeCell ref="O6:P6"/>
    <mergeCell ref="D18:E18"/>
    <mergeCell ref="F18:G18"/>
    <mergeCell ref="D19:E19"/>
    <mergeCell ref="F19:G19"/>
    <mergeCell ref="F20:G20"/>
    <mergeCell ref="D20:E20"/>
    <mergeCell ref="D21:E21"/>
    <mergeCell ref="F21:G21"/>
    <mergeCell ref="D22:E22"/>
    <mergeCell ref="F22:G22"/>
    <mergeCell ref="D23:E23"/>
    <mergeCell ref="F23:G23"/>
    <mergeCell ref="D24:E24"/>
    <mergeCell ref="F24:G24"/>
    <mergeCell ref="D25:E25"/>
    <mergeCell ref="F25:G25"/>
    <mergeCell ref="D26:E26"/>
    <mergeCell ref="F26:G26"/>
    <mergeCell ref="B29:F29"/>
    <mergeCell ref="F35:G35"/>
    <mergeCell ref="F36:G36"/>
    <mergeCell ref="F45:H45"/>
    <mergeCell ref="D31:E31"/>
    <mergeCell ref="F31:G31"/>
    <mergeCell ref="D32:E32"/>
    <mergeCell ref="F32:G32"/>
    <mergeCell ref="D33:E33"/>
    <mergeCell ref="F33:G33"/>
    <mergeCell ref="F34:G34"/>
    <mergeCell ref="D43:E43"/>
    <mergeCell ref="D44:E44"/>
    <mergeCell ref="D45:E45"/>
    <mergeCell ref="F37:G37"/>
    <mergeCell ref="F38:G38"/>
    <mergeCell ref="F39:G39"/>
    <mergeCell ref="F42:H42"/>
    <mergeCell ref="F43:H43"/>
    <mergeCell ref="D49:E49"/>
    <mergeCell ref="D34:E34"/>
    <mergeCell ref="D35:E35"/>
    <mergeCell ref="D36:E36"/>
    <mergeCell ref="D37:E37"/>
    <mergeCell ref="D38:E38"/>
    <mergeCell ref="D39:E39"/>
    <mergeCell ref="D42:E42"/>
  </mergeCells>
  <pageMargins left="0.7" right="0.7" top="0.75" bottom="0.75" header="0" footer="0"/>
  <pageSetup orientation="landscape"/>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1000"/>
  <sheetViews>
    <sheetView workbookViewId="0"/>
  </sheetViews>
  <sheetFormatPr defaultColWidth="16.83203125" defaultRowHeight="15" customHeight="1" x14ac:dyDescent="0.2"/>
  <cols>
    <col min="1" max="1" width="3.6640625" customWidth="1"/>
    <col min="2" max="2" width="30.33203125" customWidth="1"/>
    <col min="3" max="3" width="17.1640625" customWidth="1"/>
    <col min="4" max="4" width="21.6640625" customWidth="1"/>
    <col min="5" max="5" width="18.1640625" customWidth="1"/>
    <col min="6" max="6" width="17.83203125" customWidth="1"/>
    <col min="7" max="7" width="18.83203125" customWidth="1"/>
    <col min="8" max="9" width="18" customWidth="1"/>
    <col min="11" max="11" width="20.1640625" customWidth="1"/>
    <col min="12" max="12" width="9.33203125" customWidth="1"/>
    <col min="13" max="26" width="8" customWidth="1"/>
  </cols>
  <sheetData>
    <row r="1" spans="1:26" x14ac:dyDescent="0.25">
      <c r="A1" s="3" t="s">
        <v>833</v>
      </c>
      <c r="B1" s="16"/>
      <c r="C1" s="3"/>
      <c r="D1" s="3"/>
      <c r="E1" s="22"/>
      <c r="F1" s="3"/>
      <c r="G1" s="3"/>
      <c r="H1" s="3"/>
      <c r="I1" s="3"/>
      <c r="J1" s="3"/>
      <c r="K1" s="3"/>
      <c r="L1" s="3"/>
      <c r="M1" s="3"/>
      <c r="N1" s="3"/>
      <c r="O1" s="3"/>
      <c r="P1" s="3"/>
      <c r="Q1" s="3"/>
      <c r="R1" s="3"/>
      <c r="S1" s="3"/>
      <c r="T1" s="3"/>
      <c r="U1" s="3"/>
      <c r="V1" s="3"/>
      <c r="W1" s="3"/>
      <c r="X1" s="3"/>
      <c r="Y1" s="3"/>
      <c r="Z1" s="3"/>
    </row>
    <row r="2" spans="1:26" ht="171.75" customHeight="1" x14ac:dyDescent="0.25">
      <c r="A2" s="3"/>
      <c r="B2" s="3"/>
      <c r="C2" s="3"/>
      <c r="D2" s="3"/>
      <c r="E2" s="3"/>
      <c r="F2" s="3"/>
      <c r="G2" s="3"/>
      <c r="H2" s="3"/>
      <c r="I2" s="3"/>
      <c r="J2" s="3"/>
      <c r="K2" s="3"/>
      <c r="L2" s="3"/>
      <c r="M2" s="3"/>
      <c r="N2" s="3"/>
      <c r="O2" s="3"/>
      <c r="P2" s="3"/>
      <c r="Q2" s="3"/>
      <c r="R2" s="3"/>
      <c r="S2" s="3"/>
      <c r="T2" s="3"/>
      <c r="U2" s="3"/>
      <c r="V2" s="3"/>
      <c r="W2" s="3"/>
      <c r="X2" s="3"/>
      <c r="Y2" s="3"/>
      <c r="Z2" s="3"/>
    </row>
    <row r="3" spans="1:26" x14ac:dyDescent="0.25">
      <c r="A3" s="3"/>
      <c r="B3" s="60"/>
      <c r="C3" s="3"/>
      <c r="D3" s="3"/>
      <c r="E3" s="864"/>
      <c r="F3" s="3"/>
      <c r="G3" s="864"/>
      <c r="H3" s="542"/>
      <c r="I3" s="905"/>
      <c r="J3" s="990"/>
      <c r="K3" s="3"/>
      <c r="L3" s="3"/>
      <c r="M3" s="3"/>
      <c r="N3" s="3"/>
      <c r="O3" s="3"/>
      <c r="P3" s="3"/>
      <c r="Q3" s="3"/>
      <c r="R3" s="3"/>
      <c r="S3" s="3"/>
      <c r="T3" s="3"/>
      <c r="U3" s="3"/>
      <c r="V3" s="3"/>
      <c r="W3" s="3"/>
      <c r="X3" s="3"/>
      <c r="Y3" s="3"/>
      <c r="Z3" s="3"/>
    </row>
    <row r="4" spans="1:26" x14ac:dyDescent="0.25">
      <c r="A4" s="3"/>
      <c r="B4" s="993" t="s">
        <v>841</v>
      </c>
      <c r="C4" s="994"/>
      <c r="D4" s="993">
        <v>2011</v>
      </c>
      <c r="E4" s="995"/>
      <c r="F4" s="994"/>
      <c r="G4" s="864"/>
      <c r="H4" s="3"/>
      <c r="I4" s="3"/>
      <c r="J4" s="3"/>
      <c r="K4" s="3"/>
      <c r="L4" s="3"/>
      <c r="M4" s="3"/>
      <c r="N4" s="3"/>
      <c r="O4" s="3"/>
      <c r="P4" s="3"/>
      <c r="Q4" s="3"/>
      <c r="R4" s="3"/>
      <c r="S4" s="3"/>
      <c r="T4" s="3"/>
      <c r="U4" s="3"/>
      <c r="V4" s="3"/>
      <c r="W4" s="3"/>
      <c r="X4" s="3"/>
      <c r="Y4" s="3"/>
      <c r="Z4" s="3"/>
    </row>
    <row r="5" spans="1:26" x14ac:dyDescent="0.25">
      <c r="A5" s="3"/>
      <c r="B5" s="3"/>
      <c r="C5" s="3"/>
      <c r="D5" s="3"/>
      <c r="E5" s="864"/>
      <c r="F5" s="3"/>
      <c r="G5" s="864"/>
      <c r="H5" s="3"/>
      <c r="I5" s="3"/>
      <c r="J5" s="3"/>
      <c r="K5" s="3"/>
      <c r="L5" s="3"/>
      <c r="M5" s="3"/>
      <c r="N5" s="3"/>
      <c r="O5" s="3"/>
      <c r="P5" s="3"/>
      <c r="Q5" s="3"/>
      <c r="R5" s="3"/>
      <c r="S5" s="3"/>
      <c r="T5" s="3"/>
      <c r="U5" s="3"/>
      <c r="V5" s="3"/>
      <c r="W5" s="3"/>
      <c r="X5" s="3"/>
      <c r="Y5" s="3"/>
      <c r="Z5" s="3"/>
    </row>
    <row r="6" spans="1:26" ht="15.75" customHeight="1" x14ac:dyDescent="0.3">
      <c r="A6" s="3"/>
      <c r="B6" s="797"/>
      <c r="C6" s="800" t="s">
        <v>845</v>
      </c>
      <c r="D6" s="800" t="s">
        <v>738</v>
      </c>
      <c r="E6" s="800" t="s">
        <v>846</v>
      </c>
      <c r="F6" s="801" t="s">
        <v>848</v>
      </c>
      <c r="G6" s="864"/>
      <c r="H6" s="3"/>
      <c r="I6" s="864"/>
      <c r="J6" s="3"/>
      <c r="K6" s="3"/>
      <c r="L6" s="3"/>
      <c r="M6" s="3"/>
      <c r="N6" s="3"/>
      <c r="O6" s="3"/>
      <c r="P6" s="3"/>
      <c r="Q6" s="3"/>
      <c r="R6" s="3"/>
      <c r="S6" s="3"/>
      <c r="T6" s="3"/>
      <c r="U6" s="3"/>
      <c r="V6" s="3"/>
      <c r="W6" s="3"/>
      <c r="X6" s="3"/>
      <c r="Y6" s="3"/>
      <c r="Z6" s="3"/>
    </row>
    <row r="7" spans="1:26" ht="27.75" customHeight="1" x14ac:dyDescent="0.25">
      <c r="A7" s="3"/>
      <c r="B7" s="278"/>
      <c r="C7" s="3"/>
      <c r="D7" s="997" t="s">
        <v>849</v>
      </c>
      <c r="E7" s="3"/>
      <c r="F7" s="649"/>
      <c r="G7" s="864"/>
      <c r="H7" s="3"/>
      <c r="I7" s="864"/>
      <c r="J7" s="3"/>
      <c r="K7" s="3"/>
      <c r="L7" s="3"/>
      <c r="M7" s="3"/>
      <c r="N7" s="3"/>
      <c r="O7" s="3"/>
      <c r="P7" s="3"/>
      <c r="Q7" s="3"/>
      <c r="R7" s="3"/>
      <c r="S7" s="3"/>
      <c r="T7" s="3"/>
      <c r="U7" s="3"/>
      <c r="V7" s="3"/>
      <c r="W7" s="3"/>
      <c r="X7" s="3"/>
      <c r="Y7" s="3"/>
      <c r="Z7" s="3"/>
    </row>
    <row r="8" spans="1:26" x14ac:dyDescent="0.25">
      <c r="A8" s="3"/>
      <c r="B8" s="999" t="s">
        <v>850</v>
      </c>
      <c r="C8" s="624">
        <v>8</v>
      </c>
      <c r="D8" s="730">
        <v>4.1021717966689701</v>
      </c>
      <c r="E8" s="624">
        <f>C8*D8</f>
        <v>32.817374373351761</v>
      </c>
      <c r="F8" s="1004">
        <f t="shared" ref="F8:F9" si="0">E8*$I$26/1000000</f>
        <v>9.1560474501651418E-4</v>
      </c>
      <c r="G8" s="864"/>
      <c r="H8" s="3"/>
      <c r="I8" s="905"/>
      <c r="J8" s="3"/>
      <c r="K8" s="3"/>
      <c r="L8" s="3"/>
      <c r="M8" s="3"/>
      <c r="N8" s="3"/>
      <c r="O8" s="3"/>
      <c r="P8" s="3"/>
      <c r="Q8" s="3"/>
      <c r="R8" s="3"/>
      <c r="S8" s="3"/>
      <c r="T8" s="3"/>
      <c r="U8" s="3"/>
      <c r="V8" s="3"/>
      <c r="W8" s="3"/>
      <c r="X8" s="3"/>
      <c r="Y8" s="3"/>
      <c r="Z8" s="3"/>
    </row>
    <row r="9" spans="1:26" ht="45" customHeight="1" x14ac:dyDescent="0.25">
      <c r="A9" s="3"/>
      <c r="B9" s="999" t="s">
        <v>856</v>
      </c>
      <c r="C9" s="624">
        <v>0</v>
      </c>
      <c r="D9" s="730">
        <v>13.055796863999998</v>
      </c>
      <c r="E9" s="624">
        <v>0</v>
      </c>
      <c r="F9" s="1004">
        <f t="shared" si="0"/>
        <v>0</v>
      </c>
      <c r="G9" s="864"/>
      <c r="H9" s="3"/>
      <c r="I9" s="905"/>
      <c r="J9" s="3"/>
      <c r="K9" s="3"/>
      <c r="L9" s="3"/>
      <c r="M9" s="3"/>
      <c r="N9" s="3"/>
      <c r="O9" s="3"/>
      <c r="P9" s="3"/>
      <c r="Q9" s="3"/>
      <c r="R9" s="3"/>
      <c r="S9" s="3"/>
      <c r="T9" s="3"/>
      <c r="U9" s="3"/>
      <c r="V9" s="3"/>
      <c r="W9" s="3"/>
      <c r="X9" s="3"/>
      <c r="Y9" s="3"/>
      <c r="Z9" s="3"/>
    </row>
    <row r="10" spans="1:26" x14ac:dyDescent="0.25">
      <c r="A10" s="3"/>
      <c r="B10" s="852" t="s">
        <v>857</v>
      </c>
      <c r="C10" s="76"/>
      <c r="D10" s="1006"/>
      <c r="E10" s="1007">
        <v>21.095017507998922</v>
      </c>
      <c r="F10" s="1008">
        <f>F8+F9</f>
        <v>9.1560474501651418E-4</v>
      </c>
      <c r="G10" s="864"/>
      <c r="H10" s="3"/>
      <c r="I10" s="905"/>
      <c r="J10" s="3"/>
      <c r="K10" s="3"/>
      <c r="L10" s="3"/>
      <c r="M10" s="3"/>
      <c r="N10" s="3"/>
      <c r="O10" s="3"/>
      <c r="P10" s="3"/>
      <c r="Q10" s="3"/>
      <c r="R10" s="3"/>
      <c r="S10" s="3"/>
      <c r="T10" s="3"/>
      <c r="U10" s="3"/>
      <c r="V10" s="3"/>
      <c r="W10" s="3"/>
      <c r="X10" s="3"/>
      <c r="Y10" s="3"/>
      <c r="Z10" s="3"/>
    </row>
    <row r="11" spans="1:26" x14ac:dyDescent="0.25">
      <c r="A11" s="3"/>
      <c r="B11" s="318"/>
      <c r="C11" s="532"/>
      <c r="D11" s="532"/>
      <c r="E11" s="532"/>
      <c r="F11" s="656"/>
      <c r="G11" s="3"/>
      <c r="H11" s="3"/>
      <c r="I11" s="3"/>
      <c r="J11" s="3"/>
      <c r="K11" s="3"/>
      <c r="L11" s="3"/>
      <c r="M11" s="3"/>
      <c r="N11" s="3"/>
      <c r="O11" s="3"/>
      <c r="P11" s="3"/>
      <c r="Q11" s="3"/>
      <c r="R11" s="3"/>
      <c r="S11" s="3"/>
      <c r="T11" s="3"/>
      <c r="U11" s="3"/>
      <c r="V11" s="3"/>
      <c r="W11" s="3"/>
      <c r="X11" s="3"/>
      <c r="Y11" s="3"/>
      <c r="Z11" s="3"/>
    </row>
    <row r="12" spans="1:26" x14ac:dyDescent="0.25">
      <c r="A12" s="3"/>
      <c r="B12" s="3"/>
      <c r="C12" s="3"/>
      <c r="D12" s="3"/>
      <c r="E12" s="3"/>
      <c r="F12" s="3"/>
      <c r="G12" s="3"/>
      <c r="H12" s="3"/>
      <c r="I12" s="3"/>
      <c r="J12" s="3"/>
      <c r="K12" s="3"/>
      <c r="L12" s="3"/>
      <c r="M12" s="3"/>
      <c r="N12" s="3"/>
      <c r="O12" s="3"/>
      <c r="P12" s="3"/>
      <c r="Q12" s="3"/>
      <c r="R12" s="3"/>
      <c r="S12" s="3"/>
      <c r="T12" s="3"/>
      <c r="U12" s="3"/>
      <c r="V12" s="3"/>
      <c r="W12" s="3"/>
      <c r="X12" s="3"/>
      <c r="Y12" s="3"/>
      <c r="Z12" s="3"/>
    </row>
    <row r="13" spans="1:26" ht="30" customHeight="1" x14ac:dyDescent="0.25">
      <c r="A13" s="3"/>
      <c r="B13" s="2319" t="s">
        <v>864</v>
      </c>
      <c r="C13" s="2317"/>
      <c r="D13" s="2317"/>
      <c r="E13" s="2317"/>
      <c r="F13" s="2317"/>
      <c r="G13" s="2317"/>
      <c r="H13" s="2317"/>
      <c r="I13" s="2317"/>
      <c r="J13" s="3"/>
      <c r="K13" s="3"/>
      <c r="L13" s="3"/>
      <c r="M13" s="3"/>
      <c r="N13" s="3"/>
      <c r="O13" s="3"/>
      <c r="P13" s="3"/>
      <c r="Q13" s="3"/>
      <c r="R13" s="3"/>
      <c r="S13" s="3"/>
      <c r="T13" s="3"/>
      <c r="U13" s="3"/>
      <c r="V13" s="3"/>
      <c r="W13" s="3"/>
      <c r="X13" s="3"/>
      <c r="Y13" s="3"/>
      <c r="Z13" s="3"/>
    </row>
    <row r="14" spans="1:26" x14ac:dyDescent="0.25">
      <c r="A14" s="3"/>
      <c r="B14" s="3"/>
      <c r="C14" s="1013" t="s">
        <v>865</v>
      </c>
      <c r="D14" s="3"/>
      <c r="E14" s="3"/>
      <c r="F14" s="3"/>
      <c r="G14" s="3"/>
      <c r="H14" s="3"/>
      <c r="I14" s="3"/>
      <c r="J14" s="3"/>
      <c r="K14" s="3"/>
      <c r="L14" s="3"/>
      <c r="M14" s="3"/>
      <c r="N14" s="3"/>
      <c r="O14" s="3"/>
      <c r="P14" s="3"/>
      <c r="Q14" s="3"/>
      <c r="R14" s="3"/>
      <c r="S14" s="3"/>
      <c r="T14" s="3"/>
      <c r="U14" s="3"/>
      <c r="V14" s="3"/>
      <c r="W14" s="3"/>
      <c r="X14" s="3"/>
      <c r="Y14" s="3"/>
      <c r="Z14" s="3"/>
    </row>
    <row r="15" spans="1:26" ht="12.75" customHeight="1" x14ac:dyDescent="0.25">
      <c r="A15" s="3"/>
      <c r="B15" s="2319" t="s">
        <v>873</v>
      </c>
      <c r="C15" s="2317"/>
      <c r="D15" s="2317"/>
      <c r="E15" s="2317"/>
      <c r="F15" s="2317"/>
      <c r="G15" s="2317"/>
      <c r="H15" s="2317"/>
      <c r="I15" s="2317"/>
      <c r="J15" s="3"/>
      <c r="K15" s="3"/>
      <c r="L15" s="3"/>
      <c r="M15" s="3"/>
      <c r="N15" s="3"/>
      <c r="O15" s="3"/>
      <c r="P15" s="3"/>
      <c r="Q15" s="3"/>
      <c r="R15" s="3"/>
      <c r="S15" s="3"/>
      <c r="T15" s="3"/>
      <c r="U15" s="3"/>
      <c r="V15" s="3"/>
      <c r="W15" s="3"/>
      <c r="X15" s="3"/>
      <c r="Y15" s="3"/>
      <c r="Z15" s="3"/>
    </row>
    <row r="16" spans="1:26" x14ac:dyDescent="0.25">
      <c r="A16" s="3"/>
      <c r="B16" s="3"/>
      <c r="C16" s="3"/>
      <c r="D16" s="3"/>
      <c r="E16" s="3"/>
      <c r="F16" s="3"/>
      <c r="G16" s="3"/>
      <c r="H16" s="3"/>
      <c r="I16" s="3"/>
      <c r="J16" s="3"/>
      <c r="K16" s="3"/>
      <c r="L16" s="3"/>
      <c r="M16" s="3"/>
      <c r="N16" s="3"/>
      <c r="O16" s="3"/>
      <c r="P16" s="3"/>
      <c r="Q16" s="3"/>
      <c r="R16" s="3"/>
      <c r="S16" s="3"/>
      <c r="T16" s="3"/>
      <c r="U16" s="3"/>
      <c r="V16" s="3"/>
      <c r="W16" s="3"/>
      <c r="X16" s="3"/>
      <c r="Y16" s="3"/>
      <c r="Z16" s="3"/>
    </row>
    <row r="17" spans="1:26" x14ac:dyDescent="0.25">
      <c r="A17" s="3"/>
      <c r="B17" s="3"/>
      <c r="C17" s="3"/>
      <c r="D17" s="3"/>
      <c r="E17" s="3"/>
      <c r="F17" s="3"/>
      <c r="G17" s="3"/>
      <c r="H17" s="3"/>
      <c r="I17" s="3"/>
      <c r="J17" s="3"/>
      <c r="K17" s="3"/>
      <c r="L17" s="3"/>
      <c r="M17" s="3"/>
      <c r="N17" s="3"/>
      <c r="O17" s="3"/>
      <c r="P17" s="3"/>
      <c r="Q17" s="3"/>
      <c r="R17" s="3"/>
      <c r="S17" s="3"/>
      <c r="T17" s="3"/>
      <c r="U17" s="3"/>
      <c r="V17" s="3"/>
      <c r="W17" s="3"/>
      <c r="X17" s="3"/>
      <c r="Y17" s="3"/>
      <c r="Z17" s="3"/>
    </row>
    <row r="18" spans="1:26" x14ac:dyDescent="0.25">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x14ac:dyDescent="0.25">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x14ac:dyDescent="0.25">
      <c r="A20" s="3"/>
      <c r="B20" s="1021" t="s">
        <v>882</v>
      </c>
      <c r="C20" s="1021"/>
      <c r="D20" s="1022"/>
      <c r="E20" s="1022"/>
      <c r="F20" s="1022"/>
      <c r="G20" s="3"/>
      <c r="H20" s="3"/>
      <c r="I20" s="3"/>
      <c r="J20" s="3"/>
      <c r="K20" s="3"/>
      <c r="L20" s="3"/>
      <c r="M20" s="3"/>
      <c r="N20" s="3"/>
      <c r="O20" s="3"/>
      <c r="P20" s="3"/>
      <c r="Q20" s="3"/>
      <c r="R20" s="3"/>
      <c r="S20" s="3"/>
      <c r="T20" s="3"/>
      <c r="U20" s="3"/>
      <c r="V20" s="3"/>
      <c r="W20" s="3"/>
      <c r="X20" s="3"/>
      <c r="Y20" s="3"/>
      <c r="Z20" s="3"/>
    </row>
    <row r="21" spans="1:26" ht="15.75" customHeight="1" x14ac:dyDescent="0.25">
      <c r="A21" s="3"/>
      <c r="B21" s="3"/>
      <c r="C21" s="2319"/>
      <c r="D21" s="2317"/>
      <c r="E21" s="2317"/>
      <c r="F21" s="2317"/>
      <c r="G21" s="3"/>
      <c r="H21" s="3"/>
      <c r="I21" s="3"/>
      <c r="J21" s="3"/>
      <c r="K21" s="3"/>
      <c r="L21" s="3"/>
      <c r="M21" s="3"/>
      <c r="N21" s="3"/>
      <c r="O21" s="3"/>
      <c r="P21" s="3"/>
      <c r="Q21" s="3"/>
      <c r="R21" s="3"/>
      <c r="S21" s="3"/>
      <c r="T21" s="3"/>
      <c r="U21" s="3"/>
      <c r="V21" s="3"/>
      <c r="W21" s="3"/>
      <c r="X21" s="3"/>
      <c r="Y21" s="3"/>
      <c r="Z21" s="3"/>
    </row>
    <row r="22" spans="1:26" ht="15.75" customHeight="1" x14ac:dyDescent="0.25">
      <c r="A22" s="3"/>
      <c r="B22" s="797"/>
      <c r="C22" s="800" t="s">
        <v>845</v>
      </c>
      <c r="D22" s="800" t="s">
        <v>738</v>
      </c>
      <c r="E22" s="800" t="s">
        <v>890</v>
      </c>
      <c r="F22" s="801" t="s">
        <v>891</v>
      </c>
      <c r="G22" s="13"/>
      <c r="H22" s="3"/>
      <c r="I22" s="3"/>
      <c r="J22" s="3"/>
      <c r="K22" s="3"/>
      <c r="L22" s="3"/>
      <c r="M22" s="3"/>
      <c r="N22" s="3"/>
      <c r="O22" s="3"/>
      <c r="P22" s="3"/>
      <c r="Q22" s="3"/>
      <c r="R22" s="3"/>
      <c r="S22" s="3"/>
      <c r="T22" s="3"/>
      <c r="U22" s="3"/>
      <c r="V22" s="3"/>
      <c r="W22" s="3"/>
      <c r="X22" s="3"/>
      <c r="Y22" s="3"/>
      <c r="Z22" s="3"/>
    </row>
    <row r="23" spans="1:26" ht="25.5" customHeight="1" x14ac:dyDescent="0.25">
      <c r="A23" s="3"/>
      <c r="B23" s="1031" t="s">
        <v>892</v>
      </c>
      <c r="C23" s="3"/>
      <c r="D23" s="997" t="s">
        <v>894</v>
      </c>
      <c r="E23" s="786"/>
      <c r="F23" s="1032"/>
      <c r="G23" s="786"/>
      <c r="H23" s="2312" t="s">
        <v>1</v>
      </c>
      <c r="I23" s="2313"/>
      <c r="J23" s="3"/>
      <c r="K23" s="3"/>
      <c r="L23" s="3"/>
      <c r="M23" s="3"/>
      <c r="N23" s="3"/>
      <c r="O23" s="3"/>
      <c r="P23" s="3"/>
      <c r="Q23" s="3"/>
      <c r="R23" s="3"/>
      <c r="S23" s="3"/>
      <c r="T23" s="3"/>
      <c r="U23" s="3"/>
      <c r="V23" s="3"/>
      <c r="W23" s="3"/>
      <c r="X23" s="3"/>
      <c r="Y23" s="3"/>
      <c r="Z23" s="3"/>
    </row>
    <row r="24" spans="1:26" ht="15.75" customHeight="1" x14ac:dyDescent="0.25">
      <c r="A24" s="3"/>
      <c r="B24" s="1031"/>
      <c r="C24" s="3"/>
      <c r="D24" s="3"/>
      <c r="E24" s="41"/>
      <c r="F24" s="1033"/>
      <c r="G24" s="41"/>
      <c r="H24" s="236"/>
      <c r="I24" s="236"/>
      <c r="J24" s="3"/>
      <c r="K24" s="3"/>
      <c r="L24" s="3"/>
      <c r="M24" s="3"/>
      <c r="N24" s="3"/>
      <c r="O24" s="3"/>
      <c r="P24" s="3"/>
      <c r="Q24" s="3"/>
      <c r="R24" s="3"/>
      <c r="S24" s="3"/>
      <c r="T24" s="3"/>
      <c r="U24" s="3"/>
      <c r="V24" s="3"/>
      <c r="W24" s="3"/>
      <c r="X24" s="3"/>
      <c r="Y24" s="3"/>
      <c r="Z24" s="3"/>
    </row>
    <row r="25" spans="1:26" ht="30" customHeight="1" x14ac:dyDescent="0.25">
      <c r="A25" s="3"/>
      <c r="B25" s="1036" t="s">
        <v>896</v>
      </c>
      <c r="C25" s="771">
        <v>1422.17</v>
      </c>
      <c r="D25" s="730">
        <v>5.8037235656204409</v>
      </c>
      <c r="E25" s="772">
        <f t="shared" ref="E25:E28" si="1">C25*D25</f>
        <v>8253.8815433184227</v>
      </c>
      <c r="F25" s="1042">
        <f t="shared" ref="F25:F28" si="2">E25*$I$26/1000000</f>
        <v>0.230283295058584</v>
      </c>
      <c r="G25" s="1044"/>
      <c r="H25" s="241" t="s">
        <v>188</v>
      </c>
      <c r="I25" s="243">
        <f>Summary!E4</f>
        <v>1</v>
      </c>
      <c r="J25" s="3"/>
      <c r="K25" s="3"/>
      <c r="L25" s="3"/>
      <c r="M25" s="3"/>
      <c r="N25" s="3"/>
      <c r="O25" s="3"/>
      <c r="P25" s="3"/>
      <c r="Q25" s="3"/>
      <c r="R25" s="3"/>
      <c r="S25" s="3"/>
      <c r="T25" s="3"/>
      <c r="U25" s="3"/>
      <c r="V25" s="3"/>
      <c r="W25" s="3"/>
      <c r="X25" s="3"/>
      <c r="Y25" s="3"/>
      <c r="Z25" s="3"/>
    </row>
    <row r="26" spans="1:26" ht="45" customHeight="1" x14ac:dyDescent="0.25">
      <c r="A26" s="3"/>
      <c r="B26" s="1036" t="s">
        <v>905</v>
      </c>
      <c r="C26" s="771">
        <v>491.27</v>
      </c>
      <c r="D26" s="730">
        <v>2.1221753994811778</v>
      </c>
      <c r="E26" s="771">
        <f t="shared" si="1"/>
        <v>1042.5611085031182</v>
      </c>
      <c r="F26" s="1042">
        <f t="shared" si="2"/>
        <v>2.9087454927236998E-2</v>
      </c>
      <c r="G26" s="1044"/>
      <c r="H26" s="241" t="s">
        <v>192</v>
      </c>
      <c r="I26" s="243">
        <f>Summary!E5</f>
        <v>27.9</v>
      </c>
      <c r="J26" s="3"/>
      <c r="K26" s="3"/>
      <c r="L26" s="3"/>
      <c r="M26" s="3"/>
      <c r="N26" s="3"/>
      <c r="O26" s="3"/>
      <c r="P26" s="3"/>
      <c r="Q26" s="3"/>
      <c r="R26" s="3"/>
      <c r="S26" s="3"/>
      <c r="T26" s="3"/>
      <c r="U26" s="3"/>
      <c r="V26" s="3"/>
      <c r="W26" s="3"/>
      <c r="X26" s="3"/>
      <c r="Y26" s="3"/>
      <c r="Z26" s="3"/>
    </row>
    <row r="27" spans="1:26" ht="30" customHeight="1" x14ac:dyDescent="0.25">
      <c r="A27" s="3"/>
      <c r="B27" s="1036" t="s">
        <v>908</v>
      </c>
      <c r="C27" s="771">
        <v>5263.38</v>
      </c>
      <c r="D27" s="730">
        <v>6.0046884276387047E-2</v>
      </c>
      <c r="E27" s="771">
        <f t="shared" si="1"/>
        <v>316.04956976265004</v>
      </c>
      <c r="F27" s="1042">
        <f t="shared" si="2"/>
        <v>8.8177829963779347E-3</v>
      </c>
      <c r="G27" s="1044"/>
      <c r="H27" s="241" t="s">
        <v>194</v>
      </c>
      <c r="I27" s="243">
        <f>Summary!E6</f>
        <v>273</v>
      </c>
      <c r="J27" s="3"/>
      <c r="K27" s="3"/>
      <c r="L27" s="3"/>
      <c r="M27" s="3"/>
      <c r="N27" s="3"/>
      <c r="O27" s="3"/>
      <c r="P27" s="3"/>
      <c r="Q27" s="3"/>
      <c r="R27" s="3"/>
      <c r="S27" s="3"/>
      <c r="T27" s="3"/>
      <c r="U27" s="3"/>
      <c r="V27" s="3"/>
      <c r="W27" s="3"/>
      <c r="X27" s="3"/>
      <c r="Y27" s="3"/>
      <c r="Z27" s="3"/>
    </row>
    <row r="28" spans="1:26" ht="30" customHeight="1" x14ac:dyDescent="0.25">
      <c r="A28" s="3"/>
      <c r="B28" s="1036" t="s">
        <v>910</v>
      </c>
      <c r="C28" s="771">
        <v>7165.39</v>
      </c>
      <c r="D28" s="730">
        <v>0.37164760100393374</v>
      </c>
      <c r="E28" s="771">
        <f t="shared" si="1"/>
        <v>2663.0000037575769</v>
      </c>
      <c r="F28" s="1042">
        <f t="shared" si="2"/>
        <v>7.4297700104836384E-2</v>
      </c>
      <c r="G28" s="1044"/>
      <c r="H28" s="241" t="s">
        <v>197</v>
      </c>
      <c r="I28" s="243">
        <f>Summary!E7</f>
        <v>24300</v>
      </c>
      <c r="J28" s="3"/>
      <c r="K28" s="3"/>
      <c r="L28" s="3"/>
      <c r="M28" s="3"/>
      <c r="N28" s="3"/>
      <c r="O28" s="3"/>
      <c r="P28" s="3"/>
      <c r="Q28" s="3"/>
      <c r="R28" s="3"/>
      <c r="S28" s="3"/>
      <c r="T28" s="3"/>
      <c r="U28" s="3"/>
      <c r="V28" s="3"/>
      <c r="W28" s="3"/>
      <c r="X28" s="3"/>
      <c r="Y28" s="3"/>
      <c r="Z28" s="3"/>
    </row>
    <row r="29" spans="1:26" ht="15.75" customHeight="1" x14ac:dyDescent="0.25">
      <c r="A29" s="3"/>
      <c r="B29" s="278"/>
      <c r="C29" s="1051"/>
      <c r="D29" s="1052"/>
      <c r="E29" s="1051"/>
      <c r="F29" s="1054"/>
      <c r="G29" s="1044"/>
      <c r="H29" s="241"/>
      <c r="I29" s="243"/>
      <c r="J29" s="3"/>
      <c r="K29" s="3"/>
      <c r="L29" s="3"/>
      <c r="M29" s="3"/>
      <c r="N29" s="3"/>
      <c r="O29" s="3"/>
      <c r="P29" s="3"/>
      <c r="Q29" s="3"/>
      <c r="R29" s="3"/>
      <c r="S29" s="3"/>
      <c r="T29" s="3"/>
      <c r="U29" s="3"/>
      <c r="V29" s="3"/>
      <c r="W29" s="3"/>
      <c r="X29" s="3"/>
      <c r="Y29" s="3"/>
      <c r="Z29" s="3"/>
    </row>
    <row r="30" spans="1:26" ht="15.75" customHeight="1" x14ac:dyDescent="0.25">
      <c r="A30" s="3"/>
      <c r="B30" s="1031" t="s">
        <v>916</v>
      </c>
      <c r="C30" s="1051"/>
      <c r="D30" s="1052"/>
      <c r="E30" s="1051"/>
      <c r="F30" s="1054"/>
      <c r="G30" s="1044"/>
      <c r="H30" s="3"/>
      <c r="I30" s="3"/>
      <c r="J30" s="3"/>
      <c r="K30" s="3"/>
      <c r="L30" s="3"/>
      <c r="M30" s="3"/>
      <c r="N30" s="3"/>
      <c r="O30" s="3"/>
      <c r="P30" s="3"/>
      <c r="Q30" s="3"/>
      <c r="R30" s="3"/>
      <c r="S30" s="3"/>
      <c r="T30" s="3"/>
      <c r="U30" s="3"/>
      <c r="V30" s="3"/>
      <c r="W30" s="3"/>
      <c r="X30" s="3"/>
      <c r="Y30" s="3"/>
      <c r="Z30" s="3"/>
    </row>
    <row r="31" spans="1:26" ht="15.75" customHeight="1" x14ac:dyDescent="0.25">
      <c r="A31" s="3"/>
      <c r="B31" s="1036" t="s">
        <v>919</v>
      </c>
      <c r="C31" s="771">
        <v>999889</v>
      </c>
      <c r="D31" s="730">
        <v>1.5267140136098032E-2</v>
      </c>
      <c r="E31" s="771">
        <f t="shared" ref="E31:E33" si="3">C31*D31</f>
        <v>15265.445483542926</v>
      </c>
      <c r="F31" s="1042">
        <f t="shared" ref="F31:F33" si="4">E31*$I$26/1000000</f>
        <v>0.42590592899084762</v>
      </c>
      <c r="G31" s="1044"/>
      <c r="H31" s="3"/>
      <c r="I31" s="3"/>
      <c r="J31" s="3"/>
      <c r="K31" s="3"/>
      <c r="L31" s="3"/>
      <c r="M31" s="3"/>
      <c r="N31" s="3"/>
      <c r="O31" s="3"/>
      <c r="P31" s="3"/>
      <c r="Q31" s="3"/>
      <c r="R31" s="3"/>
      <c r="S31" s="3"/>
      <c r="T31" s="3"/>
      <c r="U31" s="3"/>
      <c r="V31" s="3"/>
      <c r="W31" s="3"/>
      <c r="X31" s="3"/>
      <c r="Y31" s="3"/>
      <c r="Z31" s="3"/>
    </row>
    <row r="32" spans="1:26" ht="30" customHeight="1" x14ac:dyDescent="0.25">
      <c r="A32" s="3"/>
      <c r="B32" s="1036" t="s">
        <v>923</v>
      </c>
      <c r="C32" s="771">
        <v>109801</v>
      </c>
      <c r="D32" s="730">
        <v>3.2750300015441415E-2</v>
      </c>
      <c r="E32" s="771">
        <f t="shared" si="3"/>
        <v>3596.0156919954829</v>
      </c>
      <c r="F32" s="1042">
        <f t="shared" si="4"/>
        <v>0.10032883780667397</v>
      </c>
      <c r="G32" s="1044"/>
      <c r="H32" s="3"/>
      <c r="I32" s="3"/>
      <c r="J32" s="3"/>
      <c r="K32" s="3"/>
      <c r="L32" s="3"/>
      <c r="M32" s="3"/>
      <c r="N32" s="3"/>
      <c r="O32" s="3"/>
      <c r="P32" s="3"/>
      <c r="Q32" s="3"/>
      <c r="R32" s="3"/>
      <c r="S32" s="3"/>
      <c r="T32" s="3"/>
      <c r="U32" s="3"/>
      <c r="V32" s="3"/>
      <c r="W32" s="3"/>
      <c r="X32" s="3"/>
      <c r="Y32" s="3"/>
      <c r="Z32" s="3"/>
    </row>
    <row r="33" spans="1:26" ht="30" customHeight="1" x14ac:dyDescent="0.25">
      <c r="A33" s="3"/>
      <c r="B33" s="1036" t="s">
        <v>925</v>
      </c>
      <c r="C33" s="771">
        <v>146644</v>
      </c>
      <c r="D33" s="730">
        <v>3.4007868318860182E-3</v>
      </c>
      <c r="E33" s="771">
        <f t="shared" si="3"/>
        <v>498.70498417509327</v>
      </c>
      <c r="F33" s="1042">
        <f t="shared" si="4"/>
        <v>1.3913869058485101E-2</v>
      </c>
      <c r="G33" s="1044"/>
      <c r="H33" s="3"/>
      <c r="I33" s="3"/>
      <c r="J33" s="3"/>
      <c r="K33" s="3"/>
      <c r="L33" s="3"/>
      <c r="M33" s="3"/>
      <c r="N33" s="3"/>
      <c r="O33" s="3"/>
      <c r="P33" s="3"/>
      <c r="Q33" s="3"/>
      <c r="R33" s="3"/>
      <c r="S33" s="3"/>
      <c r="T33" s="3"/>
      <c r="U33" s="3"/>
      <c r="V33" s="3"/>
      <c r="W33" s="3"/>
      <c r="X33" s="3"/>
      <c r="Y33" s="3"/>
      <c r="Z33" s="3"/>
    </row>
    <row r="34" spans="1:26" ht="15.75" customHeight="1" x14ac:dyDescent="0.25">
      <c r="A34" s="3"/>
      <c r="B34" s="1064" t="s">
        <v>857</v>
      </c>
      <c r="C34" s="532"/>
      <c r="D34" s="532"/>
      <c r="E34" s="1068">
        <f t="shared" ref="E34:F34" si="5">SUM(E25:E33)</f>
        <v>31635.658385055271</v>
      </c>
      <c r="F34" s="1071">
        <f t="shared" si="5"/>
        <v>0.88263486894304199</v>
      </c>
      <c r="G34" s="1072"/>
      <c r="H34" s="3"/>
      <c r="I34" s="3"/>
      <c r="J34" s="3"/>
      <c r="K34" s="3"/>
      <c r="L34" s="3"/>
      <c r="M34" s="3"/>
      <c r="N34" s="3"/>
      <c r="O34" s="3"/>
      <c r="P34" s="3"/>
      <c r="Q34" s="3"/>
      <c r="R34" s="3"/>
      <c r="S34" s="3"/>
      <c r="T34" s="3"/>
      <c r="U34" s="3"/>
      <c r="V34" s="3"/>
      <c r="W34" s="3"/>
      <c r="X34" s="3"/>
      <c r="Y34" s="3"/>
      <c r="Z34" s="3"/>
    </row>
    <row r="35" spans="1:26" ht="15.75" customHeight="1" x14ac:dyDescent="0.25">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2.75" customHeight="1" x14ac:dyDescent="0.25">
      <c r="A36" s="3"/>
      <c r="B36" s="2319" t="s">
        <v>931</v>
      </c>
      <c r="C36" s="2317"/>
      <c r="D36" s="2317"/>
      <c r="E36" s="2317"/>
      <c r="F36" s="2317"/>
      <c r="G36" s="2317"/>
      <c r="H36" s="2317"/>
      <c r="I36" s="2317"/>
      <c r="J36" s="3"/>
      <c r="K36" s="3"/>
      <c r="L36" s="3"/>
      <c r="M36" s="3"/>
      <c r="N36" s="3"/>
      <c r="O36" s="3"/>
      <c r="P36" s="3"/>
      <c r="Q36" s="3"/>
      <c r="R36" s="3"/>
      <c r="S36" s="3"/>
      <c r="T36" s="3"/>
      <c r="U36" s="3"/>
      <c r="V36" s="3"/>
      <c r="W36" s="3"/>
      <c r="X36" s="3"/>
      <c r="Y36" s="3"/>
      <c r="Z36" s="3"/>
    </row>
    <row r="37" spans="1:26" ht="15.75" customHeight="1" x14ac:dyDescent="0.25">
      <c r="A37" s="3"/>
      <c r="B37" s="954"/>
      <c r="C37" s="954"/>
      <c r="D37" s="954"/>
      <c r="E37" s="954"/>
      <c r="F37" s="954"/>
      <c r="G37" s="954"/>
      <c r="H37" s="954"/>
      <c r="I37" s="954"/>
      <c r="J37" s="3"/>
      <c r="K37" s="3"/>
      <c r="L37" s="3"/>
      <c r="M37" s="3"/>
      <c r="N37" s="3"/>
      <c r="O37" s="3"/>
      <c r="P37" s="3"/>
      <c r="Q37" s="3"/>
      <c r="R37" s="3"/>
      <c r="S37" s="3"/>
      <c r="T37" s="3"/>
      <c r="U37" s="3"/>
      <c r="V37" s="3"/>
      <c r="W37" s="3"/>
      <c r="X37" s="3"/>
      <c r="Y37" s="3"/>
      <c r="Z37" s="3"/>
    </row>
    <row r="38" spans="1:26" ht="12.75" customHeight="1" x14ac:dyDescent="0.25">
      <c r="A38" s="3"/>
      <c r="B38" s="2319" t="s">
        <v>934</v>
      </c>
      <c r="C38" s="2317"/>
      <c r="D38" s="2317"/>
      <c r="E38" s="2317"/>
      <c r="F38" s="2317"/>
      <c r="G38" s="2317"/>
      <c r="H38" s="2317"/>
      <c r="I38" s="2317"/>
      <c r="J38" s="3"/>
      <c r="K38" s="3"/>
      <c r="L38" s="3"/>
      <c r="M38" s="3"/>
      <c r="N38" s="3"/>
      <c r="O38" s="3"/>
      <c r="P38" s="3"/>
      <c r="Q38" s="3"/>
      <c r="R38" s="3"/>
      <c r="S38" s="3"/>
      <c r="T38" s="3"/>
      <c r="U38" s="3"/>
      <c r="V38" s="3"/>
      <c r="W38" s="3"/>
      <c r="X38" s="3"/>
      <c r="Y38" s="3"/>
      <c r="Z38" s="3"/>
    </row>
    <row r="39" spans="1:26" ht="7.5" customHeight="1" x14ac:dyDescent="0.25">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7.5" customHeight="1" x14ac:dyDescent="0.25">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7.5" customHeight="1" x14ac:dyDescent="0.25">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x14ac:dyDescent="0.25">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x14ac:dyDescent="0.25">
      <c r="A43" s="3"/>
      <c r="B43" s="1082" t="s">
        <v>938</v>
      </c>
      <c r="C43" s="1082"/>
      <c r="D43" s="1082"/>
      <c r="E43" s="1084"/>
      <c r="F43" s="1085"/>
      <c r="G43" s="864"/>
      <c r="H43" s="3"/>
      <c r="I43" s="3"/>
      <c r="J43" s="3"/>
      <c r="K43" s="3"/>
      <c r="L43" s="3"/>
      <c r="M43" s="3"/>
      <c r="N43" s="3"/>
      <c r="O43" s="3"/>
      <c r="P43" s="3"/>
      <c r="Q43" s="3"/>
      <c r="R43" s="3"/>
      <c r="S43" s="3"/>
      <c r="T43" s="3"/>
      <c r="U43" s="3"/>
      <c r="V43" s="3"/>
      <c r="W43" s="3"/>
      <c r="X43" s="3"/>
      <c r="Y43" s="3"/>
      <c r="Z43" s="3"/>
    </row>
    <row r="44" spans="1:26" ht="15.75" customHeight="1" x14ac:dyDescent="0.25">
      <c r="A44" s="3"/>
      <c r="B44" s="3"/>
      <c r="C44" s="3"/>
      <c r="D44" s="3"/>
      <c r="E44" s="864"/>
      <c r="F44" s="3"/>
      <c r="G44" s="864"/>
      <c r="H44" s="3"/>
      <c r="I44" s="3"/>
      <c r="J44" s="3"/>
      <c r="K44" s="3"/>
      <c r="L44" s="3"/>
      <c r="M44" s="3"/>
      <c r="N44" s="3"/>
      <c r="O44" s="3"/>
      <c r="P44" s="3"/>
      <c r="Q44" s="3"/>
      <c r="R44" s="3"/>
      <c r="S44" s="3"/>
      <c r="T44" s="3"/>
      <c r="U44" s="3"/>
      <c r="V44" s="3"/>
      <c r="W44" s="3"/>
      <c r="X44" s="3"/>
      <c r="Y44" s="3"/>
      <c r="Z44" s="3"/>
    </row>
    <row r="45" spans="1:26" ht="15.75" customHeight="1" x14ac:dyDescent="0.3">
      <c r="A45" s="3"/>
      <c r="B45" s="797"/>
      <c r="C45" s="800" t="s">
        <v>845</v>
      </c>
      <c r="D45" s="828" t="s">
        <v>738</v>
      </c>
      <c r="E45" s="800" t="s">
        <v>940</v>
      </c>
      <c r="F45" s="801" t="s">
        <v>942</v>
      </c>
      <c r="G45" s="864"/>
      <c r="H45" s="3"/>
      <c r="I45" s="864"/>
      <c r="J45" s="3"/>
      <c r="K45" s="3"/>
      <c r="L45" s="3"/>
      <c r="M45" s="3"/>
      <c r="N45" s="3"/>
      <c r="O45" s="3"/>
      <c r="P45" s="3"/>
      <c r="Q45" s="3"/>
      <c r="R45" s="3"/>
      <c r="S45" s="3"/>
      <c r="T45" s="3"/>
      <c r="U45" s="3"/>
      <c r="V45" s="3"/>
      <c r="W45" s="3"/>
      <c r="X45" s="3"/>
      <c r="Y45" s="3"/>
      <c r="Z45" s="3"/>
    </row>
    <row r="46" spans="1:26" ht="12.75" customHeight="1" x14ac:dyDescent="0.25">
      <c r="A46" s="3"/>
      <c r="B46" s="278"/>
      <c r="C46" s="3"/>
      <c r="D46" s="2353" t="s">
        <v>945</v>
      </c>
      <c r="E46" s="3"/>
      <c r="F46" s="649"/>
      <c r="G46" s="864"/>
      <c r="H46" s="3"/>
      <c r="I46" s="864"/>
      <c r="J46" s="3"/>
      <c r="K46" s="3"/>
      <c r="L46" s="3"/>
      <c r="M46" s="3"/>
      <c r="N46" s="3"/>
      <c r="O46" s="3"/>
      <c r="P46" s="3"/>
      <c r="Q46" s="3"/>
      <c r="R46" s="3"/>
      <c r="S46" s="3"/>
      <c r="T46" s="3"/>
      <c r="U46" s="3"/>
      <c r="V46" s="3"/>
      <c r="W46" s="3"/>
      <c r="X46" s="3"/>
      <c r="Y46" s="3"/>
      <c r="Z46" s="3"/>
    </row>
    <row r="47" spans="1:26" ht="15.75" customHeight="1" x14ac:dyDescent="0.25">
      <c r="A47" s="3"/>
      <c r="B47" s="278"/>
      <c r="C47" s="170"/>
      <c r="D47" s="2354"/>
      <c r="E47" s="170"/>
      <c r="F47" s="1089"/>
      <c r="G47" s="864"/>
      <c r="H47" s="3"/>
      <c r="I47" s="905"/>
      <c r="J47" s="3"/>
      <c r="K47" s="3"/>
      <c r="L47" s="3"/>
      <c r="M47" s="3"/>
      <c r="N47" s="3"/>
      <c r="O47" s="3"/>
      <c r="P47" s="3"/>
      <c r="Q47" s="3"/>
      <c r="R47" s="3"/>
      <c r="S47" s="3"/>
      <c r="T47" s="3"/>
      <c r="U47" s="3"/>
      <c r="V47" s="3"/>
      <c r="W47" s="3"/>
      <c r="X47" s="3"/>
      <c r="Y47" s="3"/>
      <c r="Z47" s="3"/>
    </row>
    <row r="48" spans="1:26" ht="30" customHeight="1" x14ac:dyDescent="0.25">
      <c r="A48" s="3"/>
      <c r="B48" s="999" t="s">
        <v>947</v>
      </c>
      <c r="C48" s="624">
        <v>171.09899999999999</v>
      </c>
      <c r="D48" s="1091">
        <v>0.61847932799999994</v>
      </c>
      <c r="E48" s="624">
        <f t="shared" ref="E48:E50" si="6">C48*D48</f>
        <v>105.82119454147198</v>
      </c>
      <c r="F48" s="1004">
        <f t="shared" ref="F48:F50" si="7">E48*$I$26/1000000</f>
        <v>2.9524113277070684E-3</v>
      </c>
      <c r="G48" s="864"/>
      <c r="H48" s="3"/>
      <c r="I48" s="905"/>
      <c r="J48" s="3"/>
      <c r="K48" s="3"/>
      <c r="L48" s="3"/>
      <c r="M48" s="3"/>
      <c r="N48" s="3"/>
      <c r="O48" s="3"/>
      <c r="P48" s="3"/>
      <c r="Q48" s="3"/>
      <c r="R48" s="3"/>
      <c r="S48" s="3"/>
      <c r="T48" s="3"/>
      <c r="U48" s="3"/>
      <c r="V48" s="3"/>
      <c r="W48" s="3"/>
      <c r="X48" s="3"/>
      <c r="Y48" s="3"/>
      <c r="Z48" s="3"/>
    </row>
    <row r="49" spans="1:26" ht="45" customHeight="1" x14ac:dyDescent="0.25">
      <c r="A49" s="3"/>
      <c r="B49" s="999" t="s">
        <v>948</v>
      </c>
      <c r="C49" s="624">
        <f>C48*0.006</f>
        <v>1.026594</v>
      </c>
      <c r="D49" s="1053">
        <v>983.65967615375553</v>
      </c>
      <c r="E49" s="624">
        <f t="shared" si="6"/>
        <v>1009.8191215813885</v>
      </c>
      <c r="F49" s="1004">
        <f t="shared" si="7"/>
        <v>2.8173953492120738E-2</v>
      </c>
      <c r="G49" s="864"/>
      <c r="H49" s="3"/>
      <c r="I49" s="905"/>
      <c r="J49" s="3"/>
      <c r="K49" s="3"/>
      <c r="L49" s="3"/>
      <c r="M49" s="3"/>
      <c r="N49" s="3"/>
      <c r="O49" s="3"/>
      <c r="P49" s="3"/>
      <c r="Q49" s="3"/>
      <c r="R49" s="3"/>
      <c r="S49" s="3"/>
      <c r="T49" s="3"/>
      <c r="U49" s="3"/>
      <c r="V49" s="3"/>
      <c r="W49" s="3"/>
      <c r="X49" s="3"/>
      <c r="Y49" s="3"/>
      <c r="Z49" s="3"/>
    </row>
    <row r="50" spans="1:26" ht="30" customHeight="1" x14ac:dyDescent="0.25">
      <c r="A50" s="3"/>
      <c r="B50" s="999" t="s">
        <v>950</v>
      </c>
      <c r="C50" s="624">
        <f>C48*0.0015</f>
        <v>0.2566485</v>
      </c>
      <c r="D50" s="1053">
        <v>964.14925058889139</v>
      </c>
      <c r="E50" s="624">
        <f t="shared" si="6"/>
        <v>247.4474589397631</v>
      </c>
      <c r="F50" s="1004">
        <f t="shared" si="7"/>
        <v>6.9037841044193903E-3</v>
      </c>
      <c r="G50" s="864"/>
      <c r="H50" s="3"/>
      <c r="I50" s="905"/>
      <c r="J50" s="3"/>
      <c r="K50" s="3"/>
      <c r="L50" s="3"/>
      <c r="M50" s="3"/>
      <c r="N50" s="3"/>
      <c r="O50" s="3"/>
      <c r="P50" s="3"/>
      <c r="Q50" s="3"/>
      <c r="R50" s="3"/>
      <c r="S50" s="3"/>
      <c r="T50" s="3"/>
      <c r="U50" s="3"/>
      <c r="V50" s="3"/>
      <c r="W50" s="3"/>
      <c r="X50" s="3"/>
      <c r="Y50" s="3"/>
      <c r="Z50" s="3"/>
    </row>
    <row r="51" spans="1:26" ht="15.75" customHeight="1" x14ac:dyDescent="0.25">
      <c r="A51" s="3"/>
      <c r="B51" s="230" t="s">
        <v>857</v>
      </c>
      <c r="C51" s="3"/>
      <c r="D51" s="3"/>
      <c r="E51" s="1007">
        <f>SUM(E47:E50)</f>
        <v>1363.0877750626235</v>
      </c>
      <c r="F51" s="1008">
        <f>SUM(F48:F50)</f>
        <v>3.8030148924247199E-2</v>
      </c>
      <c r="G51" s="864"/>
      <c r="H51" s="3"/>
      <c r="I51" s="1096"/>
      <c r="J51" s="3"/>
      <c r="K51" s="3"/>
      <c r="L51" s="3"/>
      <c r="M51" s="3"/>
      <c r="N51" s="3"/>
      <c r="O51" s="3"/>
      <c r="P51" s="3"/>
      <c r="Q51" s="3"/>
      <c r="R51" s="3"/>
      <c r="S51" s="3"/>
      <c r="T51" s="3"/>
      <c r="U51" s="3"/>
      <c r="V51" s="3"/>
      <c r="W51" s="3"/>
      <c r="X51" s="3"/>
      <c r="Y51" s="3"/>
      <c r="Z51" s="3"/>
    </row>
    <row r="52" spans="1:26" ht="15.75" customHeight="1" x14ac:dyDescent="0.25">
      <c r="A52" s="3"/>
      <c r="B52" s="318"/>
      <c r="C52" s="532"/>
      <c r="D52" s="532"/>
      <c r="E52" s="532"/>
      <c r="F52" s="656"/>
      <c r="G52" s="3"/>
      <c r="H52" s="3"/>
      <c r="I52" s="3"/>
      <c r="J52" s="3"/>
      <c r="K52" s="3"/>
      <c r="L52" s="3"/>
      <c r="M52" s="3"/>
      <c r="N52" s="3"/>
      <c r="O52" s="3"/>
      <c r="P52" s="3"/>
      <c r="Q52" s="3"/>
      <c r="R52" s="3"/>
      <c r="S52" s="3"/>
      <c r="T52" s="3"/>
      <c r="U52" s="3"/>
      <c r="V52" s="3"/>
      <c r="W52" s="3"/>
      <c r="X52" s="3"/>
      <c r="Y52" s="3"/>
      <c r="Z52" s="3"/>
    </row>
    <row r="53" spans="1:26" ht="15.75" customHeight="1" x14ac:dyDescent="0.25">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2.75" customHeight="1" x14ac:dyDescent="0.25">
      <c r="A54" s="3"/>
      <c r="B54" s="2319" t="s">
        <v>953</v>
      </c>
      <c r="C54" s="2317"/>
      <c r="D54" s="2317"/>
      <c r="E54" s="2317"/>
      <c r="F54" s="2317"/>
      <c r="G54" s="2317"/>
      <c r="H54" s="2317"/>
      <c r="I54" s="2317"/>
      <c r="J54" s="3"/>
      <c r="K54" s="3"/>
      <c r="L54" s="3"/>
      <c r="M54" s="3"/>
      <c r="N54" s="3"/>
      <c r="O54" s="3"/>
      <c r="P54" s="3"/>
      <c r="Q54" s="3"/>
      <c r="R54" s="3"/>
      <c r="S54" s="3"/>
      <c r="T54" s="3"/>
      <c r="U54" s="3"/>
      <c r="V54" s="3"/>
      <c r="W54" s="3"/>
      <c r="X54" s="3"/>
      <c r="Y54" s="3"/>
      <c r="Z54" s="3"/>
    </row>
    <row r="55" spans="1:26" ht="12.75" customHeight="1" x14ac:dyDescent="0.25">
      <c r="A55" s="3"/>
      <c r="B55" s="2319" t="s">
        <v>956</v>
      </c>
      <c r="C55" s="2317"/>
      <c r="D55" s="2317"/>
      <c r="E55" s="2317"/>
      <c r="F55" s="2317"/>
      <c r="G55" s="2317"/>
      <c r="H55" s="2317"/>
      <c r="I55" s="2317"/>
      <c r="J55" s="3"/>
      <c r="K55" s="3"/>
      <c r="L55" s="3"/>
      <c r="M55" s="3"/>
      <c r="N55" s="3"/>
      <c r="O55" s="3"/>
      <c r="P55" s="3"/>
      <c r="Q55" s="3"/>
      <c r="R55" s="3"/>
      <c r="S55" s="3"/>
      <c r="T55" s="3"/>
      <c r="U55" s="3"/>
      <c r="V55" s="3"/>
      <c r="W55" s="3"/>
      <c r="X55" s="3"/>
      <c r="Y55" s="3"/>
      <c r="Z55" s="3"/>
    </row>
    <row r="56" spans="1:26" ht="12.75" customHeight="1" x14ac:dyDescent="0.25">
      <c r="A56" s="3"/>
      <c r="B56" s="2319" t="s">
        <v>959</v>
      </c>
      <c r="C56" s="2317"/>
      <c r="D56" s="2317"/>
      <c r="E56" s="2317"/>
      <c r="F56" s="2317"/>
      <c r="G56" s="2317"/>
      <c r="H56" s="2317"/>
      <c r="I56" s="2317"/>
      <c r="J56" s="3"/>
      <c r="K56" s="3"/>
      <c r="L56" s="3"/>
      <c r="M56" s="3"/>
      <c r="N56" s="3"/>
      <c r="O56" s="3"/>
      <c r="P56" s="3"/>
      <c r="Q56" s="3"/>
      <c r="R56" s="3"/>
      <c r="S56" s="3"/>
      <c r="T56" s="3"/>
      <c r="U56" s="3"/>
      <c r="V56" s="3"/>
      <c r="W56" s="3"/>
      <c r="X56" s="3"/>
      <c r="Y56" s="3"/>
      <c r="Z56" s="3"/>
    </row>
    <row r="57" spans="1:26" ht="12.75" customHeight="1" x14ac:dyDescent="0.25">
      <c r="A57" s="3"/>
      <c r="B57" s="2319" t="s">
        <v>961</v>
      </c>
      <c r="C57" s="2317"/>
      <c r="D57" s="2317"/>
      <c r="E57" s="2317"/>
      <c r="F57" s="2317"/>
      <c r="G57" s="2317"/>
      <c r="H57" s="2317"/>
      <c r="I57" s="2317"/>
      <c r="J57" s="3"/>
      <c r="K57" s="3"/>
      <c r="L57" s="3"/>
      <c r="M57" s="3"/>
      <c r="N57" s="3"/>
      <c r="O57" s="3"/>
      <c r="P57" s="3"/>
      <c r="Q57" s="3"/>
      <c r="R57" s="3"/>
      <c r="S57" s="3"/>
      <c r="T57" s="3"/>
      <c r="U57" s="3"/>
      <c r="V57" s="3"/>
      <c r="W57" s="3"/>
      <c r="X57" s="3"/>
      <c r="Y57" s="3"/>
      <c r="Z57" s="3"/>
    </row>
    <row r="58" spans="1:26" ht="12.75" customHeight="1" x14ac:dyDescent="0.25">
      <c r="A58" s="3"/>
      <c r="B58" s="2319" t="s">
        <v>963</v>
      </c>
      <c r="C58" s="2317"/>
      <c r="D58" s="2317"/>
      <c r="E58" s="2317"/>
      <c r="F58" s="2317"/>
      <c r="G58" s="2317"/>
      <c r="H58" s="2317"/>
      <c r="I58" s="2317"/>
      <c r="J58" s="3"/>
      <c r="K58" s="3"/>
      <c r="L58" s="3"/>
      <c r="M58" s="3"/>
      <c r="N58" s="3"/>
      <c r="O58" s="3"/>
      <c r="P58" s="3"/>
      <c r="Q58" s="3"/>
      <c r="R58" s="3"/>
      <c r="S58" s="3"/>
      <c r="T58" s="3"/>
      <c r="U58" s="3"/>
      <c r="V58" s="3"/>
      <c r="W58" s="3"/>
      <c r="X58" s="3"/>
      <c r="Y58" s="3"/>
      <c r="Z58" s="3"/>
    </row>
    <row r="59" spans="1:26" ht="15.75" customHeight="1" x14ac:dyDescent="0.25">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x14ac:dyDescent="0.25">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x14ac:dyDescent="0.25">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x14ac:dyDescent="0.25">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x14ac:dyDescent="0.25">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x14ac:dyDescent="0.25">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x14ac:dyDescent="0.25">
      <c r="A65" s="3"/>
      <c r="B65" s="1021" t="s">
        <v>967</v>
      </c>
      <c r="C65" s="1021"/>
      <c r="D65" s="1022"/>
      <c r="E65" s="1022"/>
      <c r="F65" s="1022"/>
      <c r="G65" s="3"/>
      <c r="H65" s="3"/>
      <c r="I65" s="3"/>
      <c r="J65" s="3"/>
      <c r="K65" s="3"/>
      <c r="L65" s="3"/>
      <c r="M65" s="3"/>
      <c r="N65" s="3"/>
      <c r="O65" s="3"/>
      <c r="P65" s="3"/>
      <c r="Q65" s="3"/>
      <c r="R65" s="3"/>
      <c r="S65" s="3"/>
      <c r="T65" s="3"/>
      <c r="U65" s="3"/>
      <c r="V65" s="3"/>
      <c r="W65" s="3"/>
      <c r="X65" s="3"/>
      <c r="Y65" s="3"/>
      <c r="Z65" s="3"/>
    </row>
    <row r="66" spans="1:26" ht="15.75" customHeight="1" x14ac:dyDescent="0.25">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x14ac:dyDescent="0.25">
      <c r="A67" s="3"/>
      <c r="B67" s="17"/>
      <c r="C67" s="915">
        <v>2011</v>
      </c>
      <c r="D67" s="2351" t="s">
        <v>970</v>
      </c>
      <c r="E67" s="2352"/>
      <c r="F67" s="2307"/>
      <c r="G67" s="1124" t="s">
        <v>972</v>
      </c>
      <c r="H67" s="238" t="s">
        <v>973</v>
      </c>
      <c r="I67" s="618" t="s">
        <v>974</v>
      </c>
      <c r="J67" s="618" t="s">
        <v>976</v>
      </c>
      <c r="K67" s="1129" t="s">
        <v>978</v>
      </c>
      <c r="L67" s="3"/>
      <c r="M67" s="3"/>
      <c r="N67" s="3"/>
      <c r="O67" s="3"/>
      <c r="P67" s="3"/>
      <c r="Q67" s="3"/>
      <c r="R67" s="3"/>
      <c r="S67" s="3"/>
      <c r="T67" s="3"/>
      <c r="U67" s="3"/>
      <c r="V67" s="3"/>
      <c r="W67" s="3"/>
      <c r="X67" s="3"/>
      <c r="Y67" s="3"/>
      <c r="Z67" s="3"/>
    </row>
    <row r="68" spans="1:26" ht="15.75" customHeight="1" x14ac:dyDescent="0.25">
      <c r="A68" s="3"/>
      <c r="B68" s="1131" t="s">
        <v>980</v>
      </c>
      <c r="C68" s="179" t="s">
        <v>981</v>
      </c>
      <c r="D68" s="238" t="s">
        <v>982</v>
      </c>
      <c r="E68" s="238" t="s">
        <v>983</v>
      </c>
      <c r="F68" s="238" t="s">
        <v>985</v>
      </c>
      <c r="G68" s="13" t="s">
        <v>741</v>
      </c>
      <c r="H68" s="180" t="s">
        <v>987</v>
      </c>
      <c r="I68" s="60" t="s">
        <v>988</v>
      </c>
      <c r="J68" s="60" t="s">
        <v>990</v>
      </c>
      <c r="K68" s="30"/>
      <c r="L68" s="3"/>
      <c r="M68" s="3"/>
      <c r="N68" s="3"/>
      <c r="O68" s="3"/>
      <c r="P68" s="3"/>
      <c r="Q68" s="3"/>
      <c r="R68" s="3"/>
      <c r="S68" s="3"/>
      <c r="T68" s="3"/>
      <c r="U68" s="3"/>
      <c r="V68" s="3"/>
      <c r="W68" s="3"/>
      <c r="X68" s="3"/>
      <c r="Y68" s="3"/>
      <c r="Z68" s="3"/>
    </row>
    <row r="69" spans="1:26" ht="15.75" customHeight="1" x14ac:dyDescent="0.25">
      <c r="A69" s="3"/>
      <c r="B69" s="497"/>
      <c r="C69" s="292"/>
      <c r="D69" s="292" t="s">
        <v>993</v>
      </c>
      <c r="E69" s="292" t="s">
        <v>995</v>
      </c>
      <c r="F69" s="292" t="s">
        <v>995</v>
      </c>
      <c r="G69" s="1136"/>
      <c r="H69" s="292"/>
      <c r="I69" s="12"/>
      <c r="J69" s="12"/>
      <c r="K69" s="498"/>
      <c r="L69" s="3"/>
      <c r="M69" s="3"/>
      <c r="N69" s="3"/>
      <c r="O69" s="3"/>
      <c r="P69" s="3"/>
      <c r="Q69" s="3"/>
      <c r="R69" s="3"/>
      <c r="S69" s="3"/>
      <c r="T69" s="3"/>
      <c r="U69" s="3"/>
      <c r="V69" s="3"/>
      <c r="W69" s="3"/>
      <c r="X69" s="3"/>
      <c r="Y69" s="3"/>
      <c r="Z69" s="3"/>
    </row>
    <row r="70" spans="1:26" ht="15.75" customHeight="1" x14ac:dyDescent="0.25">
      <c r="A70" s="3"/>
      <c r="B70" s="607" t="s">
        <v>998</v>
      </c>
      <c r="C70" s="471">
        <v>6172</v>
      </c>
      <c r="D70" s="461">
        <v>31.87</v>
      </c>
      <c r="E70" s="1142">
        <v>9.4955026735800017E-5</v>
      </c>
      <c r="F70" s="1142">
        <v>9.4955026735800007E-4</v>
      </c>
      <c r="G70" s="1145">
        <v>1</v>
      </c>
      <c r="H70" s="1152">
        <f>C70*1000*D70*(44/12)*0.00045359237*0.90718/1000000</f>
        <v>0.2967827255443754</v>
      </c>
      <c r="I70" s="1159">
        <f>C70*E70*$I$27*0.000001</f>
        <v>1.5999504202864664E-4</v>
      </c>
      <c r="J70" s="1162">
        <f>C70*F70*$I$26*0.000001</f>
        <v>1.6351141657872676E-4</v>
      </c>
      <c r="K70" s="1164">
        <f>H70+I70+J70</f>
        <v>0.29710623200298275</v>
      </c>
      <c r="L70" s="3"/>
      <c r="M70" s="3"/>
      <c r="N70" s="3"/>
      <c r="O70" s="3"/>
      <c r="P70" s="3"/>
      <c r="Q70" s="3"/>
      <c r="R70" s="3"/>
      <c r="S70" s="3"/>
      <c r="T70" s="3"/>
      <c r="U70" s="3"/>
      <c r="V70" s="3"/>
      <c r="W70" s="3"/>
      <c r="X70" s="3"/>
      <c r="Y70" s="3"/>
      <c r="Z70" s="3"/>
    </row>
    <row r="71" spans="1:26" ht="15.75" customHeight="1" x14ac:dyDescent="0.25">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x14ac:dyDescent="0.25">
      <c r="A72" s="3"/>
      <c r="B72" s="3" t="s">
        <v>1004</v>
      </c>
      <c r="C72" s="170">
        <f>C70*1000</f>
        <v>6172000</v>
      </c>
      <c r="D72" s="3"/>
      <c r="E72" s="3"/>
      <c r="F72" s="3"/>
      <c r="G72" s="3"/>
      <c r="H72" s="3"/>
      <c r="I72" s="3"/>
      <c r="J72" s="3"/>
      <c r="K72" s="3"/>
      <c r="L72" s="3"/>
      <c r="M72" s="3"/>
      <c r="N72" s="3"/>
      <c r="O72" s="3"/>
      <c r="P72" s="3"/>
      <c r="Q72" s="3"/>
      <c r="R72" s="3"/>
      <c r="S72" s="3"/>
      <c r="T72" s="3"/>
      <c r="U72" s="3"/>
      <c r="V72" s="3"/>
      <c r="W72" s="3"/>
      <c r="X72" s="3"/>
      <c r="Y72" s="3"/>
      <c r="Z72" s="3"/>
    </row>
    <row r="73" spans="1:26" ht="15.75" customHeight="1" x14ac:dyDescent="0.25">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x14ac:dyDescent="0.2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25">
      <c r="A75" s="3"/>
      <c r="B75" s="3" t="s">
        <v>1011</v>
      </c>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2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2.75" customHeight="1" x14ac:dyDescent="0.25">
      <c r="A77" s="3"/>
      <c r="B77" s="2319" t="s">
        <v>1017</v>
      </c>
      <c r="C77" s="2317"/>
      <c r="D77" s="2317"/>
      <c r="E77" s="2317"/>
      <c r="F77" s="2317"/>
      <c r="G77" s="2317"/>
      <c r="H77" s="2317"/>
      <c r="I77" s="2317"/>
      <c r="J77" s="3"/>
      <c r="K77" s="3"/>
      <c r="L77" s="3"/>
      <c r="M77" s="3"/>
      <c r="N77" s="3"/>
      <c r="O77" s="3"/>
      <c r="P77" s="3"/>
      <c r="Q77" s="3"/>
      <c r="R77" s="3"/>
      <c r="S77" s="3"/>
      <c r="T77" s="3"/>
      <c r="U77" s="3"/>
      <c r="V77" s="3"/>
      <c r="W77" s="3"/>
      <c r="X77" s="3"/>
      <c r="Y77" s="3"/>
      <c r="Z77" s="3"/>
    </row>
    <row r="78" spans="1:26" ht="15.75" customHeight="1" x14ac:dyDescent="0.25">
      <c r="A78" s="3"/>
      <c r="B78" s="954"/>
      <c r="C78" s="954"/>
      <c r="D78" s="954"/>
      <c r="E78" s="954"/>
      <c r="F78" s="954"/>
      <c r="G78" s="954"/>
      <c r="H78" s="954"/>
      <c r="I78" s="954"/>
      <c r="J78" s="3"/>
      <c r="K78" s="3"/>
      <c r="L78" s="3"/>
      <c r="M78" s="3"/>
      <c r="N78" s="3"/>
      <c r="O78" s="3"/>
      <c r="P78" s="3"/>
      <c r="Q78" s="3"/>
      <c r="R78" s="3"/>
      <c r="S78" s="3"/>
      <c r="T78" s="3"/>
      <c r="U78" s="3"/>
      <c r="V78" s="3"/>
      <c r="W78" s="3"/>
      <c r="X78" s="3"/>
      <c r="Y78" s="3"/>
      <c r="Z78" s="3"/>
    </row>
    <row r="79" spans="1:26" ht="15.75" customHeight="1" x14ac:dyDescent="0.25">
      <c r="A79" s="3"/>
      <c r="B79" s="954"/>
      <c r="C79" s="954"/>
      <c r="D79" s="954"/>
      <c r="E79" s="954"/>
      <c r="F79" s="954"/>
      <c r="G79" s="954"/>
      <c r="H79" s="954"/>
      <c r="I79" s="954"/>
      <c r="J79" s="3"/>
      <c r="K79" s="3"/>
      <c r="L79" s="3"/>
      <c r="M79" s="3"/>
      <c r="N79" s="3"/>
      <c r="O79" s="3"/>
      <c r="P79" s="3"/>
      <c r="Q79" s="3"/>
      <c r="R79" s="3"/>
      <c r="S79" s="3"/>
      <c r="T79" s="3"/>
      <c r="U79" s="3"/>
      <c r="V79" s="3"/>
      <c r="W79" s="3"/>
      <c r="X79" s="3"/>
      <c r="Y79" s="3"/>
      <c r="Z79" s="3"/>
    </row>
    <row r="80" spans="1:26" ht="15.75" customHeight="1" x14ac:dyDescent="0.2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3">
      <c r="A81" s="3"/>
      <c r="B81" s="1178" t="s">
        <v>1024</v>
      </c>
      <c r="C81" s="1180"/>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25">
      <c r="A82" s="3"/>
      <c r="B82" s="1183"/>
      <c r="C82" s="1184">
        <v>2011</v>
      </c>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25">
      <c r="A83" s="3"/>
      <c r="B83" s="278" t="s">
        <v>77</v>
      </c>
      <c r="C83" s="1187">
        <f>C84+C85+C86+C87</f>
        <v>1.2186868546152885</v>
      </c>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25">
      <c r="A84" s="3"/>
      <c r="B84" s="1189" t="s">
        <v>1026</v>
      </c>
      <c r="C84" s="1190">
        <f>F10</f>
        <v>9.1560474501651418E-4</v>
      </c>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25">
      <c r="A85" s="3"/>
      <c r="B85" s="1189" t="s">
        <v>1027</v>
      </c>
      <c r="C85" s="1190">
        <f>F51</f>
        <v>3.8030148924247199E-2</v>
      </c>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25">
      <c r="A86" s="3"/>
      <c r="B86" s="1189" t="s">
        <v>1028</v>
      </c>
      <c r="C86" s="1190">
        <f>F34</f>
        <v>0.88263486894304199</v>
      </c>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25">
      <c r="A87" s="3"/>
      <c r="B87" s="278" t="s">
        <v>1029</v>
      </c>
      <c r="C87" s="1190">
        <f>K70</f>
        <v>0.29710623200298275</v>
      </c>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25">
      <c r="A88" s="3"/>
      <c r="B88" s="318"/>
      <c r="C88" s="656"/>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2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2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2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2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2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2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2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2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2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2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4">
    <mergeCell ref="D67:F67"/>
    <mergeCell ref="B77:I77"/>
    <mergeCell ref="B13:I13"/>
    <mergeCell ref="B15:I15"/>
    <mergeCell ref="C21:F21"/>
    <mergeCell ref="H23:I23"/>
    <mergeCell ref="B36:I36"/>
    <mergeCell ref="B38:I38"/>
    <mergeCell ref="D46:D47"/>
    <mergeCell ref="B54:I54"/>
    <mergeCell ref="B55:I55"/>
    <mergeCell ref="B56:I56"/>
    <mergeCell ref="B57:I57"/>
    <mergeCell ref="B58:I58"/>
  </mergeCells>
  <hyperlinks>
    <hyperlink ref="C14" r:id="rId1" xr:uid="{00000000-0004-0000-0A00-000000000000}"/>
  </hyperlinks>
  <pageMargins left="0.7" right="0.7" top="0.75" bottom="0.75" header="0" footer="0"/>
  <pageSetup orientation="landscape"/>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000"/>
  <sheetViews>
    <sheetView workbookViewId="0"/>
  </sheetViews>
  <sheetFormatPr defaultColWidth="16.83203125" defaultRowHeight="15" customHeight="1" x14ac:dyDescent="0.2"/>
  <cols>
    <col min="1" max="1" width="4.6640625" customWidth="1"/>
    <col min="2" max="2" width="26.6640625" customWidth="1"/>
    <col min="3" max="3" width="23.5" customWidth="1"/>
    <col min="4" max="4" width="19" customWidth="1"/>
    <col min="5" max="5" width="3.83203125" customWidth="1"/>
    <col min="6" max="6" width="13.83203125" customWidth="1"/>
    <col min="7" max="7" width="3.83203125" customWidth="1"/>
    <col min="8" max="8" width="18.83203125" customWidth="1"/>
    <col min="9" max="9" width="3.83203125" customWidth="1"/>
    <col min="10" max="10" width="10.6640625" customWidth="1"/>
    <col min="11" max="11" width="3.83203125" customWidth="1"/>
    <col min="12" max="12" width="12.83203125" customWidth="1"/>
    <col min="13" max="13" width="3.83203125" customWidth="1"/>
    <col min="14" max="14" width="10.33203125" customWidth="1"/>
    <col min="15" max="16" width="9.33203125" customWidth="1"/>
    <col min="17" max="17" width="12.1640625" customWidth="1"/>
    <col min="18" max="19" width="9.33203125" customWidth="1"/>
    <col min="20" max="26" width="8" customWidth="1"/>
  </cols>
  <sheetData>
    <row r="1" spans="1:26" x14ac:dyDescent="0.25">
      <c r="A1" s="3" t="s">
        <v>860</v>
      </c>
      <c r="B1" s="16"/>
      <c r="C1" s="3"/>
      <c r="D1" s="22"/>
      <c r="E1" s="3"/>
      <c r="F1" s="3"/>
      <c r="G1" s="3"/>
      <c r="H1" s="3"/>
      <c r="I1" s="3"/>
      <c r="J1" s="3"/>
      <c r="K1" s="3"/>
      <c r="L1" s="3"/>
      <c r="M1" s="3"/>
      <c r="N1" s="3"/>
      <c r="O1" s="3"/>
      <c r="P1" s="3"/>
      <c r="Q1" s="3"/>
      <c r="R1" s="3"/>
      <c r="S1" s="3"/>
      <c r="T1" s="3"/>
      <c r="U1" s="3"/>
      <c r="V1" s="3"/>
      <c r="W1" s="3"/>
      <c r="X1" s="3"/>
      <c r="Y1" s="3"/>
      <c r="Z1" s="3"/>
    </row>
    <row r="2" spans="1:26" ht="206.25" customHeight="1" x14ac:dyDescent="0.25">
      <c r="A2" s="60"/>
      <c r="B2" s="1009"/>
      <c r="C2" s="3"/>
      <c r="D2" s="3"/>
      <c r="E2" s="3"/>
      <c r="F2" s="3"/>
      <c r="G2" s="3"/>
      <c r="H2" s="3"/>
      <c r="I2" s="3"/>
      <c r="J2" s="3"/>
      <c r="K2" s="3"/>
      <c r="L2" s="3"/>
      <c r="M2" s="3"/>
      <c r="N2" s="3"/>
      <c r="O2" s="3"/>
      <c r="P2" s="3"/>
      <c r="Q2" s="3"/>
      <c r="R2" s="3"/>
      <c r="S2" s="3"/>
      <c r="T2" s="3"/>
      <c r="U2" s="3"/>
      <c r="V2" s="3"/>
      <c r="W2" s="3"/>
      <c r="X2" s="3"/>
      <c r="Y2" s="3"/>
      <c r="Z2" s="3"/>
    </row>
    <row r="3" spans="1:26" ht="20.25" customHeight="1" x14ac:dyDescent="0.35">
      <c r="A3" s="3"/>
      <c r="B3" s="3" t="s">
        <v>863</v>
      </c>
      <c r="C3" s="3"/>
      <c r="D3" s="3"/>
      <c r="E3" s="3"/>
      <c r="F3" s="3"/>
      <c r="G3" s="3"/>
      <c r="H3" s="3"/>
      <c r="I3" s="3"/>
      <c r="J3" s="3"/>
      <c r="K3" s="3"/>
      <c r="L3" s="3"/>
      <c r="M3" s="3"/>
      <c r="N3" s="3"/>
      <c r="O3" s="3"/>
      <c r="P3" s="3"/>
      <c r="Q3" s="3"/>
      <c r="R3" s="3"/>
      <c r="S3" s="3"/>
      <c r="T3" s="3"/>
      <c r="U3" s="3"/>
      <c r="V3" s="3"/>
      <c r="W3" s="3"/>
      <c r="X3" s="3"/>
      <c r="Y3" s="3"/>
      <c r="Z3" s="3"/>
    </row>
    <row r="4" spans="1:26" ht="90" customHeight="1" x14ac:dyDescent="0.25">
      <c r="A4" s="1011"/>
      <c r="B4" s="1012" t="s">
        <v>868</v>
      </c>
      <c r="C4" s="1014" t="s">
        <v>869</v>
      </c>
      <c r="D4" s="1014" t="s">
        <v>870</v>
      </c>
      <c r="E4" s="1014"/>
      <c r="F4" s="1014" t="s">
        <v>871</v>
      </c>
      <c r="G4" s="1014"/>
      <c r="H4" s="1014" t="s">
        <v>872</v>
      </c>
      <c r="I4" s="739"/>
      <c r="J4" s="1014" t="s">
        <v>874</v>
      </c>
      <c r="K4" s="739"/>
      <c r="L4" s="1014" t="s">
        <v>875</v>
      </c>
      <c r="M4" s="195"/>
      <c r="N4" s="1017" t="s">
        <v>876</v>
      </c>
      <c r="O4" s="3"/>
      <c r="P4" s="3"/>
      <c r="Q4" s="786" t="s">
        <v>877</v>
      </c>
      <c r="R4" s="3"/>
      <c r="S4" s="3"/>
      <c r="T4" s="3"/>
      <c r="U4" s="3"/>
      <c r="V4" s="3"/>
      <c r="W4" s="3"/>
      <c r="X4" s="3"/>
      <c r="Y4" s="3"/>
      <c r="Z4" s="3"/>
    </row>
    <row r="5" spans="1:26" ht="18.75" customHeight="1" x14ac:dyDescent="0.35">
      <c r="A5" s="1011"/>
      <c r="B5" s="1019" t="s">
        <v>879</v>
      </c>
      <c r="C5" s="58"/>
      <c r="D5" s="204"/>
      <c r="E5" s="204"/>
      <c r="F5" s="81"/>
      <c r="G5" s="81"/>
      <c r="H5" s="81"/>
      <c r="I5" s="81"/>
      <c r="J5" s="81"/>
      <c r="K5" s="81"/>
      <c r="L5" s="81"/>
      <c r="M5" s="81"/>
      <c r="N5" s="206"/>
      <c r="O5" s="3"/>
      <c r="P5" s="3"/>
      <c r="Q5" s="41">
        <v>19.2</v>
      </c>
      <c r="R5" s="41" t="s">
        <v>883</v>
      </c>
      <c r="S5" s="41"/>
      <c r="T5" s="3"/>
      <c r="U5" s="3"/>
      <c r="V5" s="3"/>
      <c r="W5" s="3"/>
      <c r="X5" s="3"/>
      <c r="Y5" s="3"/>
      <c r="Z5" s="3"/>
    </row>
    <row r="6" spans="1:26" x14ac:dyDescent="0.25">
      <c r="A6" s="1011"/>
      <c r="B6" s="1024" t="s">
        <v>884</v>
      </c>
      <c r="C6" s="1025"/>
      <c r="D6" s="1026">
        <v>0</v>
      </c>
      <c r="E6" s="204" t="s">
        <v>885</v>
      </c>
      <c r="F6" s="1026">
        <v>0</v>
      </c>
      <c r="G6" s="1028" t="s">
        <v>887</v>
      </c>
      <c r="H6" s="1026">
        <v>0</v>
      </c>
      <c r="I6" s="204" t="s">
        <v>889</v>
      </c>
      <c r="J6" s="1029">
        <f>D6+F6-H6</f>
        <v>0</v>
      </c>
      <c r="K6" s="204" t="s">
        <v>889</v>
      </c>
      <c r="L6" s="624">
        <f>J6*1000000*0.0000192</f>
        <v>0</v>
      </c>
      <c r="M6" s="204" t="s">
        <v>889</v>
      </c>
      <c r="N6" s="752">
        <f>(L6*$R$15)</f>
        <v>0</v>
      </c>
      <c r="O6" s="3"/>
      <c r="P6" s="3"/>
      <c r="Q6" s="41">
        <v>9.9999999999999995E-7</v>
      </c>
      <c r="R6" s="41" t="s">
        <v>895</v>
      </c>
      <c r="S6" s="41"/>
      <c r="T6" s="3"/>
      <c r="U6" s="3"/>
      <c r="V6" s="3"/>
      <c r="W6" s="3"/>
      <c r="X6" s="3"/>
      <c r="Y6" s="3"/>
      <c r="Z6" s="3"/>
    </row>
    <row r="7" spans="1:26" x14ac:dyDescent="0.25">
      <c r="A7" s="1011"/>
      <c r="B7" s="1019"/>
      <c r="C7" s="1025"/>
      <c r="D7" s="1034"/>
      <c r="E7" s="204"/>
      <c r="F7" s="204"/>
      <c r="G7" s="204"/>
      <c r="H7" s="624"/>
      <c r="I7" s="204"/>
      <c r="J7" s="1037"/>
      <c r="K7" s="204"/>
      <c r="L7" s="1038"/>
      <c r="M7" s="204"/>
      <c r="N7" s="472"/>
      <c r="O7" s="3"/>
      <c r="P7" s="3"/>
      <c r="Q7" s="41">
        <v>21</v>
      </c>
      <c r="R7" s="41" t="s">
        <v>688</v>
      </c>
      <c r="S7" s="41"/>
      <c r="T7" s="3"/>
      <c r="U7" s="3"/>
      <c r="V7" s="3"/>
      <c r="W7" s="3"/>
      <c r="X7" s="3"/>
      <c r="Y7" s="3"/>
      <c r="Z7" s="3"/>
    </row>
    <row r="8" spans="1:26" ht="55.5" customHeight="1" x14ac:dyDescent="0.25">
      <c r="A8" s="1011"/>
      <c r="B8" s="745"/>
      <c r="C8" s="1040"/>
      <c r="D8" s="1041" t="s">
        <v>897</v>
      </c>
      <c r="E8" s="204"/>
      <c r="F8" s="1043" t="s">
        <v>898</v>
      </c>
      <c r="G8" s="204"/>
      <c r="H8" s="1043" t="s">
        <v>899</v>
      </c>
      <c r="I8" s="204"/>
      <c r="J8" s="1043" t="s">
        <v>900</v>
      </c>
      <c r="K8" s="81"/>
      <c r="L8" s="1043" t="s">
        <v>901</v>
      </c>
      <c r="M8" s="204"/>
      <c r="N8" s="472"/>
      <c r="O8" s="3"/>
      <c r="P8" s="3"/>
      <c r="Q8" s="3"/>
      <c r="R8" s="3"/>
      <c r="S8" s="41"/>
      <c r="T8" s="3"/>
      <c r="U8" s="3"/>
      <c r="V8" s="3"/>
      <c r="W8" s="3"/>
      <c r="X8" s="3"/>
      <c r="Y8" s="3"/>
      <c r="Z8" s="3"/>
    </row>
    <row r="9" spans="1:26" x14ac:dyDescent="0.25">
      <c r="A9" s="1011"/>
      <c r="B9" s="1024" t="s">
        <v>902</v>
      </c>
      <c r="C9" s="1040" t="s">
        <v>903</v>
      </c>
      <c r="D9" s="1026">
        <v>2179</v>
      </c>
      <c r="E9" s="204" t="s">
        <v>904</v>
      </c>
      <c r="F9" s="1045">
        <v>119</v>
      </c>
      <c r="G9" s="204" t="s">
        <v>889</v>
      </c>
      <c r="H9" s="624">
        <f>D9*F9</f>
        <v>259301</v>
      </c>
      <c r="I9" s="204" t="s">
        <v>889</v>
      </c>
      <c r="J9" s="624">
        <f>H9*Q5*Q6*1000</f>
        <v>4978.5791999999992</v>
      </c>
      <c r="K9" s="204" t="s">
        <v>889</v>
      </c>
      <c r="L9" s="624">
        <f>(J9*$R$15)</f>
        <v>138902.35967999997</v>
      </c>
      <c r="M9" s="204"/>
      <c r="N9" s="472"/>
      <c r="O9" s="3"/>
      <c r="P9" s="3"/>
      <c r="Q9" s="3"/>
      <c r="R9" s="3"/>
      <c r="S9" s="3"/>
      <c r="T9" s="3"/>
      <c r="U9" s="3"/>
      <c r="V9" s="3"/>
      <c r="W9" s="3"/>
      <c r="X9" s="3"/>
      <c r="Y9" s="3"/>
      <c r="Z9" s="3"/>
    </row>
    <row r="10" spans="1:26" x14ac:dyDescent="0.25">
      <c r="A10" s="1011"/>
      <c r="B10" s="1019"/>
      <c r="C10" s="1040" t="s">
        <v>909</v>
      </c>
      <c r="D10" s="1046">
        <v>0</v>
      </c>
      <c r="E10" s="204" t="s">
        <v>904</v>
      </c>
      <c r="F10" s="1045">
        <v>0</v>
      </c>
      <c r="G10" s="204" t="s">
        <v>889</v>
      </c>
      <c r="H10" s="1048" t="s">
        <v>887</v>
      </c>
      <c r="I10" s="204" t="s">
        <v>889</v>
      </c>
      <c r="J10" s="1048" t="s">
        <v>887</v>
      </c>
      <c r="K10" s="1049" t="s">
        <v>889</v>
      </c>
      <c r="L10" s="1048" t="s">
        <v>887</v>
      </c>
      <c r="M10" s="204"/>
      <c r="N10" s="472"/>
      <c r="O10" s="3"/>
      <c r="P10" s="3"/>
      <c r="Q10" s="3"/>
      <c r="R10" s="3"/>
      <c r="S10" s="3"/>
      <c r="T10" s="3"/>
      <c r="U10" s="3"/>
      <c r="V10" s="3"/>
      <c r="W10" s="3"/>
      <c r="X10" s="3"/>
      <c r="Y10" s="3"/>
      <c r="Z10" s="3"/>
    </row>
    <row r="11" spans="1:26" x14ac:dyDescent="0.25">
      <c r="A11" s="1011"/>
      <c r="B11" s="201"/>
      <c r="C11" s="81"/>
      <c r="D11" s="204"/>
      <c r="E11" s="81"/>
      <c r="F11" s="1053"/>
      <c r="G11" s="81"/>
      <c r="H11" s="81"/>
      <c r="I11" s="81"/>
      <c r="J11" s="81"/>
      <c r="K11" s="81"/>
      <c r="L11" s="81"/>
      <c r="M11" s="81"/>
      <c r="N11" s="206"/>
      <c r="O11" s="3"/>
      <c r="P11" s="3"/>
      <c r="Q11" s="3"/>
      <c r="R11" s="3"/>
      <c r="S11" s="3"/>
      <c r="T11" s="3"/>
      <c r="U11" s="3"/>
      <c r="V11" s="3"/>
      <c r="W11" s="3"/>
      <c r="X11" s="3"/>
      <c r="Y11" s="3"/>
      <c r="Z11" s="3"/>
    </row>
    <row r="12" spans="1:26" ht="70.5" customHeight="1" x14ac:dyDescent="0.25">
      <c r="A12" s="1011"/>
      <c r="B12" s="1019" t="s">
        <v>914</v>
      </c>
      <c r="C12" s="58"/>
      <c r="D12" s="1041" t="s">
        <v>915</v>
      </c>
      <c r="E12" s="204"/>
      <c r="F12" s="1056" t="s">
        <v>917</v>
      </c>
      <c r="G12" s="204"/>
      <c r="H12" s="1043" t="s">
        <v>918</v>
      </c>
      <c r="I12" s="81"/>
      <c r="J12" s="1043" t="s">
        <v>920</v>
      </c>
      <c r="K12" s="81"/>
      <c r="L12" s="1043" t="s">
        <v>921</v>
      </c>
      <c r="M12" s="81"/>
      <c r="N12" s="1057"/>
      <c r="O12" s="3"/>
      <c r="P12" s="3"/>
      <c r="Q12" s="2312" t="s">
        <v>1</v>
      </c>
      <c r="R12" s="2313"/>
      <c r="S12" s="3"/>
      <c r="T12" s="3"/>
      <c r="U12" s="3"/>
      <c r="V12" s="3"/>
      <c r="W12" s="3"/>
      <c r="X12" s="3"/>
      <c r="Y12" s="3"/>
      <c r="Z12" s="3"/>
    </row>
    <row r="13" spans="1:26" x14ac:dyDescent="0.25">
      <c r="A13" s="1011"/>
      <c r="B13" s="1024" t="s">
        <v>884</v>
      </c>
      <c r="C13" s="1040" t="s">
        <v>903</v>
      </c>
      <c r="D13" s="1026">
        <v>782</v>
      </c>
      <c r="E13" s="204" t="s">
        <v>904</v>
      </c>
      <c r="F13" s="1045">
        <v>44.98</v>
      </c>
      <c r="G13" s="204" t="s">
        <v>889</v>
      </c>
      <c r="H13" s="624">
        <f>D13*F13</f>
        <v>35174.36</v>
      </c>
      <c r="I13" s="204" t="s">
        <v>889</v>
      </c>
      <c r="J13" s="624">
        <f>H13*Q5*Q6*1000</f>
        <v>675.34771199999989</v>
      </c>
      <c r="K13" s="1049" t="s">
        <v>889</v>
      </c>
      <c r="L13" s="624">
        <f>(J13*$R$15)</f>
        <v>18842.201164799997</v>
      </c>
      <c r="M13" s="204"/>
      <c r="N13" s="472"/>
      <c r="O13" s="3"/>
      <c r="P13" s="3"/>
      <c r="Q13" s="236"/>
      <c r="R13" s="236"/>
      <c r="S13" s="3"/>
      <c r="T13" s="3"/>
      <c r="U13" s="3"/>
      <c r="V13" s="3"/>
      <c r="W13" s="3"/>
      <c r="X13" s="3"/>
      <c r="Y13" s="3"/>
      <c r="Z13" s="3"/>
    </row>
    <row r="14" spans="1:26" x14ac:dyDescent="0.25">
      <c r="A14" s="1011"/>
      <c r="B14" s="1019"/>
      <c r="C14" s="1040" t="s">
        <v>909</v>
      </c>
      <c r="D14" s="1026">
        <v>0</v>
      </c>
      <c r="E14" s="204" t="s">
        <v>904</v>
      </c>
      <c r="F14" s="1045">
        <v>0</v>
      </c>
      <c r="G14" s="204" t="s">
        <v>889</v>
      </c>
      <c r="H14" s="1048" t="s">
        <v>887</v>
      </c>
      <c r="I14" s="204" t="s">
        <v>889</v>
      </c>
      <c r="J14" s="1048" t="s">
        <v>887</v>
      </c>
      <c r="K14" s="1049" t="s">
        <v>889</v>
      </c>
      <c r="L14" s="1048" t="s">
        <v>887</v>
      </c>
      <c r="M14" s="204"/>
      <c r="N14" s="472"/>
      <c r="O14" s="3"/>
      <c r="P14" s="3"/>
      <c r="Q14" s="241" t="s">
        <v>188</v>
      </c>
      <c r="R14" s="243">
        <f>Summary!E4</f>
        <v>1</v>
      </c>
      <c r="S14" s="3"/>
      <c r="T14" s="3"/>
      <c r="U14" s="3"/>
      <c r="V14" s="3"/>
      <c r="W14" s="3"/>
      <c r="X14" s="3"/>
      <c r="Y14" s="3"/>
      <c r="Z14" s="3"/>
    </row>
    <row r="15" spans="1:26" x14ac:dyDescent="0.25">
      <c r="A15" s="1011"/>
      <c r="B15" s="1024" t="s">
        <v>902</v>
      </c>
      <c r="C15" s="1040" t="s">
        <v>903</v>
      </c>
      <c r="D15" s="1026">
        <v>2179</v>
      </c>
      <c r="E15" s="204" t="s">
        <v>904</v>
      </c>
      <c r="F15" s="1045">
        <v>19.337499999999999</v>
      </c>
      <c r="G15" s="204" t="s">
        <v>889</v>
      </c>
      <c r="H15" s="624">
        <f>D15*F15</f>
        <v>42136.412499999999</v>
      </c>
      <c r="I15" s="204" t="s">
        <v>889</v>
      </c>
      <c r="J15" s="624">
        <f>H15*Q5*Q6*1000</f>
        <v>809.01911999999993</v>
      </c>
      <c r="K15" s="1049" t="s">
        <v>889</v>
      </c>
      <c r="L15" s="624">
        <f>(J15*$R$15)</f>
        <v>22571.633447999997</v>
      </c>
      <c r="M15" s="204"/>
      <c r="N15" s="472"/>
      <c r="O15" s="3"/>
      <c r="P15" s="3"/>
      <c r="Q15" s="241" t="s">
        <v>192</v>
      </c>
      <c r="R15" s="243">
        <f>Summary!E5</f>
        <v>27.9</v>
      </c>
      <c r="S15" s="3"/>
      <c r="T15" s="3"/>
      <c r="U15" s="3"/>
      <c r="V15" s="3"/>
      <c r="W15" s="3"/>
      <c r="X15" s="3"/>
      <c r="Y15" s="3"/>
      <c r="Z15" s="3"/>
    </row>
    <row r="16" spans="1:26" x14ac:dyDescent="0.25">
      <c r="A16" s="1011"/>
      <c r="B16" s="1019"/>
      <c r="C16" s="1040" t="s">
        <v>909</v>
      </c>
      <c r="D16" s="1026">
        <v>0</v>
      </c>
      <c r="E16" s="204" t="s">
        <v>904</v>
      </c>
      <c r="F16" s="1045">
        <v>0</v>
      </c>
      <c r="G16" s="204" t="s">
        <v>889</v>
      </c>
      <c r="H16" s="1048" t="s">
        <v>909</v>
      </c>
      <c r="I16" s="204" t="s">
        <v>889</v>
      </c>
      <c r="J16" s="1048" t="s">
        <v>909</v>
      </c>
      <c r="K16" s="1049" t="s">
        <v>889</v>
      </c>
      <c r="L16" s="1048" t="s">
        <v>909</v>
      </c>
      <c r="M16" s="204"/>
      <c r="N16" s="472"/>
      <c r="O16" s="3"/>
      <c r="P16" s="3"/>
      <c r="Q16" s="241" t="s">
        <v>194</v>
      </c>
      <c r="R16" s="243">
        <f>Summary!E6</f>
        <v>273</v>
      </c>
      <c r="S16" s="3"/>
      <c r="T16" s="3"/>
      <c r="U16" s="3"/>
      <c r="V16" s="3"/>
      <c r="W16" s="3"/>
      <c r="X16" s="3"/>
      <c r="Y16" s="3"/>
      <c r="Z16" s="3"/>
    </row>
    <row r="17" spans="1:26" x14ac:dyDescent="0.25">
      <c r="A17" s="1011"/>
      <c r="B17" s="1024" t="s">
        <v>937</v>
      </c>
      <c r="C17" s="1040"/>
      <c r="D17" s="1025"/>
      <c r="E17" s="204"/>
      <c r="F17" s="204"/>
      <c r="G17" s="204"/>
      <c r="H17" s="624">
        <f>SUM(H13:H16)</f>
        <v>77310.772499999992</v>
      </c>
      <c r="I17" s="204" t="s">
        <v>889</v>
      </c>
      <c r="J17" s="624">
        <f>SUM(J13:J16)</f>
        <v>1484.3668319999997</v>
      </c>
      <c r="K17" s="1049" t="s">
        <v>889</v>
      </c>
      <c r="L17" s="624">
        <f>SUM(L13:L16)</f>
        <v>41413.834612799998</v>
      </c>
      <c r="M17" s="81"/>
      <c r="N17" s="206"/>
      <c r="O17" s="3"/>
      <c r="P17" s="3"/>
      <c r="Q17" s="241" t="s">
        <v>197</v>
      </c>
      <c r="R17" s="243">
        <f>Summary!E7</f>
        <v>24300</v>
      </c>
      <c r="S17" s="3"/>
      <c r="T17" s="3"/>
      <c r="U17" s="3"/>
      <c r="V17" s="3"/>
      <c r="W17" s="3"/>
      <c r="X17" s="3"/>
      <c r="Y17" s="3"/>
      <c r="Z17" s="3"/>
    </row>
    <row r="18" spans="1:26" x14ac:dyDescent="0.25">
      <c r="A18" s="1011"/>
      <c r="B18" s="201"/>
      <c r="C18" s="81"/>
      <c r="D18" s="204"/>
      <c r="E18" s="81"/>
      <c r="F18" s="81"/>
      <c r="G18" s="81"/>
      <c r="H18" s="81"/>
      <c r="I18" s="81"/>
      <c r="J18" s="81"/>
      <c r="K18" s="81"/>
      <c r="L18" s="81"/>
      <c r="M18" s="81"/>
      <c r="N18" s="206"/>
      <c r="O18" s="3"/>
      <c r="P18" s="3"/>
      <c r="Q18" s="241"/>
      <c r="R18" s="243"/>
      <c r="S18" s="3"/>
      <c r="T18" s="3"/>
      <c r="U18" s="3"/>
      <c r="V18" s="3"/>
      <c r="W18" s="3"/>
      <c r="X18" s="3"/>
      <c r="Y18" s="3"/>
      <c r="Z18" s="3"/>
    </row>
    <row r="19" spans="1:26" x14ac:dyDescent="0.25">
      <c r="A19" s="1011"/>
      <c r="B19" s="470" t="s">
        <v>944</v>
      </c>
      <c r="C19" s="1088" t="s">
        <v>946</v>
      </c>
      <c r="D19" s="1090">
        <f>SUM(D20:D22)</f>
        <v>180316.19429279998</v>
      </c>
      <c r="E19" s="81"/>
      <c r="F19" s="672"/>
      <c r="G19" s="81"/>
      <c r="H19" s="81"/>
      <c r="I19" s="81"/>
      <c r="J19" s="81"/>
      <c r="K19" s="81"/>
      <c r="L19" s="81"/>
      <c r="M19" s="81"/>
      <c r="N19" s="206"/>
      <c r="O19" s="3"/>
      <c r="P19" s="3"/>
      <c r="Q19" s="3"/>
      <c r="R19" s="3"/>
      <c r="S19" s="3"/>
      <c r="T19" s="3"/>
      <c r="U19" s="3"/>
      <c r="V19" s="3"/>
      <c r="W19" s="3"/>
      <c r="X19" s="3"/>
      <c r="Y19" s="3"/>
      <c r="Z19" s="3"/>
    </row>
    <row r="20" spans="1:26" x14ac:dyDescent="0.25">
      <c r="A20" s="1011"/>
      <c r="B20" s="201"/>
      <c r="C20" s="1092" t="s">
        <v>884</v>
      </c>
      <c r="D20" s="1049">
        <f>N6</f>
        <v>0</v>
      </c>
      <c r="E20" s="81"/>
      <c r="F20" s="81"/>
      <c r="G20" s="81"/>
      <c r="H20" s="81"/>
      <c r="I20" s="81"/>
      <c r="J20" s="81"/>
      <c r="K20" s="81"/>
      <c r="L20" s="81"/>
      <c r="M20" s="81"/>
      <c r="N20" s="206"/>
      <c r="O20" s="3"/>
      <c r="P20" s="3"/>
      <c r="Q20" s="3"/>
      <c r="R20" s="3"/>
      <c r="S20" s="3"/>
      <c r="T20" s="3"/>
      <c r="U20" s="3"/>
      <c r="V20" s="3"/>
      <c r="W20" s="3"/>
      <c r="X20" s="3"/>
      <c r="Y20" s="3"/>
      <c r="Z20" s="3"/>
    </row>
    <row r="21" spans="1:26" ht="15.75" customHeight="1" x14ac:dyDescent="0.25">
      <c r="A21" s="1011"/>
      <c r="B21" s="201"/>
      <c r="C21" s="1092" t="s">
        <v>902</v>
      </c>
      <c r="D21" s="1049">
        <f>SUM(L9:L10)</f>
        <v>138902.35967999997</v>
      </c>
      <c r="E21" s="81"/>
      <c r="F21" s="747"/>
      <c r="G21" s="81"/>
      <c r="H21" s="81"/>
      <c r="I21" s="81"/>
      <c r="J21" s="81"/>
      <c r="K21" s="81"/>
      <c r="L21" s="81"/>
      <c r="M21" s="81"/>
      <c r="N21" s="206"/>
      <c r="O21" s="3"/>
      <c r="P21" s="3"/>
      <c r="Q21" s="3"/>
      <c r="R21" s="3"/>
      <c r="S21" s="3"/>
      <c r="T21" s="3"/>
      <c r="U21" s="3"/>
      <c r="V21" s="3"/>
      <c r="W21" s="3"/>
      <c r="X21" s="3"/>
      <c r="Y21" s="3"/>
      <c r="Z21" s="3"/>
    </row>
    <row r="22" spans="1:26" ht="15.75" customHeight="1" x14ac:dyDescent="0.25">
      <c r="A22" s="1011"/>
      <c r="B22" s="201"/>
      <c r="C22" s="1092" t="s">
        <v>914</v>
      </c>
      <c r="D22" s="1049">
        <f>L17</f>
        <v>41413.834612799998</v>
      </c>
      <c r="E22" s="81"/>
      <c r="F22" s="747"/>
      <c r="G22" s="81"/>
      <c r="H22" s="747"/>
      <c r="I22" s="81"/>
      <c r="J22" s="81"/>
      <c r="K22" s="81"/>
      <c r="L22" s="81"/>
      <c r="M22" s="81"/>
      <c r="N22" s="206"/>
      <c r="O22" s="3"/>
      <c r="P22" s="3"/>
      <c r="Q22" s="3"/>
      <c r="R22" s="3"/>
      <c r="S22" s="3"/>
      <c r="T22" s="3"/>
      <c r="U22" s="3"/>
      <c r="V22" s="3"/>
      <c r="W22" s="3"/>
      <c r="X22" s="3"/>
      <c r="Y22" s="3"/>
      <c r="Z22" s="3"/>
    </row>
    <row r="23" spans="1:26" ht="15.75" customHeight="1" x14ac:dyDescent="0.25">
      <c r="A23" s="1011"/>
      <c r="B23" s="201"/>
      <c r="C23" s="81"/>
      <c r="D23" s="204"/>
      <c r="E23" s="81"/>
      <c r="F23" s="81"/>
      <c r="G23" s="81"/>
      <c r="H23" s="81"/>
      <c r="I23" s="81"/>
      <c r="J23" s="81"/>
      <c r="K23" s="81"/>
      <c r="L23" s="81"/>
      <c r="M23" s="81"/>
      <c r="N23" s="206"/>
      <c r="O23" s="3"/>
      <c r="P23" s="3"/>
      <c r="Q23" s="3"/>
      <c r="R23" s="3"/>
      <c r="S23" s="3"/>
      <c r="T23" s="3"/>
      <c r="U23" s="3"/>
      <c r="V23" s="3"/>
      <c r="W23" s="3"/>
      <c r="X23" s="3"/>
      <c r="Y23" s="3"/>
      <c r="Z23" s="3"/>
    </row>
    <row r="24" spans="1:26" ht="15.75" customHeight="1" x14ac:dyDescent="0.25">
      <c r="A24" s="60"/>
      <c r="B24" s="209"/>
      <c r="C24" s="210"/>
      <c r="D24" s="210"/>
      <c r="E24" s="210"/>
      <c r="F24" s="210"/>
      <c r="G24" s="210"/>
      <c r="H24" s="210"/>
      <c r="I24" s="210"/>
      <c r="J24" s="210"/>
      <c r="K24" s="210"/>
      <c r="L24" s="210"/>
      <c r="M24" s="210"/>
      <c r="N24" s="215"/>
      <c r="O24" s="3"/>
      <c r="P24" s="3"/>
      <c r="Q24" s="3"/>
      <c r="R24" s="3"/>
      <c r="S24" s="3"/>
      <c r="T24" s="3"/>
      <c r="U24" s="3"/>
      <c r="V24" s="3"/>
      <c r="W24" s="3"/>
      <c r="X24" s="3"/>
      <c r="Y24" s="3"/>
      <c r="Z24" s="3"/>
    </row>
    <row r="25" spans="1:26" ht="15.75" customHeight="1" x14ac:dyDescent="0.25">
      <c r="A25" s="60"/>
      <c r="B25" s="1095" t="s">
        <v>951</v>
      </c>
      <c r="C25" s="3"/>
      <c r="D25" s="3"/>
      <c r="E25" s="3"/>
      <c r="F25" s="3"/>
      <c r="G25" s="3"/>
      <c r="H25" s="3"/>
      <c r="I25" s="3"/>
      <c r="J25" s="3"/>
      <c r="K25" s="3"/>
      <c r="L25" s="3"/>
      <c r="M25" s="3"/>
      <c r="N25" s="3"/>
      <c r="O25" s="3"/>
      <c r="P25" s="3"/>
      <c r="Q25" s="3"/>
      <c r="R25" s="3"/>
      <c r="S25" s="3"/>
      <c r="T25" s="3"/>
      <c r="U25" s="3"/>
      <c r="V25" s="3"/>
      <c r="W25" s="3"/>
      <c r="X25" s="3"/>
      <c r="Y25" s="3"/>
      <c r="Z25" s="3"/>
    </row>
    <row r="26" spans="1:26" ht="60" customHeight="1" x14ac:dyDescent="0.25">
      <c r="A26" s="60"/>
      <c r="B26" s="1098"/>
      <c r="C26" s="1099"/>
      <c r="D26" s="1100" t="s">
        <v>952</v>
      </c>
      <c r="E26" s="1101"/>
      <c r="F26" s="1103" t="s">
        <v>955</v>
      </c>
      <c r="G26" s="1099"/>
      <c r="H26" s="1100" t="s">
        <v>957</v>
      </c>
      <c r="I26" s="1104"/>
      <c r="J26" s="1100" t="s">
        <v>958</v>
      </c>
      <c r="K26" s="1099"/>
      <c r="L26" s="1100" t="s">
        <v>960</v>
      </c>
      <c r="M26" s="1099"/>
      <c r="N26" s="1105"/>
      <c r="O26" s="3"/>
      <c r="P26" s="3"/>
      <c r="Q26" s="3"/>
      <c r="R26" s="3"/>
      <c r="S26" s="3"/>
      <c r="T26" s="3"/>
      <c r="U26" s="3"/>
      <c r="V26" s="3"/>
      <c r="W26" s="3"/>
      <c r="X26" s="3"/>
      <c r="Y26" s="3"/>
      <c r="Z26" s="3"/>
    </row>
    <row r="27" spans="1:26" ht="15.75" customHeight="1" x14ac:dyDescent="0.25">
      <c r="A27" s="60"/>
      <c r="B27" s="1107"/>
      <c r="C27" s="1108" t="s">
        <v>962</v>
      </c>
      <c r="D27" s="81">
        <v>0.2893143272</v>
      </c>
      <c r="E27" s="204" t="s">
        <v>904</v>
      </c>
      <c r="F27" s="1109">
        <v>0.125</v>
      </c>
      <c r="G27" s="204" t="s">
        <v>889</v>
      </c>
      <c r="H27" s="1029">
        <f t="shared" ref="H27:H29" si="0">D27*F27*1000*12/44*21</f>
        <v>207.12275697272727</v>
      </c>
      <c r="I27" s="204" t="s">
        <v>889</v>
      </c>
      <c r="J27" s="1029">
        <f t="shared" ref="J27:J29" si="1">D27*F27*1000</f>
        <v>36.164290899999997</v>
      </c>
      <c r="K27" s="204" t="s">
        <v>889</v>
      </c>
      <c r="L27" s="1029">
        <f t="shared" ref="L27:L29" si="2">D27*F27*1000*$R$15</f>
        <v>1008.9837161099999</v>
      </c>
      <c r="M27" s="81"/>
      <c r="N27" s="1113"/>
      <c r="O27" s="3"/>
      <c r="P27" s="3"/>
      <c r="Q27" s="3"/>
      <c r="R27" s="3"/>
      <c r="S27" s="3"/>
      <c r="T27" s="3"/>
      <c r="U27" s="3"/>
      <c r="V27" s="3"/>
      <c r="W27" s="3"/>
      <c r="X27" s="3"/>
      <c r="Y27" s="3"/>
      <c r="Z27" s="3"/>
    </row>
    <row r="28" spans="1:26" ht="15.75" customHeight="1" x14ac:dyDescent="0.25">
      <c r="A28" s="60"/>
      <c r="B28" s="1107"/>
      <c r="C28" s="1108" t="s">
        <v>966</v>
      </c>
      <c r="D28" s="81">
        <v>0.2893143272</v>
      </c>
      <c r="E28" s="204" t="s">
        <v>904</v>
      </c>
      <c r="F28" s="1109">
        <v>0.25</v>
      </c>
      <c r="G28" s="204" t="s">
        <v>889</v>
      </c>
      <c r="H28" s="1029">
        <f t="shared" si="0"/>
        <v>414.24551394545455</v>
      </c>
      <c r="I28" s="204" t="s">
        <v>889</v>
      </c>
      <c r="J28" s="1029">
        <f t="shared" si="1"/>
        <v>72.328581799999995</v>
      </c>
      <c r="K28" s="204" t="s">
        <v>889</v>
      </c>
      <c r="L28" s="1029">
        <f t="shared" si="2"/>
        <v>2017.9674322199999</v>
      </c>
      <c r="M28" s="81"/>
      <c r="N28" s="1113"/>
      <c r="O28" s="3"/>
      <c r="P28" s="3"/>
      <c r="Q28" s="3"/>
      <c r="R28" s="3"/>
      <c r="S28" s="3"/>
      <c r="T28" s="3"/>
      <c r="U28" s="3"/>
      <c r="V28" s="3"/>
      <c r="W28" s="3"/>
      <c r="X28" s="3"/>
      <c r="Y28" s="3"/>
      <c r="Z28" s="3"/>
    </row>
    <row r="29" spans="1:26" ht="15.75" customHeight="1" x14ac:dyDescent="0.25">
      <c r="A29" s="60"/>
      <c r="B29" s="1119"/>
      <c r="C29" s="1120" t="s">
        <v>969</v>
      </c>
      <c r="D29" s="1121">
        <v>0.2893143272</v>
      </c>
      <c r="E29" s="1122" t="s">
        <v>904</v>
      </c>
      <c r="F29" s="1123">
        <v>0.625</v>
      </c>
      <c r="G29" s="1122" t="s">
        <v>889</v>
      </c>
      <c r="H29" s="1125">
        <f t="shared" si="0"/>
        <v>1035.6137848636363</v>
      </c>
      <c r="I29" s="1122" t="s">
        <v>889</v>
      </c>
      <c r="J29" s="1125">
        <f t="shared" si="1"/>
        <v>180.82145450000002</v>
      </c>
      <c r="K29" s="1122" t="s">
        <v>889</v>
      </c>
      <c r="L29" s="1125">
        <f t="shared" si="2"/>
        <v>5044.9185805500001</v>
      </c>
      <c r="M29" s="1121"/>
      <c r="N29" s="1128"/>
      <c r="O29" s="3"/>
      <c r="P29" s="3"/>
      <c r="Q29" s="3"/>
      <c r="R29" s="3"/>
      <c r="S29" s="3"/>
      <c r="T29" s="3"/>
      <c r="U29" s="3"/>
      <c r="V29" s="3"/>
      <c r="W29" s="3"/>
      <c r="X29" s="3"/>
      <c r="Y29" s="3"/>
      <c r="Z29" s="3"/>
    </row>
    <row r="30" spans="1:26" ht="15.75" customHeight="1" x14ac:dyDescent="0.25">
      <c r="A30" s="60"/>
      <c r="B30" s="1009"/>
      <c r="C30" s="3"/>
      <c r="D30" s="3"/>
      <c r="E30" s="3"/>
      <c r="F30" s="3"/>
      <c r="G30" s="3"/>
      <c r="H30" s="3"/>
      <c r="I30" s="3"/>
      <c r="J30" s="3"/>
      <c r="K30" s="3"/>
      <c r="L30" s="3"/>
      <c r="M30" s="3"/>
      <c r="N30" s="3"/>
      <c r="O30" s="3"/>
      <c r="P30" s="3"/>
      <c r="Q30" s="3"/>
      <c r="R30" s="3"/>
      <c r="S30" s="3"/>
      <c r="T30" s="3"/>
      <c r="U30" s="3"/>
      <c r="V30" s="3"/>
      <c r="W30" s="3"/>
      <c r="X30" s="3"/>
      <c r="Y30" s="3"/>
      <c r="Z30" s="3"/>
    </row>
    <row r="31" spans="1:26" ht="15.75" customHeight="1" x14ac:dyDescent="0.25">
      <c r="A31" s="60"/>
      <c r="B31" s="1009"/>
      <c r="C31" s="3"/>
      <c r="D31" s="3"/>
      <c r="E31" s="3"/>
      <c r="F31" s="3"/>
      <c r="G31" s="3"/>
      <c r="H31" s="3"/>
      <c r="I31" s="3"/>
      <c r="J31" s="3"/>
      <c r="K31" s="3"/>
      <c r="L31" s="3"/>
      <c r="M31" s="3"/>
      <c r="N31" s="3"/>
      <c r="O31" s="3"/>
      <c r="P31" s="3"/>
      <c r="Q31" s="3"/>
      <c r="R31" s="3"/>
      <c r="S31" s="3"/>
      <c r="T31" s="3"/>
      <c r="U31" s="3"/>
      <c r="V31" s="3"/>
      <c r="W31" s="3"/>
      <c r="X31" s="3"/>
      <c r="Y31" s="3"/>
      <c r="Z31" s="3"/>
    </row>
    <row r="32" spans="1:26" ht="15.75" customHeight="1" x14ac:dyDescent="0.25">
      <c r="A32" s="60"/>
      <c r="B32" s="1095" t="s">
        <v>984</v>
      </c>
      <c r="C32" s="3"/>
      <c r="D32" s="3"/>
      <c r="E32" s="3"/>
      <c r="F32" s="3"/>
      <c r="G32" s="3"/>
      <c r="H32" s="3"/>
      <c r="I32" s="3"/>
      <c r="J32" s="3"/>
      <c r="K32" s="3"/>
      <c r="L32" s="3"/>
      <c r="M32" s="3"/>
      <c r="N32" s="3"/>
      <c r="O32" s="3"/>
      <c r="P32" s="3"/>
      <c r="Q32" s="3"/>
      <c r="R32" s="3"/>
      <c r="S32" s="3"/>
      <c r="T32" s="3"/>
      <c r="U32" s="3"/>
      <c r="V32" s="3"/>
      <c r="W32" s="3"/>
      <c r="X32" s="3"/>
      <c r="Y32" s="3"/>
      <c r="Z32" s="3"/>
    </row>
    <row r="33" spans="1:26" ht="15.75" customHeight="1" x14ac:dyDescent="0.25">
      <c r="A33" s="60"/>
      <c r="B33" s="1134" t="s">
        <v>989</v>
      </c>
      <c r="C33" s="19"/>
      <c r="D33" s="3"/>
      <c r="E33" s="3"/>
      <c r="F33" s="3"/>
      <c r="G33" s="3"/>
      <c r="H33" s="3"/>
      <c r="I33" s="3"/>
      <c r="J33" s="3"/>
      <c r="K33" s="3"/>
      <c r="L33" s="3"/>
      <c r="M33" s="3"/>
      <c r="N33" s="3"/>
      <c r="O33" s="3"/>
      <c r="P33" s="3"/>
      <c r="Q33" s="3"/>
      <c r="R33" s="3"/>
      <c r="S33" s="3"/>
      <c r="T33" s="3"/>
      <c r="U33" s="3"/>
      <c r="V33" s="3"/>
      <c r="W33" s="3"/>
      <c r="X33" s="3"/>
      <c r="Y33" s="3"/>
      <c r="Z33" s="3"/>
    </row>
    <row r="34" spans="1:26" ht="15.75" customHeight="1" x14ac:dyDescent="0.25">
      <c r="A34" s="60"/>
      <c r="B34" s="1134"/>
      <c r="C34" s="1135">
        <v>2011</v>
      </c>
      <c r="D34" s="3"/>
      <c r="E34" s="3"/>
      <c r="F34" s="3"/>
      <c r="G34" s="3"/>
      <c r="H34" s="3"/>
      <c r="I34" s="3"/>
      <c r="J34" s="3"/>
      <c r="K34" s="3"/>
      <c r="L34" s="3"/>
      <c r="M34" s="3"/>
      <c r="N34" s="3"/>
      <c r="O34" s="3"/>
      <c r="P34" s="3"/>
      <c r="Q34" s="3"/>
      <c r="R34" s="3"/>
      <c r="S34" s="3"/>
      <c r="T34" s="3"/>
      <c r="U34" s="3"/>
      <c r="V34" s="3"/>
      <c r="W34" s="3"/>
      <c r="X34" s="3"/>
      <c r="Y34" s="3"/>
      <c r="Z34" s="3"/>
    </row>
    <row r="35" spans="1:26" ht="15.75" customHeight="1" x14ac:dyDescent="0.25">
      <c r="A35" s="60"/>
      <c r="B35" s="28" t="s">
        <v>319</v>
      </c>
      <c r="C35" s="1141">
        <f>D19/1000000</f>
        <v>0.18031619429279996</v>
      </c>
      <c r="D35" s="1143"/>
      <c r="E35" s="3"/>
      <c r="F35" s="3"/>
      <c r="G35" s="3"/>
      <c r="H35" s="3"/>
      <c r="I35" s="3"/>
      <c r="J35" s="3"/>
      <c r="K35" s="3"/>
      <c r="L35" s="3"/>
      <c r="M35" s="3"/>
      <c r="N35" s="3"/>
      <c r="O35" s="3"/>
      <c r="P35" s="3"/>
      <c r="Q35" s="3"/>
      <c r="R35" s="3"/>
      <c r="S35" s="3"/>
      <c r="T35" s="3"/>
      <c r="U35" s="3"/>
      <c r="V35" s="3"/>
      <c r="W35" s="3"/>
      <c r="X35" s="3"/>
      <c r="Y35" s="3"/>
      <c r="Z35" s="3"/>
    </row>
    <row r="36" spans="1:26" ht="15.75" customHeight="1" x14ac:dyDescent="0.25">
      <c r="A36" s="60"/>
      <c r="B36" s="28" t="s">
        <v>999</v>
      </c>
      <c r="C36" s="1141">
        <f>SUM(C37:C39)</f>
        <v>8.0718697288800004E-3</v>
      </c>
      <c r="D36" s="1151"/>
      <c r="E36" s="3"/>
      <c r="F36" s="3"/>
      <c r="G36" s="3"/>
      <c r="H36" s="3"/>
      <c r="I36" s="3"/>
      <c r="J36" s="3"/>
      <c r="K36" s="3"/>
      <c r="L36" s="3"/>
      <c r="M36" s="3"/>
      <c r="N36" s="3"/>
      <c r="O36" s="3"/>
      <c r="P36" s="3"/>
      <c r="Q36" s="3"/>
      <c r="R36" s="3"/>
      <c r="S36" s="3"/>
      <c r="T36" s="3"/>
      <c r="U36" s="3"/>
      <c r="V36" s="3"/>
      <c r="W36" s="3"/>
      <c r="X36" s="3"/>
      <c r="Y36" s="3"/>
      <c r="Z36" s="3"/>
    </row>
    <row r="37" spans="1:26" ht="15.75" customHeight="1" x14ac:dyDescent="0.25">
      <c r="A37" s="60"/>
      <c r="B37" s="1155" t="s">
        <v>962</v>
      </c>
      <c r="C37" s="1141">
        <f t="shared" ref="C37:C39" si="3">L27/1000000</f>
        <v>1.0089837161099998E-3</v>
      </c>
      <c r="D37" s="1151"/>
      <c r="E37" s="3"/>
      <c r="F37" s="3"/>
      <c r="G37" s="3"/>
      <c r="H37" s="3"/>
      <c r="I37" s="3"/>
      <c r="J37" s="3"/>
      <c r="K37" s="3"/>
      <c r="L37" s="3"/>
      <c r="M37" s="3"/>
      <c r="N37" s="3"/>
      <c r="O37" s="3"/>
      <c r="P37" s="3"/>
      <c r="Q37" s="3"/>
      <c r="R37" s="3"/>
      <c r="S37" s="3"/>
      <c r="T37" s="3"/>
      <c r="U37" s="3"/>
      <c r="V37" s="3"/>
      <c r="W37" s="3"/>
      <c r="X37" s="3"/>
      <c r="Y37" s="3"/>
      <c r="Z37" s="3"/>
    </row>
    <row r="38" spans="1:26" ht="15.75" customHeight="1" x14ac:dyDescent="0.25">
      <c r="A38" s="60"/>
      <c r="B38" s="1155" t="s">
        <v>966</v>
      </c>
      <c r="C38" s="1141">
        <f t="shared" si="3"/>
        <v>2.0179674322199997E-3</v>
      </c>
      <c r="D38" s="1151"/>
      <c r="E38" s="3"/>
      <c r="F38" s="3"/>
      <c r="G38" s="3"/>
      <c r="H38" s="3"/>
      <c r="I38" s="3"/>
      <c r="J38" s="3"/>
      <c r="K38" s="3"/>
      <c r="L38" s="3"/>
      <c r="M38" s="3"/>
      <c r="N38" s="3"/>
      <c r="O38" s="3"/>
      <c r="P38" s="3"/>
      <c r="Q38" s="3"/>
      <c r="R38" s="3"/>
      <c r="S38" s="3"/>
      <c r="T38" s="3"/>
      <c r="U38" s="3"/>
      <c r="V38" s="3"/>
      <c r="W38" s="3"/>
      <c r="X38" s="3"/>
      <c r="Y38" s="3"/>
      <c r="Z38" s="3"/>
    </row>
    <row r="39" spans="1:26" ht="15.75" customHeight="1" x14ac:dyDescent="0.25">
      <c r="A39" s="60"/>
      <c r="B39" s="1155" t="s">
        <v>969</v>
      </c>
      <c r="C39" s="1141">
        <f t="shared" si="3"/>
        <v>5.0449185805500002E-3</v>
      </c>
      <c r="D39" s="1151"/>
      <c r="E39" s="3"/>
      <c r="F39" s="3"/>
      <c r="G39" s="3"/>
      <c r="H39" s="3"/>
      <c r="I39" s="3"/>
      <c r="J39" s="3"/>
      <c r="K39" s="3"/>
      <c r="L39" s="3"/>
      <c r="M39" s="3"/>
      <c r="N39" s="3"/>
      <c r="O39" s="3"/>
      <c r="P39" s="3"/>
      <c r="Q39" s="3"/>
      <c r="R39" s="3"/>
      <c r="S39" s="3"/>
      <c r="T39" s="3"/>
      <c r="U39" s="3"/>
      <c r="V39" s="3"/>
      <c r="W39" s="3"/>
      <c r="X39" s="3"/>
      <c r="Y39" s="3"/>
      <c r="Z39" s="3"/>
    </row>
    <row r="40" spans="1:26" ht="15.75" customHeight="1" x14ac:dyDescent="0.25">
      <c r="A40" s="60"/>
      <c r="B40" s="1165"/>
      <c r="C40" s="498"/>
      <c r="D40" s="3"/>
      <c r="E40" s="3"/>
      <c r="F40" s="3"/>
      <c r="G40" s="3"/>
      <c r="H40" s="3"/>
      <c r="I40" s="3"/>
      <c r="J40" s="3"/>
      <c r="K40" s="3"/>
      <c r="L40" s="3"/>
      <c r="M40" s="3"/>
      <c r="N40" s="3"/>
      <c r="O40" s="3"/>
      <c r="P40" s="3"/>
      <c r="Q40" s="3"/>
      <c r="R40" s="3"/>
      <c r="S40" s="3"/>
      <c r="T40" s="3"/>
      <c r="U40" s="3"/>
      <c r="V40" s="3"/>
      <c r="W40" s="3"/>
      <c r="X40" s="3"/>
      <c r="Y40" s="3"/>
      <c r="Z40" s="3"/>
    </row>
    <row r="41" spans="1:26" ht="15.75" customHeight="1" x14ac:dyDescent="0.25">
      <c r="A41" s="60"/>
      <c r="B41" s="1009"/>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x14ac:dyDescent="0.25">
      <c r="A42" s="60"/>
      <c r="B42" s="1009"/>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x14ac:dyDescent="0.25">
      <c r="A43" s="3"/>
      <c r="B43" s="1134" t="s">
        <v>1007</v>
      </c>
      <c r="C43" s="19"/>
      <c r="D43" s="3"/>
      <c r="E43" s="3"/>
      <c r="F43" s="3"/>
      <c r="G43" s="3"/>
      <c r="H43" s="3"/>
      <c r="I43" s="3"/>
      <c r="J43" s="3"/>
      <c r="K43" s="3"/>
      <c r="L43" s="3"/>
      <c r="M43" s="3"/>
      <c r="N43" s="3"/>
      <c r="O43" s="3"/>
      <c r="P43" s="3"/>
      <c r="Q43" s="3"/>
      <c r="R43" s="3"/>
      <c r="S43" s="3"/>
      <c r="T43" s="3"/>
      <c r="U43" s="3"/>
      <c r="V43" s="3"/>
      <c r="W43" s="3"/>
      <c r="X43" s="3"/>
      <c r="Y43" s="3"/>
      <c r="Z43" s="3"/>
    </row>
    <row r="44" spans="1:26" ht="15.75" customHeight="1" x14ac:dyDescent="0.25">
      <c r="A44" s="3"/>
      <c r="B44" s="1134"/>
      <c r="C44" s="1135">
        <v>2011</v>
      </c>
      <c r="D44" s="3"/>
      <c r="E44" s="3"/>
      <c r="F44" s="3"/>
      <c r="G44" s="3"/>
      <c r="H44" s="3"/>
      <c r="I44" s="3"/>
      <c r="J44" s="3"/>
      <c r="K44" s="3"/>
      <c r="L44" s="3"/>
      <c r="M44" s="3"/>
      <c r="N44" s="3"/>
      <c r="O44" s="3"/>
      <c r="P44" s="3"/>
      <c r="Q44" s="3"/>
      <c r="R44" s="3"/>
      <c r="S44" s="3"/>
      <c r="T44" s="3"/>
      <c r="U44" s="3"/>
      <c r="V44" s="3"/>
      <c r="W44" s="3"/>
      <c r="X44" s="3"/>
      <c r="Y44" s="3"/>
      <c r="Z44" s="3"/>
    </row>
    <row r="45" spans="1:26" ht="15.75" customHeight="1" x14ac:dyDescent="0.25">
      <c r="A45" s="3"/>
      <c r="B45" s="28" t="s">
        <v>319</v>
      </c>
      <c r="C45" s="565">
        <f>D19</f>
        <v>180316.19429279998</v>
      </c>
      <c r="D45" s="3"/>
      <c r="E45" s="3"/>
      <c r="F45" s="3"/>
      <c r="G45" s="3"/>
      <c r="H45" s="3"/>
      <c r="I45" s="3"/>
      <c r="J45" s="3"/>
      <c r="K45" s="3"/>
      <c r="L45" s="3"/>
      <c r="M45" s="3"/>
      <c r="N45" s="3"/>
      <c r="O45" s="3"/>
      <c r="P45" s="3"/>
      <c r="Q45" s="3"/>
      <c r="R45" s="3"/>
      <c r="S45" s="3"/>
      <c r="T45" s="3"/>
      <c r="U45" s="3"/>
      <c r="V45" s="3"/>
      <c r="W45" s="3"/>
      <c r="X45" s="3"/>
      <c r="Y45" s="3"/>
      <c r="Z45" s="3"/>
    </row>
    <row r="46" spans="1:26" ht="15.75" customHeight="1" x14ac:dyDescent="0.25">
      <c r="A46" s="3"/>
      <c r="B46" s="28" t="s">
        <v>999</v>
      </c>
      <c r="C46" s="565">
        <f>SUM(C47:C49)</f>
        <v>8071.8697288799995</v>
      </c>
      <c r="D46" s="3"/>
      <c r="E46" s="3"/>
      <c r="F46" s="3"/>
      <c r="G46" s="3"/>
      <c r="H46" s="3"/>
      <c r="I46" s="3"/>
      <c r="J46" s="3"/>
      <c r="K46" s="3"/>
      <c r="L46" s="3"/>
      <c r="M46" s="3"/>
      <c r="N46" s="3"/>
      <c r="O46" s="3"/>
      <c r="P46" s="3"/>
      <c r="Q46" s="3"/>
      <c r="R46" s="3"/>
      <c r="S46" s="3"/>
      <c r="T46" s="3"/>
      <c r="U46" s="3"/>
      <c r="V46" s="3"/>
      <c r="W46" s="3"/>
      <c r="X46" s="3"/>
      <c r="Y46" s="3"/>
      <c r="Z46" s="3"/>
    </row>
    <row r="47" spans="1:26" ht="15.75" customHeight="1" x14ac:dyDescent="0.25">
      <c r="A47" s="3"/>
      <c r="B47" s="1155" t="s">
        <v>962</v>
      </c>
      <c r="C47" s="565">
        <f t="shared" ref="C47:C49" si="4">L27</f>
        <v>1008.9837161099999</v>
      </c>
      <c r="D47" s="3"/>
      <c r="E47" s="3"/>
      <c r="F47" s="3"/>
      <c r="G47" s="3"/>
      <c r="H47" s="3"/>
      <c r="I47" s="3"/>
      <c r="J47" s="3"/>
      <c r="K47" s="3"/>
      <c r="L47" s="3"/>
      <c r="M47" s="3"/>
      <c r="N47" s="3"/>
      <c r="O47" s="3"/>
      <c r="P47" s="3"/>
      <c r="Q47" s="3"/>
      <c r="R47" s="3"/>
      <c r="S47" s="3"/>
      <c r="T47" s="3"/>
      <c r="U47" s="3"/>
      <c r="V47" s="3"/>
      <c r="W47" s="3"/>
      <c r="X47" s="3"/>
      <c r="Y47" s="3"/>
      <c r="Z47" s="3"/>
    </row>
    <row r="48" spans="1:26" ht="15.75" customHeight="1" x14ac:dyDescent="0.25">
      <c r="A48" s="3"/>
      <c r="B48" s="1155" t="s">
        <v>966</v>
      </c>
      <c r="C48" s="565">
        <f t="shared" si="4"/>
        <v>2017.9674322199999</v>
      </c>
      <c r="D48" s="3"/>
      <c r="E48" s="3"/>
      <c r="F48" s="3"/>
      <c r="G48" s="3"/>
      <c r="H48" s="3"/>
      <c r="I48" s="3"/>
      <c r="J48" s="3"/>
      <c r="K48" s="3"/>
      <c r="L48" s="3"/>
      <c r="M48" s="3"/>
      <c r="N48" s="3"/>
      <c r="O48" s="3"/>
      <c r="P48" s="3"/>
      <c r="Q48" s="3"/>
      <c r="R48" s="3"/>
      <c r="S48" s="3"/>
      <c r="T48" s="3"/>
      <c r="U48" s="3"/>
      <c r="V48" s="3"/>
      <c r="W48" s="3"/>
      <c r="X48" s="3"/>
      <c r="Y48" s="3"/>
      <c r="Z48" s="3"/>
    </row>
    <row r="49" spans="1:26" ht="15.75" customHeight="1" x14ac:dyDescent="0.25">
      <c r="A49" s="3"/>
      <c r="B49" s="1155" t="s">
        <v>969</v>
      </c>
      <c r="C49" s="565">
        <f t="shared" si="4"/>
        <v>5044.9185805500001</v>
      </c>
      <c r="D49" s="3"/>
      <c r="E49" s="3"/>
      <c r="F49" s="3"/>
      <c r="G49" s="3"/>
      <c r="H49" s="3"/>
      <c r="I49" s="3"/>
      <c r="J49" s="3"/>
      <c r="K49" s="3"/>
      <c r="L49" s="3"/>
      <c r="M49" s="3"/>
      <c r="N49" s="3"/>
      <c r="O49" s="3"/>
      <c r="P49" s="3"/>
      <c r="Q49" s="3"/>
      <c r="R49" s="3"/>
      <c r="S49" s="3"/>
      <c r="T49" s="3"/>
      <c r="U49" s="3"/>
      <c r="V49" s="3"/>
      <c r="W49" s="3"/>
      <c r="X49" s="3"/>
      <c r="Y49" s="3"/>
      <c r="Z49" s="3"/>
    </row>
    <row r="50" spans="1:26" ht="15.75" customHeight="1" x14ac:dyDescent="0.25">
      <c r="A50" s="3"/>
      <c r="B50" s="601"/>
      <c r="C50" s="1185"/>
      <c r="D50" s="3"/>
      <c r="E50" s="3"/>
      <c r="F50" s="3"/>
      <c r="G50" s="3"/>
      <c r="H50" s="3"/>
      <c r="I50" s="3"/>
      <c r="J50" s="3"/>
      <c r="K50" s="3"/>
      <c r="L50" s="3"/>
      <c r="M50" s="3"/>
      <c r="N50" s="3"/>
      <c r="O50" s="3"/>
      <c r="P50" s="3"/>
      <c r="Q50" s="3"/>
      <c r="R50" s="3"/>
      <c r="S50" s="3"/>
      <c r="T50" s="3"/>
      <c r="U50" s="3"/>
      <c r="V50" s="3"/>
      <c r="W50" s="3"/>
      <c r="X50" s="3"/>
      <c r="Y50" s="3"/>
      <c r="Z50" s="3"/>
    </row>
    <row r="51" spans="1:26" ht="15.75" customHeight="1" x14ac:dyDescent="0.25">
      <c r="A51" s="3"/>
      <c r="B51" s="1134" t="s">
        <v>1025</v>
      </c>
      <c r="C51" s="1188">
        <v>2011</v>
      </c>
      <c r="D51" s="3"/>
      <c r="E51" s="3"/>
      <c r="F51" s="3"/>
      <c r="G51" s="3"/>
      <c r="H51" s="3"/>
      <c r="I51" s="3"/>
      <c r="J51" s="3"/>
      <c r="K51" s="3"/>
      <c r="L51" s="3"/>
      <c r="M51" s="3"/>
      <c r="N51" s="3"/>
      <c r="O51" s="3"/>
      <c r="P51" s="3"/>
      <c r="Q51" s="3"/>
      <c r="R51" s="3"/>
      <c r="S51" s="3"/>
      <c r="T51" s="3"/>
      <c r="U51" s="3"/>
      <c r="V51" s="3"/>
      <c r="W51" s="3"/>
      <c r="X51" s="3"/>
      <c r="Y51" s="3"/>
      <c r="Z51" s="3"/>
    </row>
    <row r="52" spans="1:26" ht="15.75" customHeight="1" x14ac:dyDescent="0.25">
      <c r="A52" s="3"/>
      <c r="B52" s="28" t="s">
        <v>319</v>
      </c>
      <c r="C52" s="565">
        <f>C45*12/44</f>
        <v>49177.143898036353</v>
      </c>
      <c r="D52" s="110"/>
      <c r="E52" s="3"/>
      <c r="F52" s="3"/>
      <c r="G52" s="3"/>
      <c r="H52" s="3"/>
      <c r="I52" s="3"/>
      <c r="J52" s="3"/>
      <c r="K52" s="3"/>
      <c r="L52" s="3"/>
      <c r="M52" s="3"/>
      <c r="N52" s="3"/>
      <c r="O52" s="3"/>
      <c r="P52" s="3"/>
      <c r="Q52" s="3"/>
      <c r="R52" s="3"/>
      <c r="S52" s="3"/>
      <c r="T52" s="3"/>
      <c r="U52" s="3"/>
      <c r="V52" s="3"/>
      <c r="W52" s="3"/>
      <c r="X52" s="3"/>
      <c r="Y52" s="3"/>
      <c r="Z52" s="3"/>
    </row>
    <row r="53" spans="1:26" ht="15.75" customHeight="1" x14ac:dyDescent="0.25">
      <c r="A53" s="3"/>
      <c r="B53" s="28" t="s">
        <v>999</v>
      </c>
      <c r="C53" s="565">
        <f>SUM(C54:C56)</f>
        <v>1656.982055781818</v>
      </c>
      <c r="D53" s="3"/>
      <c r="E53" s="3"/>
      <c r="F53" s="3"/>
      <c r="G53" s="3"/>
      <c r="H53" s="3"/>
      <c r="I53" s="3"/>
      <c r="J53" s="3"/>
      <c r="K53" s="3"/>
      <c r="L53" s="3"/>
      <c r="M53" s="3"/>
      <c r="N53" s="3"/>
      <c r="O53" s="3"/>
      <c r="P53" s="3"/>
      <c r="Q53" s="3"/>
      <c r="R53" s="3"/>
      <c r="S53" s="3"/>
      <c r="T53" s="3"/>
      <c r="U53" s="3"/>
      <c r="V53" s="3"/>
      <c r="W53" s="3"/>
      <c r="X53" s="3"/>
      <c r="Y53" s="3"/>
      <c r="Z53" s="3"/>
    </row>
    <row r="54" spans="1:26" ht="15.75" customHeight="1" x14ac:dyDescent="0.25">
      <c r="A54" s="3"/>
      <c r="B54" s="1155" t="s">
        <v>962</v>
      </c>
      <c r="C54" s="565">
        <f t="shared" ref="C54:C56" si="5">H27</f>
        <v>207.12275697272727</v>
      </c>
      <c r="D54" s="110"/>
      <c r="E54" s="3"/>
      <c r="F54" s="3"/>
      <c r="G54" s="3"/>
      <c r="H54" s="3"/>
      <c r="I54" s="3"/>
      <c r="J54" s="3"/>
      <c r="K54" s="3"/>
      <c r="L54" s="3"/>
      <c r="M54" s="3"/>
      <c r="N54" s="3"/>
      <c r="O54" s="3"/>
      <c r="P54" s="3"/>
      <c r="Q54" s="3"/>
      <c r="R54" s="3"/>
      <c r="S54" s="3"/>
      <c r="T54" s="3"/>
      <c r="U54" s="3"/>
      <c r="V54" s="3"/>
      <c r="W54" s="3"/>
      <c r="X54" s="3"/>
      <c r="Y54" s="3"/>
      <c r="Z54" s="3"/>
    </row>
    <row r="55" spans="1:26" ht="15.75" customHeight="1" x14ac:dyDescent="0.25">
      <c r="A55" s="3"/>
      <c r="B55" s="1155" t="s">
        <v>966</v>
      </c>
      <c r="C55" s="565">
        <f t="shared" si="5"/>
        <v>414.24551394545455</v>
      </c>
      <c r="D55" s="110"/>
      <c r="E55" s="3"/>
      <c r="F55" s="3"/>
      <c r="G55" s="3"/>
      <c r="H55" s="3"/>
      <c r="I55" s="3"/>
      <c r="J55" s="3"/>
      <c r="K55" s="3"/>
      <c r="L55" s="3"/>
      <c r="M55" s="3"/>
      <c r="N55" s="3"/>
      <c r="O55" s="3"/>
      <c r="P55" s="3"/>
      <c r="Q55" s="3"/>
      <c r="R55" s="3"/>
      <c r="S55" s="3"/>
      <c r="T55" s="3"/>
      <c r="U55" s="3"/>
      <c r="V55" s="3"/>
      <c r="W55" s="3"/>
      <c r="X55" s="3"/>
      <c r="Y55" s="3"/>
      <c r="Z55" s="3"/>
    </row>
    <row r="56" spans="1:26" ht="15.75" customHeight="1" x14ac:dyDescent="0.25">
      <c r="A56" s="3"/>
      <c r="B56" s="1155" t="s">
        <v>969</v>
      </c>
      <c r="C56" s="565">
        <f t="shared" si="5"/>
        <v>1035.6137848636363</v>
      </c>
      <c r="D56" s="110"/>
      <c r="E56" s="3"/>
      <c r="F56" s="3"/>
      <c r="G56" s="3"/>
      <c r="H56" s="3"/>
      <c r="I56" s="3"/>
      <c r="J56" s="3"/>
      <c r="K56" s="3"/>
      <c r="L56" s="3"/>
      <c r="M56" s="3"/>
      <c r="N56" s="3"/>
      <c r="O56" s="3"/>
      <c r="P56" s="3"/>
      <c r="Q56" s="3"/>
      <c r="R56" s="3"/>
      <c r="S56" s="3"/>
      <c r="T56" s="3"/>
      <c r="U56" s="3"/>
      <c r="V56" s="3"/>
      <c r="W56" s="3"/>
      <c r="X56" s="3"/>
      <c r="Y56" s="3"/>
      <c r="Z56" s="3"/>
    </row>
    <row r="57" spans="1:26" ht="15.75" customHeight="1" x14ac:dyDescent="0.25">
      <c r="A57" s="3"/>
      <c r="B57" s="601"/>
      <c r="C57" s="1185"/>
      <c r="D57" s="3"/>
      <c r="E57" s="3"/>
      <c r="F57" s="3"/>
      <c r="G57" s="3"/>
      <c r="H57" s="3"/>
      <c r="I57" s="3"/>
      <c r="J57" s="3"/>
      <c r="K57" s="3"/>
      <c r="L57" s="3"/>
      <c r="M57" s="3"/>
      <c r="N57" s="3"/>
      <c r="O57" s="3"/>
      <c r="P57" s="3"/>
      <c r="Q57" s="3"/>
      <c r="R57" s="3"/>
      <c r="S57" s="3"/>
      <c r="T57" s="3"/>
      <c r="U57" s="3"/>
      <c r="V57" s="3"/>
      <c r="W57" s="3"/>
      <c r="X57" s="3"/>
      <c r="Y57" s="3"/>
      <c r="Z57" s="3"/>
    </row>
    <row r="58" spans="1:26" ht="15.75" customHeight="1" x14ac:dyDescent="0.25">
      <c r="A58" s="3"/>
      <c r="B58" s="1134" t="s">
        <v>1030</v>
      </c>
      <c r="C58" s="1188">
        <v>2011</v>
      </c>
      <c r="D58" s="3"/>
      <c r="E58" s="3"/>
      <c r="F58" s="3"/>
      <c r="G58" s="3"/>
      <c r="H58" s="3"/>
      <c r="I58" s="3"/>
      <c r="J58" s="3"/>
      <c r="K58" s="3"/>
      <c r="L58" s="3"/>
      <c r="M58" s="3"/>
      <c r="N58" s="3"/>
      <c r="O58" s="3"/>
      <c r="P58" s="3"/>
      <c r="Q58" s="3"/>
      <c r="R58" s="3"/>
      <c r="S58" s="3"/>
      <c r="T58" s="3"/>
      <c r="U58" s="3"/>
      <c r="V58" s="3"/>
      <c r="W58" s="3"/>
      <c r="X58" s="3"/>
      <c r="Y58" s="3"/>
      <c r="Z58" s="3"/>
    </row>
    <row r="59" spans="1:26" ht="15.75" customHeight="1" x14ac:dyDescent="0.25">
      <c r="A59" s="3"/>
      <c r="B59" s="28" t="s">
        <v>319</v>
      </c>
      <c r="C59" s="565">
        <f>C45/21</f>
        <v>8586.4854425142839</v>
      </c>
      <c r="D59" s="3"/>
      <c r="E59" s="3"/>
      <c r="F59" s="3"/>
      <c r="G59" s="3"/>
      <c r="H59" s="3"/>
      <c r="I59" s="3"/>
      <c r="J59" s="3"/>
      <c r="K59" s="3"/>
      <c r="L59" s="3"/>
      <c r="M59" s="3"/>
      <c r="N59" s="3"/>
      <c r="O59" s="3"/>
      <c r="P59" s="3"/>
      <c r="Q59" s="3"/>
      <c r="R59" s="3"/>
      <c r="S59" s="3"/>
      <c r="T59" s="3"/>
      <c r="U59" s="3"/>
      <c r="V59" s="3"/>
      <c r="W59" s="3"/>
      <c r="X59" s="3"/>
      <c r="Y59" s="3"/>
      <c r="Z59" s="3"/>
    </row>
    <row r="60" spans="1:26" ht="15.75" customHeight="1" x14ac:dyDescent="0.25">
      <c r="A60" s="3"/>
      <c r="B60" s="28" t="s">
        <v>999</v>
      </c>
      <c r="C60" s="565">
        <f>SUM(C61:C63)</f>
        <v>289.31432719999998</v>
      </c>
      <c r="D60" s="3"/>
      <c r="E60" s="3"/>
      <c r="F60" s="3"/>
      <c r="G60" s="3"/>
      <c r="H60" s="3"/>
      <c r="I60" s="3"/>
      <c r="J60" s="3"/>
      <c r="K60" s="3"/>
      <c r="L60" s="3"/>
      <c r="M60" s="3"/>
      <c r="N60" s="3"/>
      <c r="O60" s="3"/>
      <c r="P60" s="3"/>
      <c r="Q60" s="3"/>
      <c r="R60" s="3"/>
      <c r="S60" s="3"/>
      <c r="T60" s="3"/>
      <c r="U60" s="3"/>
      <c r="V60" s="3"/>
      <c r="W60" s="3"/>
      <c r="X60" s="3"/>
      <c r="Y60" s="3"/>
      <c r="Z60" s="3"/>
    </row>
    <row r="61" spans="1:26" ht="15.75" customHeight="1" x14ac:dyDescent="0.25">
      <c r="A61" s="3"/>
      <c r="B61" s="1155" t="s">
        <v>962</v>
      </c>
      <c r="C61" s="565">
        <f t="shared" ref="C61:C63" si="6">J27</f>
        <v>36.164290899999997</v>
      </c>
      <c r="D61" s="110"/>
      <c r="E61" s="3"/>
      <c r="F61" s="3"/>
      <c r="G61" s="3"/>
      <c r="H61" s="3"/>
      <c r="I61" s="3"/>
      <c r="J61" s="3"/>
      <c r="K61" s="3"/>
      <c r="L61" s="3"/>
      <c r="M61" s="3"/>
      <c r="N61" s="3"/>
      <c r="O61" s="3"/>
      <c r="P61" s="3"/>
      <c r="Q61" s="3"/>
      <c r="R61" s="3"/>
      <c r="S61" s="3"/>
      <c r="T61" s="3"/>
      <c r="U61" s="3"/>
      <c r="V61" s="3"/>
      <c r="W61" s="3"/>
      <c r="X61" s="3"/>
      <c r="Y61" s="3"/>
      <c r="Z61" s="3"/>
    </row>
    <row r="62" spans="1:26" ht="15.75" customHeight="1" x14ac:dyDescent="0.25">
      <c r="A62" s="3"/>
      <c r="B62" s="1155" t="s">
        <v>966</v>
      </c>
      <c r="C62" s="565">
        <f t="shared" si="6"/>
        <v>72.328581799999995</v>
      </c>
      <c r="D62" s="3"/>
      <c r="E62" s="3"/>
      <c r="F62" s="3"/>
      <c r="G62" s="3"/>
      <c r="H62" s="3"/>
      <c r="I62" s="3"/>
      <c r="J62" s="3"/>
      <c r="K62" s="3"/>
      <c r="L62" s="3"/>
      <c r="M62" s="3"/>
      <c r="N62" s="3"/>
      <c r="O62" s="3"/>
      <c r="P62" s="3"/>
      <c r="Q62" s="3"/>
      <c r="R62" s="3"/>
      <c r="S62" s="3"/>
      <c r="T62" s="3"/>
      <c r="U62" s="3"/>
      <c r="V62" s="3"/>
      <c r="W62" s="3"/>
      <c r="X62" s="3"/>
      <c r="Y62" s="3"/>
      <c r="Z62" s="3"/>
    </row>
    <row r="63" spans="1:26" ht="15.75" customHeight="1" x14ac:dyDescent="0.25">
      <c r="A63" s="3"/>
      <c r="B63" s="1209" t="s">
        <v>969</v>
      </c>
      <c r="C63" s="1185">
        <f t="shared" si="6"/>
        <v>180.82145450000002</v>
      </c>
      <c r="D63" s="3"/>
      <c r="E63" s="3"/>
      <c r="F63" s="3"/>
      <c r="G63" s="3"/>
      <c r="H63" s="3"/>
      <c r="I63" s="3"/>
      <c r="J63" s="3"/>
      <c r="K63" s="3"/>
      <c r="L63" s="3"/>
      <c r="M63" s="3"/>
      <c r="N63" s="3"/>
      <c r="O63" s="3"/>
      <c r="P63" s="3"/>
      <c r="Q63" s="3"/>
      <c r="R63" s="3"/>
      <c r="S63" s="3"/>
      <c r="T63" s="3"/>
      <c r="U63" s="3"/>
      <c r="V63" s="3"/>
      <c r="W63" s="3"/>
      <c r="X63" s="3"/>
      <c r="Y63" s="3"/>
      <c r="Z63" s="3"/>
    </row>
    <row r="64" spans="1:26" ht="15.75" customHeight="1" x14ac:dyDescent="0.25">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x14ac:dyDescent="0.25">
      <c r="A65" s="3"/>
      <c r="B65" s="3"/>
      <c r="C65" s="3"/>
      <c r="D65" s="3" t="s">
        <v>1032</v>
      </c>
      <c r="E65" s="3"/>
      <c r="F65" s="3"/>
      <c r="G65" s="3"/>
      <c r="H65" s="3"/>
      <c r="I65" s="3"/>
      <c r="J65" s="3"/>
      <c r="K65" s="3"/>
      <c r="L65" s="3"/>
      <c r="M65" s="3"/>
      <c r="N65" s="3"/>
      <c r="O65" s="3"/>
      <c r="P65" s="3"/>
      <c r="Q65" s="3"/>
      <c r="R65" s="3"/>
      <c r="S65" s="3"/>
      <c r="T65" s="3"/>
      <c r="U65" s="3"/>
      <c r="V65" s="3"/>
      <c r="W65" s="3"/>
      <c r="X65" s="3"/>
      <c r="Y65" s="3"/>
      <c r="Z65" s="3"/>
    </row>
    <row r="66" spans="1:26" ht="15.75" customHeight="1" x14ac:dyDescent="0.25">
      <c r="A66" s="3"/>
      <c r="B66" s="3"/>
      <c r="C66" s="3"/>
      <c r="D66" s="3" t="s">
        <v>1033</v>
      </c>
      <c r="E66" s="3"/>
      <c r="F66" s="3"/>
      <c r="G66" s="3"/>
      <c r="H66" s="3"/>
      <c r="I66" s="3"/>
      <c r="J66" s="3"/>
      <c r="K66" s="3"/>
      <c r="L66" s="3"/>
      <c r="M66" s="3"/>
      <c r="N66" s="3"/>
      <c r="O66" s="3"/>
      <c r="P66" s="3"/>
      <c r="Q66" s="3"/>
      <c r="R66" s="3"/>
      <c r="S66" s="3"/>
      <c r="T66" s="3"/>
      <c r="U66" s="3"/>
      <c r="V66" s="3"/>
      <c r="W66" s="3"/>
      <c r="X66" s="3"/>
      <c r="Y66" s="3"/>
      <c r="Z66" s="3"/>
    </row>
    <row r="67" spans="1:26" ht="15.75" customHeight="1" x14ac:dyDescent="0.25">
      <c r="A67" s="3"/>
      <c r="B67" s="3"/>
      <c r="C67" s="3"/>
      <c r="D67" s="1013" t="s">
        <v>1035</v>
      </c>
      <c r="E67" s="3"/>
      <c r="F67" s="3"/>
      <c r="G67" s="3"/>
      <c r="H67" s="3"/>
      <c r="I67" s="3"/>
      <c r="J67" s="3"/>
      <c r="K67" s="3"/>
      <c r="L67" s="3"/>
      <c r="M67" s="3"/>
      <c r="N67" s="3"/>
      <c r="O67" s="3"/>
      <c r="P67" s="3"/>
      <c r="Q67" s="3"/>
      <c r="R67" s="3"/>
      <c r="S67" s="3"/>
      <c r="T67" s="3"/>
      <c r="U67" s="3"/>
      <c r="V67" s="3"/>
      <c r="W67" s="3"/>
      <c r="X67" s="3"/>
      <c r="Y67" s="3"/>
      <c r="Z67" s="3"/>
    </row>
    <row r="68" spans="1:26" ht="15.75" customHeight="1" x14ac:dyDescent="0.25">
      <c r="A68" s="3"/>
      <c r="B68" s="3"/>
      <c r="C68" s="3"/>
      <c r="D68" s="3" t="s">
        <v>1036</v>
      </c>
      <c r="E68" s="3"/>
      <c r="F68" s="3"/>
      <c r="G68" s="3"/>
      <c r="H68" s="3"/>
      <c r="I68" s="3"/>
      <c r="J68" s="3"/>
      <c r="K68" s="3"/>
      <c r="L68" s="3"/>
      <c r="M68" s="3"/>
      <c r="N68" s="3"/>
      <c r="O68" s="3"/>
      <c r="P68" s="3"/>
      <c r="Q68" s="3"/>
      <c r="R68" s="3"/>
      <c r="S68" s="3"/>
      <c r="T68" s="3"/>
      <c r="U68" s="3"/>
      <c r="V68" s="3"/>
      <c r="W68" s="3"/>
      <c r="X68" s="3"/>
      <c r="Y68" s="3"/>
      <c r="Z68" s="3"/>
    </row>
    <row r="69" spans="1:26" ht="15.75" customHeight="1" x14ac:dyDescent="0.25">
      <c r="A69" s="3"/>
      <c r="B69" s="3"/>
      <c r="C69" s="3"/>
      <c r="D69" s="3" t="s">
        <v>1038</v>
      </c>
      <c r="E69" s="3"/>
      <c r="F69" s="3"/>
      <c r="G69" s="3"/>
      <c r="H69" s="3"/>
      <c r="I69" s="3"/>
      <c r="J69" s="3"/>
      <c r="K69" s="3"/>
      <c r="L69" s="3"/>
      <c r="M69" s="3"/>
      <c r="N69" s="3"/>
      <c r="O69" s="3"/>
      <c r="P69" s="3"/>
      <c r="Q69" s="3"/>
      <c r="R69" s="3"/>
      <c r="S69" s="3"/>
      <c r="T69" s="3"/>
      <c r="U69" s="3"/>
      <c r="V69" s="3"/>
      <c r="W69" s="3"/>
      <c r="X69" s="3"/>
      <c r="Y69" s="3"/>
      <c r="Z69" s="3"/>
    </row>
    <row r="70" spans="1:26" ht="15.75" customHeight="1" x14ac:dyDescent="0.25">
      <c r="A70" s="3"/>
      <c r="B70" s="3"/>
      <c r="C70" s="3"/>
      <c r="D70" s="1013" t="s">
        <v>1039</v>
      </c>
      <c r="E70" s="3"/>
      <c r="F70" s="3"/>
      <c r="G70" s="3"/>
      <c r="H70" s="3"/>
      <c r="I70" s="3"/>
      <c r="J70" s="3"/>
      <c r="K70" s="3"/>
      <c r="L70" s="3"/>
      <c r="M70" s="3"/>
      <c r="N70" s="3"/>
      <c r="O70" s="3"/>
      <c r="P70" s="3"/>
      <c r="Q70" s="3"/>
      <c r="R70" s="3"/>
      <c r="S70" s="3"/>
      <c r="T70" s="3"/>
      <c r="U70" s="3"/>
      <c r="V70" s="3"/>
      <c r="W70" s="3"/>
      <c r="X70" s="3"/>
      <c r="Y70" s="3"/>
      <c r="Z70" s="3"/>
    </row>
    <row r="71" spans="1:26" ht="15.75" customHeight="1" x14ac:dyDescent="0.25">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x14ac:dyDescent="0.25">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x14ac:dyDescent="0.25">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x14ac:dyDescent="0.2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25">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2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x14ac:dyDescent="0.25">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x14ac:dyDescent="0.2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2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2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2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2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2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2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2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2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2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2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2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2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2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2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2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2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2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2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2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2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2"/>
    <row r="272" spans="1:26"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Q12:R12"/>
  </mergeCells>
  <hyperlinks>
    <hyperlink ref="D67" r:id="rId1" xr:uid="{00000000-0004-0000-0B00-000000000000}"/>
    <hyperlink ref="D70" r:id="rId2" xr:uid="{00000000-0004-0000-0B00-000001000000}"/>
  </hyperlinks>
  <pageMargins left="0.7" right="0.7" top="0.75" bottom="0.75" header="0" footer="0"/>
  <pageSetup orientation="landscape"/>
  <drawing r:id="rId3"/>
  <legacyDrawing r:id="rId4"/>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Z1000"/>
  <sheetViews>
    <sheetView workbookViewId="0"/>
  </sheetViews>
  <sheetFormatPr defaultColWidth="16.83203125" defaultRowHeight="15" customHeight="1" x14ac:dyDescent="0.2"/>
  <cols>
    <col min="1" max="1" width="8.1640625" customWidth="1"/>
    <col min="2" max="2" width="9.6640625" customWidth="1"/>
    <col min="3" max="3" width="59.1640625" customWidth="1"/>
    <col min="4" max="4" width="18.6640625" customWidth="1"/>
    <col min="5" max="5" width="12.33203125" customWidth="1"/>
    <col min="6" max="6" width="17.83203125" customWidth="1"/>
    <col min="7" max="7" width="18.5" customWidth="1"/>
    <col min="8" max="8" width="16.5" customWidth="1"/>
    <col min="9" max="9" width="19" customWidth="1"/>
    <col min="10" max="26" width="8" customWidth="1"/>
  </cols>
  <sheetData>
    <row r="1" spans="1:26" x14ac:dyDescent="0.25">
      <c r="A1" s="3" t="s">
        <v>1075</v>
      </c>
      <c r="B1" s="16"/>
      <c r="C1" s="3"/>
      <c r="D1" s="22"/>
      <c r="E1" s="3"/>
      <c r="F1" s="3"/>
      <c r="G1" s="3"/>
      <c r="H1" s="3"/>
      <c r="I1" s="3"/>
      <c r="J1" s="3"/>
      <c r="K1" s="3"/>
      <c r="L1" s="3"/>
      <c r="M1" s="3"/>
      <c r="N1" s="3"/>
      <c r="O1" s="3"/>
      <c r="P1" s="3"/>
      <c r="Q1" s="3"/>
      <c r="R1" s="3"/>
      <c r="S1" s="3"/>
      <c r="T1" s="3"/>
      <c r="U1" s="3"/>
      <c r="V1" s="3"/>
      <c r="W1" s="3"/>
      <c r="X1" s="3"/>
      <c r="Y1" s="3"/>
      <c r="Z1" s="3"/>
    </row>
    <row r="2" spans="1:26" ht="80.25" customHeight="1" x14ac:dyDescent="0.25">
      <c r="A2" s="3"/>
      <c r="B2" s="3"/>
      <c r="C2" s="3"/>
      <c r="D2" s="3"/>
      <c r="E2" s="3"/>
      <c r="F2" s="3"/>
      <c r="G2" s="3"/>
      <c r="H2" s="3"/>
      <c r="I2" s="3"/>
      <c r="J2" s="3"/>
      <c r="K2" s="3"/>
      <c r="L2" s="3"/>
      <c r="M2" s="3"/>
      <c r="N2" s="3"/>
      <c r="O2" s="3"/>
      <c r="P2" s="3"/>
      <c r="Q2" s="3"/>
      <c r="R2" s="3"/>
      <c r="S2" s="3"/>
      <c r="T2" s="3"/>
      <c r="U2" s="3"/>
      <c r="V2" s="3"/>
      <c r="W2" s="3"/>
      <c r="X2" s="3"/>
      <c r="Y2" s="3"/>
      <c r="Z2" s="3"/>
    </row>
    <row r="3" spans="1:26" x14ac:dyDescent="0.25">
      <c r="A3" s="3"/>
      <c r="B3" s="3"/>
      <c r="C3" s="3"/>
      <c r="D3" s="3" t="s">
        <v>1076</v>
      </c>
      <c r="E3" s="3"/>
      <c r="F3" s="3"/>
      <c r="G3" s="3"/>
      <c r="H3" s="3"/>
      <c r="I3" s="3"/>
      <c r="J3" s="3"/>
      <c r="K3" s="3"/>
      <c r="L3" s="3"/>
      <c r="M3" s="3"/>
      <c r="N3" s="3"/>
      <c r="O3" s="3"/>
      <c r="P3" s="3"/>
      <c r="Q3" s="3"/>
      <c r="R3" s="3"/>
      <c r="S3" s="3"/>
      <c r="T3" s="3"/>
      <c r="U3" s="3"/>
      <c r="V3" s="3"/>
      <c r="W3" s="3"/>
      <c r="X3" s="3"/>
      <c r="Y3" s="3"/>
      <c r="Z3" s="3"/>
    </row>
    <row r="4" spans="1:26" ht="7.5" customHeight="1" x14ac:dyDescent="0.25">
      <c r="A4" s="3"/>
      <c r="B4" s="3"/>
      <c r="C4" s="3"/>
      <c r="D4" s="3"/>
      <c r="E4" s="3"/>
      <c r="F4" s="3"/>
      <c r="G4" s="3"/>
      <c r="H4" s="3"/>
      <c r="I4" s="3"/>
      <c r="J4" s="3"/>
      <c r="K4" s="3"/>
      <c r="L4" s="3"/>
      <c r="M4" s="3"/>
      <c r="N4" s="3"/>
      <c r="O4" s="3"/>
      <c r="P4" s="3"/>
      <c r="Q4" s="3"/>
      <c r="R4" s="3"/>
      <c r="S4" s="3"/>
      <c r="T4" s="3"/>
      <c r="U4" s="3"/>
      <c r="V4" s="3"/>
      <c r="W4" s="3"/>
      <c r="X4" s="3"/>
      <c r="Y4" s="3"/>
      <c r="Z4" s="3"/>
    </row>
    <row r="5" spans="1:26" ht="7.5" customHeight="1" x14ac:dyDescent="0.25">
      <c r="A5" s="3"/>
      <c r="B5" s="3"/>
      <c r="C5" s="3"/>
      <c r="D5" s="3"/>
      <c r="E5" s="3"/>
      <c r="F5" s="3"/>
      <c r="G5" s="3"/>
      <c r="H5" s="3"/>
      <c r="I5" s="3"/>
      <c r="J5" s="3"/>
      <c r="K5" s="3"/>
      <c r="L5" s="3"/>
      <c r="M5" s="3"/>
      <c r="N5" s="3"/>
      <c r="O5" s="3"/>
      <c r="P5" s="3"/>
      <c r="Q5" s="3"/>
      <c r="R5" s="3"/>
      <c r="S5" s="3"/>
      <c r="T5" s="3"/>
      <c r="U5" s="3"/>
      <c r="V5" s="3"/>
      <c r="W5" s="3"/>
      <c r="X5" s="3"/>
      <c r="Y5" s="3"/>
      <c r="Z5" s="3"/>
    </row>
    <row r="6" spans="1:26" x14ac:dyDescent="0.25">
      <c r="A6" s="3"/>
      <c r="B6" s="3"/>
      <c r="C6" s="797"/>
      <c r="D6" s="1273"/>
      <c r="E6" s="1273"/>
      <c r="F6" s="1273" t="s">
        <v>1077</v>
      </c>
      <c r="G6" s="1273"/>
      <c r="H6" s="1273"/>
      <c r="I6" s="1274"/>
      <c r="J6" s="3"/>
      <c r="K6" s="3"/>
      <c r="L6" s="3"/>
      <c r="M6" s="3"/>
      <c r="N6" s="3"/>
      <c r="O6" s="3"/>
      <c r="P6" s="3"/>
      <c r="Q6" s="3"/>
      <c r="R6" s="3"/>
      <c r="S6" s="3"/>
      <c r="T6" s="3"/>
      <c r="U6" s="3"/>
      <c r="V6" s="3"/>
      <c r="W6" s="3"/>
      <c r="X6" s="3"/>
      <c r="Y6" s="3"/>
      <c r="Z6" s="3"/>
    </row>
    <row r="7" spans="1:26" ht="37.5" customHeight="1" x14ac:dyDescent="0.25">
      <c r="A7" s="3"/>
      <c r="B7" s="3"/>
      <c r="C7" s="999"/>
      <c r="D7" s="1275" t="s">
        <v>685</v>
      </c>
      <c r="E7" s="1275" t="s">
        <v>21</v>
      </c>
      <c r="F7" s="1275"/>
      <c r="G7" s="1275" t="s">
        <v>1078</v>
      </c>
      <c r="H7" s="1275" t="s">
        <v>1079</v>
      </c>
      <c r="I7" s="1276" t="s">
        <v>1080</v>
      </c>
      <c r="J7" s="3"/>
      <c r="K7" s="3"/>
      <c r="L7" s="3"/>
      <c r="M7" s="3"/>
      <c r="N7" s="3"/>
      <c r="O7" s="3"/>
      <c r="P7" s="3"/>
      <c r="Q7" s="3"/>
      <c r="R7" s="3"/>
      <c r="S7" s="3"/>
      <c r="T7" s="3"/>
      <c r="U7" s="3"/>
      <c r="V7" s="3"/>
      <c r="W7" s="3"/>
      <c r="X7" s="3"/>
      <c r="Y7" s="3"/>
      <c r="Z7" s="3"/>
    </row>
    <row r="8" spans="1:26" x14ac:dyDescent="0.25">
      <c r="A8" s="3"/>
      <c r="B8" s="60" t="s">
        <v>1081</v>
      </c>
      <c r="C8" s="1277" t="s">
        <v>1082</v>
      </c>
      <c r="D8" s="1278"/>
      <c r="E8" s="1278"/>
      <c r="F8" s="1278"/>
      <c r="G8" s="1278"/>
      <c r="H8" s="1278"/>
      <c r="I8" s="1279"/>
      <c r="J8" s="3"/>
      <c r="K8" s="3"/>
      <c r="L8" s="3"/>
      <c r="M8" s="3"/>
      <c r="N8" s="3"/>
      <c r="O8" s="3"/>
      <c r="P8" s="3"/>
      <c r="Q8" s="3"/>
      <c r="R8" s="3"/>
      <c r="S8" s="3"/>
      <c r="T8" s="3"/>
      <c r="U8" s="3"/>
      <c r="V8" s="3"/>
      <c r="W8" s="3"/>
      <c r="X8" s="3"/>
      <c r="Y8" s="3"/>
      <c r="Z8" s="3"/>
    </row>
    <row r="9" spans="1:26" ht="30" customHeight="1" x14ac:dyDescent="0.25">
      <c r="A9" s="3"/>
      <c r="B9" s="3"/>
      <c r="C9" s="1280" t="s">
        <v>1083</v>
      </c>
      <c r="D9" s="1281">
        <v>247834</v>
      </c>
      <c r="E9" s="1282" t="s">
        <v>1084</v>
      </c>
      <c r="F9" s="1283"/>
      <c r="G9" s="1281">
        <v>417125.79074384988</v>
      </c>
      <c r="H9" s="1284">
        <v>47.554269301299257</v>
      </c>
      <c r="I9" s="1285">
        <v>6.9169846256435292</v>
      </c>
      <c r="J9" s="3"/>
      <c r="K9" s="3"/>
      <c r="L9" s="3"/>
      <c r="M9" s="3"/>
      <c r="N9" s="3"/>
      <c r="O9" s="3"/>
      <c r="P9" s="3"/>
      <c r="Q9" s="3"/>
      <c r="R9" s="3"/>
      <c r="S9" s="3"/>
      <c r="T9" s="3"/>
      <c r="U9" s="3"/>
      <c r="V9" s="3"/>
      <c r="W9" s="3"/>
      <c r="X9" s="3"/>
      <c r="Y9" s="3"/>
      <c r="Z9" s="3"/>
    </row>
    <row r="10" spans="1:26" x14ac:dyDescent="0.25">
      <c r="A10" s="3"/>
      <c r="B10" s="3"/>
      <c r="C10" s="1280"/>
      <c r="D10" s="1281"/>
      <c r="E10" s="1281"/>
      <c r="F10" s="1284"/>
      <c r="G10" s="1281"/>
      <c r="H10" s="1283"/>
      <c r="I10" s="1286"/>
      <c r="J10" s="3"/>
      <c r="K10" s="3"/>
      <c r="L10" s="3"/>
      <c r="M10" s="3"/>
      <c r="N10" s="3"/>
      <c r="O10" s="3"/>
      <c r="P10" s="3"/>
      <c r="Q10" s="3"/>
      <c r="R10" s="3"/>
      <c r="S10" s="3"/>
      <c r="T10" s="3"/>
      <c r="U10" s="3"/>
      <c r="V10" s="3"/>
      <c r="W10" s="3"/>
      <c r="X10" s="3"/>
      <c r="Y10" s="3"/>
      <c r="Z10" s="3"/>
    </row>
    <row r="11" spans="1:26" ht="30" customHeight="1" x14ac:dyDescent="0.25">
      <c r="A11" s="3"/>
      <c r="B11" s="3"/>
      <c r="C11" s="1287" t="s">
        <v>1085</v>
      </c>
      <c r="D11" s="1281">
        <v>17516</v>
      </c>
      <c r="E11" s="1282" t="s">
        <v>1084</v>
      </c>
      <c r="F11" s="1288">
        <v>6.5000000000000002E-2</v>
      </c>
      <c r="G11" s="1289">
        <f>G19*F11</f>
        <v>76644.36</v>
      </c>
      <c r="H11" s="1290">
        <v>0.68406440806094526</v>
      </c>
      <c r="I11" s="1291">
        <v>0.8978345355799906</v>
      </c>
      <c r="J11" s="3"/>
      <c r="K11" s="3"/>
      <c r="L11" s="3"/>
      <c r="M11" s="3"/>
      <c r="N11" s="3"/>
      <c r="O11" s="3"/>
      <c r="P11" s="3"/>
      <c r="Q11" s="3"/>
      <c r="R11" s="3"/>
      <c r="S11" s="3"/>
      <c r="T11" s="3"/>
      <c r="U11" s="3"/>
      <c r="V11" s="3"/>
      <c r="W11" s="3"/>
      <c r="X11" s="3"/>
      <c r="Y11" s="3"/>
      <c r="Z11" s="3"/>
    </row>
    <row r="12" spans="1:26" x14ac:dyDescent="0.25">
      <c r="A12" s="3"/>
      <c r="B12" s="3"/>
      <c r="C12" s="1280"/>
      <c r="D12" s="1281"/>
      <c r="E12" s="1281"/>
      <c r="F12" s="1284"/>
      <c r="G12" s="1281"/>
      <c r="H12" s="1283"/>
      <c r="I12" s="1286"/>
      <c r="J12" s="3"/>
      <c r="K12" s="3"/>
      <c r="L12" s="3"/>
      <c r="M12" s="3"/>
      <c r="N12" s="3"/>
      <c r="O12" s="3"/>
      <c r="P12" s="3"/>
      <c r="Q12" s="3"/>
      <c r="R12" s="3"/>
      <c r="S12" s="3"/>
      <c r="T12" s="3"/>
      <c r="U12" s="3"/>
      <c r="V12" s="3"/>
      <c r="W12" s="3"/>
      <c r="X12" s="3"/>
      <c r="Y12" s="3"/>
      <c r="Z12" s="3"/>
    </row>
    <row r="13" spans="1:26" x14ac:dyDescent="0.25">
      <c r="A13" s="3"/>
      <c r="B13" s="3"/>
      <c r="C13" s="1280" t="s">
        <v>1086</v>
      </c>
      <c r="D13" s="1281">
        <v>518485.06</v>
      </c>
      <c r="E13" s="1281" t="s">
        <v>1087</v>
      </c>
      <c r="F13" s="1283"/>
      <c r="G13" s="1281">
        <v>4778.3350808639998</v>
      </c>
      <c r="H13" s="1292">
        <v>0.21465281484000007</v>
      </c>
      <c r="I13" s="1285">
        <v>4.2930562967999998E-2</v>
      </c>
      <c r="J13" s="3"/>
      <c r="K13" s="3"/>
      <c r="L13" s="3"/>
      <c r="M13" s="3"/>
      <c r="N13" s="3"/>
      <c r="O13" s="3"/>
      <c r="P13" s="3"/>
      <c r="Q13" s="3"/>
      <c r="R13" s="3"/>
      <c r="S13" s="3"/>
      <c r="T13" s="3"/>
      <c r="U13" s="3"/>
      <c r="V13" s="3"/>
      <c r="W13" s="3"/>
      <c r="X13" s="3"/>
      <c r="Y13" s="3"/>
      <c r="Z13" s="3"/>
    </row>
    <row r="14" spans="1:26" x14ac:dyDescent="0.25">
      <c r="A14" s="3"/>
      <c r="B14" s="3"/>
      <c r="C14" s="1280"/>
      <c r="D14" s="1281"/>
      <c r="E14" s="1281"/>
      <c r="F14" s="1283"/>
      <c r="G14" s="1293"/>
      <c r="H14" s="1293"/>
      <c r="I14" s="1294"/>
      <c r="J14" s="3"/>
      <c r="K14" s="3"/>
      <c r="L14" s="3"/>
      <c r="M14" s="3"/>
      <c r="N14" s="3"/>
      <c r="O14" s="3"/>
      <c r="P14" s="3"/>
      <c r="Q14" s="3"/>
      <c r="R14" s="3"/>
      <c r="S14" s="3"/>
      <c r="T14" s="3"/>
      <c r="U14" s="3"/>
      <c r="V14" s="3"/>
      <c r="W14" s="3"/>
      <c r="X14" s="3"/>
      <c r="Y14" s="3"/>
      <c r="Z14" s="3"/>
    </row>
    <row r="15" spans="1:26" ht="30" customHeight="1" x14ac:dyDescent="0.25">
      <c r="A15" s="3"/>
      <c r="B15" s="3"/>
      <c r="C15" s="1280" t="s">
        <v>1088</v>
      </c>
      <c r="D15" s="1281">
        <v>208096</v>
      </c>
      <c r="E15" s="1281" t="s">
        <v>1089</v>
      </c>
      <c r="F15" s="1283"/>
      <c r="G15" s="624">
        <v>33967.650235176814</v>
      </c>
      <c r="H15" s="1284">
        <v>3.8376439719045288</v>
      </c>
      <c r="I15" s="1285">
        <v>0.55820275954974974</v>
      </c>
      <c r="J15" s="3"/>
      <c r="K15" s="3"/>
      <c r="L15" s="3"/>
      <c r="M15" s="3"/>
      <c r="N15" s="3"/>
      <c r="O15" s="3"/>
      <c r="P15" s="3"/>
      <c r="Q15" s="3"/>
      <c r="R15" s="3"/>
      <c r="S15" s="3"/>
      <c r="T15" s="3"/>
      <c r="U15" s="3"/>
      <c r="V15" s="3"/>
      <c r="W15" s="3"/>
      <c r="X15" s="3"/>
      <c r="Y15" s="3"/>
      <c r="Z15" s="3"/>
    </row>
    <row r="16" spans="1:26" x14ac:dyDescent="0.25">
      <c r="A16" s="3"/>
      <c r="B16" s="3"/>
      <c r="C16" s="1295"/>
      <c r="D16" s="1296"/>
      <c r="E16" s="1296"/>
      <c r="F16" s="1297"/>
      <c r="G16" s="811"/>
      <c r="H16" s="1298"/>
      <c r="I16" s="1299"/>
      <c r="J16" s="3"/>
      <c r="K16" s="3"/>
      <c r="L16" s="3"/>
      <c r="M16" s="3"/>
      <c r="N16" s="3"/>
      <c r="O16" s="3"/>
      <c r="P16" s="3"/>
      <c r="Q16" s="3"/>
      <c r="R16" s="3"/>
      <c r="S16" s="3"/>
      <c r="T16" s="3"/>
      <c r="U16" s="3"/>
      <c r="V16" s="3"/>
      <c r="W16" s="3"/>
      <c r="X16" s="3"/>
      <c r="Y16" s="3"/>
      <c r="Z16" s="3"/>
    </row>
    <row r="17" spans="1:26" x14ac:dyDescent="0.25">
      <c r="A17" s="3"/>
      <c r="B17" s="3"/>
      <c r="C17" s="1300" t="s">
        <v>1090</v>
      </c>
      <c r="D17" s="1301"/>
      <c r="E17" s="1301"/>
      <c r="F17" s="1302"/>
      <c r="G17" s="1303">
        <f t="shared" ref="G17:I17" si="0">G9+G11+G13+G15</f>
        <v>532516.13605989073</v>
      </c>
      <c r="H17" s="1304">
        <f t="shared" si="0"/>
        <v>52.290630496104733</v>
      </c>
      <c r="I17" s="1305">
        <f t="shared" si="0"/>
        <v>8.41595248374127</v>
      </c>
      <c r="J17" s="3"/>
      <c r="K17" s="3"/>
      <c r="L17" s="3"/>
      <c r="M17" s="3"/>
      <c r="N17" s="3"/>
      <c r="O17" s="3"/>
      <c r="P17" s="3"/>
      <c r="Q17" s="3"/>
      <c r="R17" s="3"/>
      <c r="S17" s="3"/>
      <c r="T17" s="3"/>
      <c r="U17" s="3"/>
      <c r="V17" s="3"/>
      <c r="W17" s="3"/>
      <c r="X17" s="3"/>
      <c r="Y17" s="3"/>
      <c r="Z17" s="3"/>
    </row>
    <row r="18" spans="1:26" x14ac:dyDescent="0.25">
      <c r="A18" s="3"/>
      <c r="B18" s="3"/>
      <c r="C18" s="1306"/>
      <c r="D18" s="1307"/>
      <c r="E18" s="1307"/>
      <c r="F18" s="1308"/>
      <c r="G18" s="75"/>
      <c r="H18" s="1309"/>
      <c r="I18" s="1310"/>
      <c r="J18" s="3"/>
      <c r="K18" s="3"/>
      <c r="L18" s="3"/>
      <c r="M18" s="3"/>
      <c r="N18" s="3"/>
      <c r="O18" s="3"/>
      <c r="P18" s="3"/>
      <c r="Q18" s="3"/>
      <c r="R18" s="3"/>
      <c r="S18" s="3"/>
      <c r="T18" s="3"/>
      <c r="U18" s="3"/>
      <c r="V18" s="3"/>
      <c r="W18" s="3"/>
      <c r="X18" s="3"/>
      <c r="Y18" s="3"/>
      <c r="Z18" s="3"/>
    </row>
    <row r="19" spans="1:26" x14ac:dyDescent="0.25">
      <c r="A19" s="3"/>
      <c r="B19" s="3"/>
      <c r="C19" s="1311" t="s">
        <v>1091</v>
      </c>
      <c r="D19" s="1312"/>
      <c r="E19" s="1312"/>
      <c r="F19" s="1313"/>
      <c r="G19" s="1314">
        <v>1179144</v>
      </c>
      <c r="H19" s="1315">
        <f t="shared" ref="H19:I19" si="1">H17</f>
        <v>52.290630496104733</v>
      </c>
      <c r="I19" s="1316">
        <f t="shared" si="1"/>
        <v>8.41595248374127</v>
      </c>
      <c r="J19" s="3"/>
      <c r="K19" s="3"/>
      <c r="L19" s="3"/>
      <c r="M19" s="3"/>
      <c r="N19" s="3"/>
      <c r="O19" s="3"/>
      <c r="P19" s="3"/>
      <c r="Q19" s="3"/>
      <c r="R19" s="3"/>
      <c r="S19" s="3"/>
      <c r="T19" s="3"/>
      <c r="U19" s="3"/>
      <c r="V19" s="3"/>
      <c r="W19" s="3"/>
      <c r="X19" s="3"/>
      <c r="Y19" s="3"/>
      <c r="Z19" s="3"/>
    </row>
    <row r="20" spans="1:26" x14ac:dyDescent="0.25">
      <c r="A20" s="3"/>
      <c r="B20" s="3"/>
      <c r="C20" s="1306"/>
      <c r="D20" s="1307"/>
      <c r="E20" s="1307"/>
      <c r="F20" s="1308"/>
      <c r="G20" s="1317"/>
      <c r="H20" s="1317"/>
      <c r="I20" s="1318"/>
      <c r="J20" s="3"/>
      <c r="K20" s="3"/>
      <c r="L20" s="3"/>
      <c r="M20" s="3"/>
      <c r="N20" s="3"/>
      <c r="O20" s="3"/>
      <c r="P20" s="3"/>
      <c r="Q20" s="3"/>
      <c r="R20" s="3"/>
      <c r="S20" s="3"/>
      <c r="T20" s="3"/>
      <c r="U20" s="3"/>
      <c r="V20" s="3"/>
      <c r="W20" s="3"/>
      <c r="X20" s="3"/>
      <c r="Y20" s="3"/>
      <c r="Z20" s="3"/>
    </row>
    <row r="21" spans="1:26" ht="15.75" customHeight="1" x14ac:dyDescent="0.25">
      <c r="A21" s="3"/>
      <c r="B21" s="3"/>
      <c r="C21" s="1319" t="s">
        <v>1092</v>
      </c>
      <c r="D21" s="1320"/>
      <c r="E21" s="1320"/>
      <c r="F21" s="1321"/>
      <c r="G21" s="1320">
        <f>G19-G17</f>
        <v>646627.86394010927</v>
      </c>
      <c r="H21" s="1322"/>
      <c r="I21" s="1323"/>
      <c r="J21" s="3"/>
      <c r="K21" s="3"/>
      <c r="L21" s="3"/>
      <c r="M21" s="3"/>
      <c r="N21" s="3"/>
      <c r="O21" s="3"/>
      <c r="P21" s="3"/>
      <c r="Q21" s="3"/>
      <c r="R21" s="3"/>
      <c r="S21" s="3"/>
      <c r="T21" s="3"/>
      <c r="U21" s="3"/>
      <c r="V21" s="3"/>
      <c r="W21" s="3"/>
      <c r="X21" s="3"/>
      <c r="Y21" s="3"/>
      <c r="Z21" s="3"/>
    </row>
    <row r="22" spans="1:26" ht="15.75" customHeight="1" x14ac:dyDescent="0.25">
      <c r="A22" s="3"/>
      <c r="B22" s="3"/>
      <c r="C22" s="1324"/>
      <c r="D22" s="1325"/>
      <c r="E22" s="1325"/>
      <c r="F22" s="1326"/>
      <c r="G22" s="1325"/>
      <c r="H22" s="1327"/>
      <c r="I22" s="1328"/>
      <c r="J22" s="3"/>
      <c r="K22" s="3"/>
      <c r="L22" s="3"/>
      <c r="M22" s="3"/>
      <c r="N22" s="3"/>
      <c r="O22" s="3"/>
      <c r="P22" s="3"/>
      <c r="Q22" s="3"/>
      <c r="R22" s="3"/>
      <c r="S22" s="3"/>
      <c r="T22" s="3"/>
      <c r="U22" s="3"/>
      <c r="V22" s="3"/>
      <c r="W22" s="3"/>
      <c r="X22" s="3"/>
      <c r="Y22" s="3"/>
      <c r="Z22" s="3"/>
    </row>
    <row r="23" spans="1:26" ht="15.75" customHeight="1" x14ac:dyDescent="0.25">
      <c r="A23" s="3"/>
      <c r="B23" s="3"/>
      <c r="C23" s="1329" t="s">
        <v>1093</v>
      </c>
      <c r="D23" s="1330"/>
      <c r="E23" s="1330"/>
      <c r="F23" s="1331"/>
      <c r="G23" s="1330"/>
      <c r="H23" s="1332"/>
      <c r="I23" s="1333"/>
      <c r="J23" s="3"/>
      <c r="K23" s="3"/>
      <c r="L23" s="3"/>
      <c r="M23" s="3"/>
      <c r="N23" s="3"/>
      <c r="O23" s="3"/>
      <c r="P23" s="3"/>
      <c r="Q23" s="3"/>
      <c r="R23" s="3"/>
      <c r="S23" s="3"/>
      <c r="T23" s="3"/>
      <c r="U23" s="3"/>
      <c r="V23" s="3"/>
      <c r="W23" s="3"/>
      <c r="X23" s="3"/>
      <c r="Y23" s="3"/>
      <c r="Z23" s="3"/>
    </row>
    <row r="24" spans="1:26" ht="15.75" customHeight="1" x14ac:dyDescent="0.25">
      <c r="A24" s="3"/>
      <c r="B24" s="3"/>
      <c r="C24" s="1334" t="s">
        <v>1094</v>
      </c>
      <c r="D24" s="1335">
        <v>54695.38</v>
      </c>
      <c r="E24" s="1335" t="s">
        <v>66</v>
      </c>
      <c r="F24" s="1336"/>
      <c r="G24" s="1337">
        <v>558.24730206239997</v>
      </c>
      <c r="H24" s="1338">
        <v>2.264388732E-2</v>
      </c>
      <c r="I24" s="1339">
        <v>4.5287774640000002E-3</v>
      </c>
      <c r="J24" s="3"/>
      <c r="K24" s="3"/>
      <c r="L24" s="3"/>
      <c r="M24" s="3"/>
      <c r="N24" s="3"/>
      <c r="O24" s="3"/>
      <c r="P24" s="3"/>
      <c r="Q24" s="3"/>
      <c r="R24" s="3"/>
      <c r="S24" s="3"/>
      <c r="T24" s="3"/>
      <c r="U24" s="3"/>
      <c r="V24" s="3"/>
      <c r="W24" s="3"/>
      <c r="X24" s="3"/>
      <c r="Y24" s="3"/>
      <c r="Z24" s="3"/>
    </row>
    <row r="25" spans="1:26" ht="15.75" customHeight="1" x14ac:dyDescent="0.25">
      <c r="A25" s="3"/>
      <c r="B25" s="3"/>
      <c r="C25" s="1340"/>
      <c r="D25" s="1307"/>
      <c r="E25" s="1307"/>
      <c r="F25" s="1341"/>
      <c r="G25" s="1317"/>
      <c r="H25" s="1317"/>
      <c r="I25" s="1318"/>
      <c r="J25" s="3"/>
      <c r="K25" s="3"/>
      <c r="L25" s="3"/>
      <c r="M25" s="3"/>
      <c r="N25" s="3"/>
      <c r="O25" s="3"/>
      <c r="P25" s="3"/>
      <c r="Q25" s="3"/>
      <c r="R25" s="3"/>
      <c r="S25" s="3"/>
      <c r="T25" s="3"/>
      <c r="U25" s="3"/>
      <c r="V25" s="3"/>
      <c r="W25" s="3"/>
      <c r="X25" s="3"/>
      <c r="Y25" s="3"/>
      <c r="Z25" s="3"/>
    </row>
    <row r="26" spans="1:26" ht="15.75" customHeight="1" x14ac:dyDescent="0.25">
      <c r="A26" s="3"/>
      <c r="B26" s="3"/>
      <c r="C26" s="1342" t="s">
        <v>1095</v>
      </c>
      <c r="D26" s="1343"/>
      <c r="E26" s="1343"/>
      <c r="F26" s="1344"/>
      <c r="G26" s="1345">
        <f>G19+G24</f>
        <v>1179702.2473020623</v>
      </c>
      <c r="H26" s="1345">
        <f t="shared" ref="H26:I26" si="2">H24+H19</f>
        <v>52.313274383424734</v>
      </c>
      <c r="I26" s="1346">
        <f t="shared" si="2"/>
        <v>8.4204812612052695</v>
      </c>
      <c r="J26" s="3"/>
      <c r="K26" s="3"/>
      <c r="L26" s="3"/>
      <c r="M26" s="3"/>
      <c r="N26" s="3"/>
      <c r="O26" s="3"/>
      <c r="P26" s="3"/>
      <c r="Q26" s="3"/>
      <c r="R26" s="3"/>
      <c r="S26" s="3"/>
      <c r="T26" s="3"/>
      <c r="U26" s="3"/>
      <c r="V26" s="3"/>
      <c r="W26" s="3"/>
      <c r="X26" s="3"/>
      <c r="Y26" s="3"/>
      <c r="Z26" s="3"/>
    </row>
    <row r="27" spans="1:26" ht="15.75" customHeight="1" x14ac:dyDescent="0.25">
      <c r="A27" s="3"/>
      <c r="B27" s="3"/>
      <c r="C27" s="1347"/>
      <c r="D27" s="1307"/>
      <c r="E27" s="1307"/>
      <c r="F27" s="1341"/>
      <c r="G27" s="1317"/>
      <c r="H27" s="1317"/>
      <c r="I27" s="1318"/>
      <c r="J27" s="3"/>
      <c r="K27" s="3"/>
      <c r="L27" s="3"/>
      <c r="M27" s="3"/>
      <c r="N27" s="3"/>
      <c r="O27" s="3"/>
      <c r="P27" s="3"/>
      <c r="Q27" s="3"/>
      <c r="R27" s="3"/>
      <c r="S27" s="3"/>
      <c r="T27" s="3"/>
      <c r="U27" s="3"/>
      <c r="V27" s="3"/>
      <c r="W27" s="3"/>
      <c r="X27" s="3"/>
      <c r="Y27" s="3"/>
      <c r="Z27" s="3"/>
    </row>
    <row r="28" spans="1:26" ht="45" customHeight="1" x14ac:dyDescent="0.25">
      <c r="A28" s="3"/>
      <c r="B28" s="3"/>
      <c r="C28" s="1348"/>
      <c r="D28" s="1349"/>
      <c r="E28" s="1350" t="s">
        <v>1096</v>
      </c>
      <c r="F28" s="1351"/>
      <c r="G28" s="1352"/>
      <c r="H28" s="1352"/>
      <c r="I28" s="1353"/>
      <c r="J28" s="3"/>
      <c r="K28" s="3"/>
      <c r="L28" s="3"/>
      <c r="M28" s="3"/>
      <c r="N28" s="3"/>
      <c r="O28" s="3"/>
      <c r="P28" s="3"/>
      <c r="Q28" s="3"/>
      <c r="R28" s="3"/>
      <c r="S28" s="3"/>
      <c r="T28" s="3"/>
      <c r="U28" s="3"/>
      <c r="V28" s="3"/>
      <c r="W28" s="3"/>
      <c r="X28" s="3"/>
      <c r="Y28" s="3"/>
      <c r="Z28" s="3"/>
    </row>
    <row r="29" spans="1:26" ht="15.75" customHeight="1" x14ac:dyDescent="0.25">
      <c r="A29" s="3"/>
      <c r="B29" s="3"/>
      <c r="C29" s="1347"/>
      <c r="D29" s="1307"/>
      <c r="E29" s="1307"/>
      <c r="F29" s="1341"/>
      <c r="G29" s="1317"/>
      <c r="H29" s="1317"/>
      <c r="I29" s="1318"/>
      <c r="J29" s="3"/>
      <c r="K29" s="3"/>
      <c r="L29" s="3"/>
      <c r="M29" s="3"/>
      <c r="N29" s="3"/>
      <c r="O29" s="3"/>
      <c r="P29" s="3"/>
      <c r="Q29" s="3"/>
      <c r="R29" s="3"/>
      <c r="S29" s="3"/>
      <c r="T29" s="3"/>
      <c r="U29" s="3"/>
      <c r="V29" s="3"/>
      <c r="W29" s="3"/>
      <c r="X29" s="3"/>
      <c r="Y29" s="3"/>
      <c r="Z29" s="3"/>
    </row>
    <row r="30" spans="1:26" ht="15.75" customHeight="1" x14ac:dyDescent="0.25">
      <c r="A30" s="3"/>
      <c r="B30" s="3"/>
      <c r="C30" s="1340"/>
      <c r="D30" s="1307"/>
      <c r="E30" s="1307"/>
      <c r="F30" s="1341"/>
      <c r="G30" s="1317"/>
      <c r="H30" s="1317"/>
      <c r="I30" s="1318"/>
      <c r="J30" s="3"/>
      <c r="K30" s="3"/>
      <c r="L30" s="3"/>
      <c r="M30" s="3"/>
      <c r="N30" s="3"/>
      <c r="O30" s="3"/>
      <c r="P30" s="3"/>
      <c r="Q30" s="3"/>
      <c r="R30" s="3"/>
      <c r="S30" s="3"/>
      <c r="T30" s="3"/>
      <c r="U30" s="3"/>
      <c r="V30" s="3"/>
      <c r="W30" s="3"/>
      <c r="X30" s="3"/>
      <c r="Y30" s="3"/>
      <c r="Z30" s="3"/>
    </row>
    <row r="31" spans="1:26" ht="15.75" customHeight="1" x14ac:dyDescent="0.25">
      <c r="A31" s="3"/>
      <c r="B31" s="3"/>
      <c r="C31" s="1300" t="s">
        <v>1097</v>
      </c>
      <c r="D31" s="1301"/>
      <c r="E31" s="1301"/>
      <c r="F31" s="1302"/>
      <c r="G31" s="1303">
        <f t="shared" ref="G31:I31" si="3">G17*1.10249937</f>
        <v>587098.70452086383</v>
      </c>
      <c r="H31" s="1304">
        <f t="shared" si="3"/>
        <v>57.65038717885826</v>
      </c>
      <c r="I31" s="1305">
        <f t="shared" si="3"/>
        <v>9.2785823112746861</v>
      </c>
      <c r="J31" s="3"/>
      <c r="K31" s="3"/>
      <c r="L31" s="3"/>
      <c r="M31" s="3"/>
      <c r="N31" s="3"/>
      <c r="O31" s="3"/>
      <c r="P31" s="3"/>
      <c r="Q31" s="3"/>
      <c r="R31" s="3"/>
      <c r="S31" s="3"/>
      <c r="T31" s="3"/>
      <c r="U31" s="3"/>
      <c r="V31" s="3"/>
      <c r="W31" s="3"/>
      <c r="X31" s="3"/>
      <c r="Y31" s="3"/>
      <c r="Z31" s="3"/>
    </row>
    <row r="32" spans="1:26" ht="15.75" customHeight="1" x14ac:dyDescent="0.25">
      <c r="A32" s="3"/>
      <c r="B32" s="3"/>
      <c r="C32" s="1355"/>
      <c r="D32" s="1307"/>
      <c r="E32" s="1307"/>
      <c r="F32" s="1308"/>
      <c r="G32" s="75"/>
      <c r="H32" s="1309"/>
      <c r="I32" s="1310"/>
      <c r="J32" s="3"/>
      <c r="K32" s="3"/>
      <c r="L32" s="3"/>
      <c r="M32" s="3"/>
      <c r="N32" s="3"/>
      <c r="O32" s="3"/>
      <c r="P32" s="3"/>
      <c r="Q32" s="3"/>
      <c r="R32" s="3"/>
      <c r="S32" s="3"/>
      <c r="T32" s="3"/>
      <c r="U32" s="3"/>
      <c r="V32" s="3"/>
      <c r="W32" s="3"/>
      <c r="X32" s="3"/>
      <c r="Y32" s="3"/>
      <c r="Z32" s="3"/>
    </row>
    <row r="33" spans="1:26" ht="15.75" customHeight="1" x14ac:dyDescent="0.25">
      <c r="A33" s="3"/>
      <c r="B33" s="3"/>
      <c r="C33" s="1357" t="s">
        <v>1100</v>
      </c>
      <c r="D33" s="1312"/>
      <c r="E33" s="1312"/>
      <c r="F33" s="1313"/>
      <c r="G33" s="1314">
        <f t="shared" ref="G33:I33" si="4">G19*1.10249937</f>
        <v>1300005.5171392802</v>
      </c>
      <c r="H33" s="1315">
        <f t="shared" si="4"/>
        <v>57.65038717885826</v>
      </c>
      <c r="I33" s="1316">
        <f t="shared" si="4"/>
        <v>9.2785823112746861</v>
      </c>
      <c r="J33" s="3"/>
      <c r="K33" s="3"/>
      <c r="L33" s="3"/>
      <c r="M33" s="3"/>
      <c r="N33" s="3"/>
      <c r="O33" s="3"/>
      <c r="P33" s="3"/>
      <c r="Q33" s="3"/>
      <c r="R33" s="3"/>
      <c r="S33" s="3"/>
      <c r="T33" s="3"/>
      <c r="U33" s="3"/>
      <c r="V33" s="3"/>
      <c r="W33" s="3"/>
      <c r="X33" s="3"/>
      <c r="Y33" s="3"/>
      <c r="Z33" s="3"/>
    </row>
    <row r="34" spans="1:26" ht="15.75" customHeight="1" x14ac:dyDescent="0.25">
      <c r="A34" s="3"/>
      <c r="B34" s="3"/>
      <c r="C34" s="1295"/>
      <c r="D34" s="1307"/>
      <c r="E34" s="1307"/>
      <c r="F34" s="1308"/>
      <c r="G34" s="1317"/>
      <c r="H34" s="1317"/>
      <c r="I34" s="1318"/>
      <c r="J34" s="3"/>
      <c r="K34" s="3"/>
      <c r="L34" s="3"/>
      <c r="M34" s="3"/>
      <c r="N34" s="3"/>
      <c r="O34" s="3"/>
      <c r="P34" s="3"/>
      <c r="Q34" s="3"/>
      <c r="R34" s="3"/>
      <c r="S34" s="3"/>
      <c r="T34" s="3"/>
      <c r="U34" s="3"/>
      <c r="V34" s="3"/>
      <c r="W34" s="3"/>
      <c r="X34" s="3"/>
      <c r="Y34" s="3"/>
      <c r="Z34" s="3"/>
    </row>
    <row r="35" spans="1:26" ht="27" customHeight="1" x14ac:dyDescent="0.25">
      <c r="A35" s="3"/>
      <c r="B35" s="3"/>
      <c r="C35" s="1358" t="s">
        <v>1104</v>
      </c>
      <c r="D35" s="1320"/>
      <c r="E35" s="1320"/>
      <c r="F35" s="1321"/>
      <c r="G35" s="1320">
        <f>G21*1.10249937</f>
        <v>712906.81261841627</v>
      </c>
      <c r="H35" s="1322"/>
      <c r="I35" s="1323"/>
      <c r="J35" s="3"/>
      <c r="K35" s="3"/>
      <c r="L35" s="3"/>
      <c r="M35" s="3"/>
      <c r="N35" s="3"/>
      <c r="O35" s="3"/>
      <c r="P35" s="3"/>
      <c r="Q35" s="3"/>
      <c r="R35" s="3"/>
      <c r="S35" s="3"/>
      <c r="T35" s="3"/>
      <c r="U35" s="3"/>
      <c r="V35" s="3"/>
      <c r="W35" s="3"/>
      <c r="X35" s="3"/>
      <c r="Y35" s="3"/>
      <c r="Z35" s="3"/>
    </row>
    <row r="36" spans="1:26" ht="15.75" customHeight="1" x14ac:dyDescent="0.25">
      <c r="A36" s="3"/>
      <c r="B36" s="3"/>
      <c r="C36" s="1359"/>
      <c r="D36" s="1360"/>
      <c r="E36" s="1360"/>
      <c r="F36" s="1341"/>
      <c r="G36" s="1360"/>
      <c r="H36" s="1317"/>
      <c r="I36" s="1318"/>
      <c r="J36" s="3"/>
      <c r="K36" s="3"/>
      <c r="L36" s="3"/>
      <c r="M36" s="3"/>
      <c r="N36" s="3"/>
      <c r="O36" s="3"/>
      <c r="P36" s="3"/>
      <c r="Q36" s="3"/>
      <c r="R36" s="3"/>
      <c r="S36" s="3"/>
      <c r="T36" s="3"/>
      <c r="U36" s="3"/>
      <c r="V36" s="3"/>
      <c r="W36" s="3"/>
      <c r="X36" s="3"/>
      <c r="Y36" s="3"/>
      <c r="Z36" s="3"/>
    </row>
    <row r="37" spans="1:26" ht="27" customHeight="1" x14ac:dyDescent="0.25">
      <c r="A37" s="3"/>
      <c r="B37" s="3"/>
      <c r="C37" s="1342" t="s">
        <v>1105</v>
      </c>
      <c r="D37" s="1343"/>
      <c r="E37" s="1343"/>
      <c r="F37" s="1344"/>
      <c r="G37" s="1345">
        <f>G26*1.10249937</f>
        <v>1300620.984438108</v>
      </c>
      <c r="H37" s="1345">
        <f t="shared" ref="H37:I37" si="5">H26*1.1023</f>
        <v>57.664922352849089</v>
      </c>
      <c r="I37" s="1346">
        <f t="shared" si="5"/>
        <v>9.2818964942265687</v>
      </c>
      <c r="J37" s="3"/>
      <c r="K37" s="3"/>
      <c r="L37" s="3"/>
      <c r="M37" s="3"/>
      <c r="N37" s="3"/>
      <c r="O37" s="3"/>
      <c r="P37" s="3"/>
      <c r="Q37" s="3"/>
      <c r="R37" s="3"/>
      <c r="S37" s="3"/>
      <c r="T37" s="3"/>
      <c r="U37" s="3"/>
      <c r="V37" s="3"/>
      <c r="W37" s="3"/>
      <c r="X37" s="3"/>
      <c r="Y37" s="3"/>
      <c r="Z37" s="3"/>
    </row>
    <row r="38" spans="1:26" ht="15.75" customHeight="1" x14ac:dyDescent="0.25">
      <c r="A38" s="3"/>
      <c r="B38" s="3"/>
      <c r="C38" s="502"/>
      <c r="D38" s="504"/>
      <c r="E38" s="504"/>
      <c r="F38" s="504"/>
      <c r="G38" s="504"/>
      <c r="H38" s="504"/>
      <c r="I38" s="1361"/>
      <c r="J38" s="3"/>
      <c r="K38" s="3"/>
      <c r="L38" s="3"/>
      <c r="M38" s="3"/>
      <c r="N38" s="3"/>
      <c r="O38" s="3"/>
      <c r="P38" s="3"/>
      <c r="Q38" s="3"/>
      <c r="R38" s="3"/>
      <c r="S38" s="3"/>
      <c r="T38" s="3"/>
      <c r="U38" s="3"/>
      <c r="V38" s="3"/>
      <c r="W38" s="3"/>
      <c r="X38" s="3"/>
      <c r="Y38" s="3"/>
      <c r="Z38" s="3"/>
    </row>
    <row r="39" spans="1:26" ht="15.75" customHeight="1" x14ac:dyDescent="0.25">
      <c r="A39" s="3"/>
      <c r="B39" s="3"/>
      <c r="C39" s="278"/>
      <c r="D39" s="3"/>
      <c r="E39" s="3"/>
      <c r="F39" s="3"/>
      <c r="G39" s="3"/>
      <c r="H39" s="3"/>
      <c r="I39" s="649"/>
      <c r="J39" s="3"/>
      <c r="K39" s="3"/>
      <c r="L39" s="3"/>
      <c r="M39" s="3"/>
      <c r="N39" s="3"/>
      <c r="O39" s="3"/>
      <c r="P39" s="3"/>
      <c r="Q39" s="3"/>
      <c r="R39" s="3"/>
      <c r="S39" s="3"/>
      <c r="T39" s="3"/>
      <c r="U39" s="3"/>
      <c r="V39" s="3"/>
      <c r="W39" s="3"/>
      <c r="X39" s="3"/>
      <c r="Y39" s="3"/>
      <c r="Z39" s="3"/>
    </row>
    <row r="40" spans="1:26" ht="15.75" customHeight="1" x14ac:dyDescent="0.25">
      <c r="A40" s="3"/>
      <c r="B40" s="3"/>
      <c r="C40" s="278"/>
      <c r="D40" s="3"/>
      <c r="E40" s="3"/>
      <c r="F40" s="3"/>
      <c r="G40" s="3"/>
      <c r="H40" s="3"/>
      <c r="I40" s="649"/>
      <c r="J40" s="3"/>
      <c r="K40" s="3"/>
      <c r="L40" s="3"/>
      <c r="M40" s="3"/>
      <c r="N40" s="3"/>
      <c r="O40" s="3"/>
      <c r="P40" s="3"/>
      <c r="Q40" s="3"/>
      <c r="R40" s="3"/>
      <c r="S40" s="3"/>
      <c r="T40" s="3"/>
      <c r="U40" s="3"/>
      <c r="V40" s="3"/>
      <c r="W40" s="3"/>
      <c r="X40" s="3"/>
      <c r="Y40" s="3"/>
      <c r="Z40" s="3"/>
    </row>
    <row r="41" spans="1:26" ht="15.75" customHeight="1" x14ac:dyDescent="0.25">
      <c r="A41" s="3"/>
      <c r="B41" s="60" t="s">
        <v>1108</v>
      </c>
      <c r="C41" s="1362" t="s">
        <v>1109</v>
      </c>
      <c r="D41" s="1363"/>
      <c r="E41" s="1363"/>
      <c r="F41" s="1364"/>
      <c r="G41" s="1363"/>
      <c r="H41" s="1363"/>
      <c r="I41" s="1365"/>
      <c r="J41" s="3"/>
      <c r="K41" s="3"/>
      <c r="L41" s="3"/>
      <c r="M41" s="3"/>
      <c r="N41" s="3"/>
      <c r="O41" s="3"/>
      <c r="P41" s="3"/>
      <c r="Q41" s="3"/>
      <c r="R41" s="3"/>
      <c r="S41" s="3"/>
      <c r="T41" s="3"/>
      <c r="U41" s="3"/>
      <c r="V41" s="3"/>
      <c r="W41" s="3"/>
      <c r="X41" s="3"/>
      <c r="Y41" s="3"/>
      <c r="Z41" s="3"/>
    </row>
    <row r="42" spans="1:26" ht="37.5" customHeight="1" x14ac:dyDescent="0.25">
      <c r="A42" s="3"/>
      <c r="B42" s="3"/>
      <c r="C42" s="1366"/>
      <c r="D42" s="1367" t="s">
        <v>685</v>
      </c>
      <c r="E42" s="1367" t="s">
        <v>21</v>
      </c>
      <c r="F42" s="81"/>
      <c r="G42" s="1367" t="s">
        <v>1111</v>
      </c>
      <c r="H42" s="1367" t="s">
        <v>1112</v>
      </c>
      <c r="I42" s="1368" t="s">
        <v>1113</v>
      </c>
      <c r="J42" s="3"/>
      <c r="K42" s="3"/>
      <c r="L42" s="3"/>
      <c r="M42" s="3"/>
      <c r="N42" s="3"/>
      <c r="O42" s="3"/>
      <c r="P42" s="3"/>
      <c r="Q42" s="3"/>
      <c r="R42" s="3"/>
      <c r="S42" s="3"/>
      <c r="T42" s="3"/>
      <c r="U42" s="3"/>
      <c r="V42" s="3"/>
      <c r="W42" s="3"/>
      <c r="X42" s="3"/>
      <c r="Y42" s="3"/>
      <c r="Z42" s="3"/>
    </row>
    <row r="43" spans="1:26" ht="15.75" customHeight="1" x14ac:dyDescent="0.25">
      <c r="A43" s="3"/>
      <c r="B43" s="3"/>
      <c r="C43" s="1369" t="s">
        <v>1115</v>
      </c>
      <c r="D43" s="1370"/>
      <c r="E43" s="1370"/>
      <c r="F43" s="597"/>
      <c r="G43" s="1370"/>
      <c r="H43" s="1370"/>
      <c r="I43" s="1371"/>
      <c r="J43" s="3"/>
      <c r="K43" s="3"/>
      <c r="L43" s="3"/>
      <c r="M43" s="3"/>
      <c r="N43" s="3"/>
      <c r="O43" s="3"/>
      <c r="P43" s="3"/>
      <c r="Q43" s="3"/>
      <c r="R43" s="3"/>
      <c r="S43" s="3"/>
      <c r="T43" s="3"/>
      <c r="U43" s="3"/>
      <c r="V43" s="3"/>
      <c r="W43" s="3"/>
      <c r="X43" s="3"/>
      <c r="Y43" s="3"/>
      <c r="Z43" s="3"/>
    </row>
    <row r="44" spans="1:26" ht="15.75" customHeight="1" x14ac:dyDescent="0.25">
      <c r="A44" s="3"/>
      <c r="B44" s="3"/>
      <c r="C44" s="1280" t="s">
        <v>1083</v>
      </c>
      <c r="D44" s="1281">
        <v>90237</v>
      </c>
      <c r="E44" s="1282" t="s">
        <v>1119</v>
      </c>
      <c r="F44" s="81"/>
      <c r="G44" s="1283">
        <v>183433.31880551999</v>
      </c>
      <c r="H44" s="1284">
        <v>21.603999999999999</v>
      </c>
      <c r="I44" s="1372">
        <v>3.1419999999999999</v>
      </c>
      <c r="J44" s="3"/>
      <c r="K44" s="3"/>
      <c r="L44" s="3"/>
      <c r="M44" s="3"/>
      <c r="N44" s="3"/>
      <c r="O44" s="3"/>
      <c r="P44" s="3"/>
      <c r="Q44" s="3"/>
      <c r="R44" s="3"/>
      <c r="S44" s="3"/>
      <c r="T44" s="3"/>
      <c r="U44" s="3"/>
      <c r="V44" s="3"/>
      <c r="W44" s="3"/>
      <c r="X44" s="3"/>
      <c r="Y44" s="3"/>
      <c r="Z44" s="3"/>
    </row>
    <row r="45" spans="1:26" ht="15.75" customHeight="1" x14ac:dyDescent="0.25">
      <c r="A45" s="3"/>
      <c r="B45" s="3"/>
      <c r="C45" s="1280"/>
      <c r="D45" s="1281"/>
      <c r="E45" s="1282"/>
      <c r="F45" s="81"/>
      <c r="G45" s="1283"/>
      <c r="H45" s="1284"/>
      <c r="I45" s="1372"/>
      <c r="J45" s="3"/>
      <c r="K45" s="3"/>
      <c r="L45" s="3"/>
      <c r="M45" s="3"/>
      <c r="N45" s="3"/>
      <c r="O45" s="3"/>
      <c r="P45" s="3"/>
      <c r="Q45" s="3"/>
      <c r="R45" s="3"/>
      <c r="S45" s="3"/>
      <c r="T45" s="3"/>
      <c r="U45" s="3"/>
      <c r="V45" s="3"/>
      <c r="W45" s="3"/>
      <c r="X45" s="3"/>
      <c r="Y45" s="3"/>
      <c r="Z45" s="3"/>
    </row>
    <row r="46" spans="1:26" ht="15.75" customHeight="1" x14ac:dyDescent="0.25">
      <c r="A46" s="3"/>
      <c r="B46" s="3"/>
      <c r="C46" s="1280" t="s">
        <v>1086</v>
      </c>
      <c r="D46" s="1281">
        <v>405324</v>
      </c>
      <c r="E46" s="1281" t="s">
        <v>1087</v>
      </c>
      <c r="F46" s="81"/>
      <c r="G46" s="1283">
        <v>1702.7369406719999</v>
      </c>
      <c r="H46" s="1293">
        <v>6.9000000000000006E-2</v>
      </c>
      <c r="I46" s="1372">
        <v>1.4E-2</v>
      </c>
      <c r="J46" s="3"/>
      <c r="K46" s="3"/>
      <c r="L46" s="3"/>
      <c r="M46" s="3"/>
      <c r="N46" s="3"/>
      <c r="O46" s="3"/>
      <c r="P46" s="3"/>
      <c r="Q46" s="3"/>
      <c r="R46" s="3"/>
      <c r="S46" s="3"/>
      <c r="T46" s="3"/>
      <c r="U46" s="3"/>
      <c r="V46" s="3"/>
      <c r="W46" s="3"/>
      <c r="X46" s="3"/>
      <c r="Y46" s="3"/>
      <c r="Z46" s="3"/>
    </row>
    <row r="47" spans="1:26" ht="15.75" customHeight="1" x14ac:dyDescent="0.25">
      <c r="A47" s="3"/>
      <c r="B47" s="3"/>
      <c r="C47" s="1280"/>
      <c r="D47" s="1281"/>
      <c r="E47" s="1281"/>
      <c r="F47" s="81"/>
      <c r="G47" s="1284"/>
      <c r="H47" s="1281"/>
      <c r="I47" s="1294"/>
      <c r="J47" s="3"/>
      <c r="K47" s="3"/>
      <c r="L47" s="3"/>
      <c r="M47" s="3"/>
      <c r="N47" s="3"/>
      <c r="O47" s="3"/>
      <c r="P47" s="3"/>
      <c r="Q47" s="3"/>
      <c r="R47" s="3"/>
      <c r="S47" s="3"/>
      <c r="T47" s="3"/>
      <c r="U47" s="3"/>
      <c r="V47" s="3"/>
      <c r="W47" s="3"/>
      <c r="X47" s="3"/>
      <c r="Y47" s="3"/>
      <c r="Z47" s="3"/>
    </row>
    <row r="48" spans="1:26" ht="15.75" customHeight="1" x14ac:dyDescent="0.25">
      <c r="A48" s="3"/>
      <c r="B48" s="3"/>
      <c r="C48" s="1280" t="s">
        <v>1120</v>
      </c>
      <c r="D48" s="1281">
        <v>4786</v>
      </c>
      <c r="E48" s="1282" t="s">
        <v>1119</v>
      </c>
      <c r="F48" s="81"/>
      <c r="G48" s="1283">
        <v>11055.726525399999</v>
      </c>
      <c r="H48" s="1284">
        <v>4.115194240000001</v>
      </c>
      <c r="I48" s="1372">
        <v>0.540119244</v>
      </c>
      <c r="J48" s="3"/>
      <c r="K48" s="3"/>
      <c r="L48" s="3"/>
      <c r="M48" s="3"/>
      <c r="N48" s="3"/>
      <c r="O48" s="3"/>
      <c r="P48" s="3"/>
      <c r="Q48" s="3"/>
      <c r="R48" s="3"/>
      <c r="S48" s="3"/>
      <c r="T48" s="3"/>
      <c r="U48" s="3"/>
      <c r="V48" s="3"/>
      <c r="W48" s="3"/>
      <c r="X48" s="3"/>
      <c r="Y48" s="3"/>
      <c r="Z48" s="3"/>
    </row>
    <row r="49" spans="1:26" ht="15.75" customHeight="1" x14ac:dyDescent="0.25">
      <c r="A49" s="3"/>
      <c r="B49" s="3"/>
      <c r="C49" s="1280"/>
      <c r="D49" s="1281"/>
      <c r="E49" s="1281"/>
      <c r="F49" s="210"/>
      <c r="G49" s="1284"/>
      <c r="H49" s="1281"/>
      <c r="I49" s="1294"/>
      <c r="J49" s="3"/>
      <c r="K49" s="3"/>
      <c r="L49" s="3"/>
      <c r="M49" s="3"/>
      <c r="N49" s="3"/>
      <c r="O49" s="3"/>
      <c r="P49" s="3"/>
      <c r="Q49" s="3"/>
      <c r="R49" s="3"/>
      <c r="S49" s="3"/>
      <c r="T49" s="3"/>
      <c r="U49" s="3"/>
      <c r="V49" s="3"/>
      <c r="W49" s="3"/>
      <c r="X49" s="3"/>
      <c r="Y49" s="3"/>
      <c r="Z49" s="3"/>
    </row>
    <row r="50" spans="1:26" ht="15.75" customHeight="1" x14ac:dyDescent="0.25">
      <c r="A50" s="3"/>
      <c r="B50" s="3"/>
      <c r="C50" s="1373" t="s">
        <v>1121</v>
      </c>
      <c r="D50" s="1301"/>
      <c r="E50" s="1301"/>
      <c r="F50" s="1374"/>
      <c r="G50" s="1375">
        <f t="shared" ref="G50:I50" si="6">G44+G46+G48</f>
        <v>196191.782271592</v>
      </c>
      <c r="H50" s="1303">
        <f t="shared" si="6"/>
        <v>25.788194239999999</v>
      </c>
      <c r="I50" s="1305">
        <f t="shared" si="6"/>
        <v>3.6961192439999997</v>
      </c>
      <c r="J50" s="3"/>
      <c r="K50" s="3"/>
      <c r="L50" s="3"/>
      <c r="M50" s="3"/>
      <c r="N50" s="3"/>
      <c r="O50" s="3"/>
      <c r="P50" s="3"/>
      <c r="Q50" s="3"/>
      <c r="R50" s="3"/>
      <c r="S50" s="3"/>
      <c r="T50" s="3"/>
      <c r="U50" s="3"/>
      <c r="V50" s="3"/>
      <c r="W50" s="3"/>
      <c r="X50" s="3"/>
      <c r="Y50" s="3"/>
      <c r="Z50" s="3"/>
    </row>
    <row r="51" spans="1:26" ht="15.75" customHeight="1" x14ac:dyDescent="0.25">
      <c r="A51" s="3"/>
      <c r="B51" s="3"/>
      <c r="C51" s="1280"/>
      <c r="D51" s="1281"/>
      <c r="E51" s="1281"/>
      <c r="F51" s="1376"/>
      <c r="G51" s="1377"/>
      <c r="H51" s="1377"/>
      <c r="I51" s="1378"/>
      <c r="J51" s="3"/>
      <c r="K51" s="3"/>
      <c r="L51" s="3"/>
      <c r="M51" s="3"/>
      <c r="N51" s="3"/>
      <c r="O51" s="3"/>
      <c r="P51" s="3"/>
      <c r="Q51" s="3"/>
      <c r="R51" s="3"/>
      <c r="S51" s="3"/>
      <c r="T51" s="3"/>
      <c r="U51" s="3"/>
      <c r="V51" s="3"/>
      <c r="W51" s="3"/>
      <c r="X51" s="3"/>
      <c r="Y51" s="3"/>
      <c r="Z51" s="3"/>
    </row>
    <row r="52" spans="1:26" ht="15.75" customHeight="1" x14ac:dyDescent="0.25">
      <c r="A52" s="3"/>
      <c r="B52" s="3"/>
      <c r="C52" s="1379" t="s">
        <v>1126</v>
      </c>
      <c r="D52" s="1381"/>
      <c r="E52" s="1381"/>
      <c r="F52" s="349"/>
      <c r="G52" s="1382"/>
      <c r="H52" s="1330"/>
      <c r="I52" s="1383"/>
      <c r="J52" s="3"/>
      <c r="K52" s="3"/>
      <c r="L52" s="3"/>
      <c r="M52" s="3"/>
      <c r="N52" s="3"/>
      <c r="O52" s="3"/>
      <c r="P52" s="3"/>
      <c r="Q52" s="3"/>
      <c r="R52" s="3"/>
      <c r="S52" s="3"/>
      <c r="T52" s="3"/>
      <c r="U52" s="3"/>
      <c r="V52" s="3"/>
      <c r="W52" s="3"/>
      <c r="X52" s="3"/>
      <c r="Y52" s="3"/>
      <c r="Z52" s="3"/>
    </row>
    <row r="53" spans="1:26" ht="15.75" customHeight="1" x14ac:dyDescent="0.25">
      <c r="A53" s="3"/>
      <c r="B53" s="3"/>
      <c r="C53" s="1384" t="s">
        <v>1128</v>
      </c>
      <c r="D53" s="1335">
        <v>334327.45</v>
      </c>
      <c r="E53" s="1335" t="s">
        <v>1087</v>
      </c>
      <c r="F53" s="1386"/>
      <c r="G53" s="1337">
        <v>1409.4309175140002</v>
      </c>
      <c r="H53" s="1387">
        <v>5.7169993950000005E-2</v>
      </c>
      <c r="I53" s="1388">
        <v>1.143399879E-2</v>
      </c>
      <c r="J53" s="3"/>
      <c r="K53" s="3"/>
      <c r="L53" s="3"/>
      <c r="M53" s="3"/>
      <c r="N53" s="3"/>
      <c r="O53" s="3"/>
      <c r="P53" s="3"/>
      <c r="Q53" s="3"/>
      <c r="R53" s="3"/>
      <c r="S53" s="3"/>
      <c r="T53" s="3"/>
      <c r="U53" s="3"/>
      <c r="V53" s="3"/>
      <c r="W53" s="3"/>
      <c r="X53" s="3"/>
      <c r="Y53" s="3"/>
      <c r="Z53" s="3"/>
    </row>
    <row r="54" spans="1:26" ht="15.75" customHeight="1" x14ac:dyDescent="0.25">
      <c r="A54" s="3"/>
      <c r="B54" s="3"/>
      <c r="C54" s="1340"/>
      <c r="D54" s="1307"/>
      <c r="E54" s="1307"/>
      <c r="F54" s="3"/>
      <c r="G54" s="1389"/>
      <c r="H54" s="1360"/>
      <c r="I54" s="1390"/>
      <c r="J54" s="3"/>
      <c r="K54" s="3"/>
      <c r="L54" s="3"/>
      <c r="M54" s="3"/>
      <c r="N54" s="3"/>
      <c r="O54" s="3"/>
      <c r="P54" s="3"/>
      <c r="Q54" s="3"/>
      <c r="R54" s="3"/>
      <c r="S54" s="3"/>
      <c r="T54" s="3"/>
      <c r="U54" s="3"/>
      <c r="V54" s="3"/>
      <c r="W54" s="3"/>
      <c r="X54" s="3"/>
      <c r="Y54" s="3"/>
      <c r="Z54" s="3"/>
    </row>
    <row r="55" spans="1:26" ht="15.75" customHeight="1" x14ac:dyDescent="0.25">
      <c r="A55" s="3"/>
      <c r="B55" s="3"/>
      <c r="C55" s="1391" t="s">
        <v>1130</v>
      </c>
      <c r="D55" s="1312"/>
      <c r="E55" s="1312"/>
      <c r="F55" s="1392"/>
      <c r="G55" s="1393">
        <v>467712</v>
      </c>
      <c r="H55" s="1394">
        <v>25.788194239999999</v>
      </c>
      <c r="I55" s="1395">
        <v>3.6961192439999997</v>
      </c>
      <c r="J55" s="3"/>
      <c r="K55" s="3"/>
      <c r="L55" s="3"/>
      <c r="M55" s="3"/>
      <c r="N55" s="3"/>
      <c r="O55" s="3"/>
      <c r="P55" s="3"/>
      <c r="Q55" s="3"/>
      <c r="R55" s="3"/>
      <c r="S55" s="3"/>
      <c r="T55" s="3"/>
      <c r="U55" s="3"/>
      <c r="V55" s="3"/>
      <c r="W55" s="3"/>
      <c r="X55" s="3"/>
      <c r="Y55" s="3"/>
      <c r="Z55" s="3"/>
    </row>
    <row r="56" spans="1:26" ht="15.75" customHeight="1" x14ac:dyDescent="0.25">
      <c r="A56" s="3"/>
      <c r="B56" s="3"/>
      <c r="C56" s="1396"/>
      <c r="D56" s="1307"/>
      <c r="E56" s="1307"/>
      <c r="F56" s="3"/>
      <c r="G56" s="1341"/>
      <c r="H56" s="1360"/>
      <c r="I56" s="1390"/>
      <c r="J56" s="3"/>
      <c r="K56" s="3"/>
      <c r="L56" s="3"/>
      <c r="M56" s="3"/>
      <c r="N56" s="3"/>
      <c r="O56" s="3"/>
      <c r="P56" s="3"/>
      <c r="Q56" s="3"/>
      <c r="R56" s="3"/>
      <c r="S56" s="3"/>
      <c r="T56" s="3"/>
      <c r="U56" s="3"/>
      <c r="V56" s="3"/>
      <c r="W56" s="3"/>
      <c r="X56" s="3"/>
      <c r="Y56" s="3"/>
      <c r="Z56" s="3"/>
    </row>
    <row r="57" spans="1:26" ht="15.75" customHeight="1" x14ac:dyDescent="0.25">
      <c r="A57" s="3"/>
      <c r="B57" s="3"/>
      <c r="C57" s="1397" t="s">
        <v>1132</v>
      </c>
      <c r="D57" s="1398"/>
      <c r="E57" s="1398"/>
      <c r="F57" s="1374"/>
      <c r="G57" s="1399">
        <f t="shared" ref="G57:I57" si="7">G50</f>
        <v>196191.782271592</v>
      </c>
      <c r="H57" s="1400">
        <f t="shared" si="7"/>
        <v>25.788194239999999</v>
      </c>
      <c r="I57" s="1402">
        <f t="shared" si="7"/>
        <v>3.6961192439999997</v>
      </c>
      <c r="J57" s="3"/>
      <c r="K57" s="3"/>
      <c r="L57" s="3"/>
      <c r="M57" s="3"/>
      <c r="N57" s="3"/>
      <c r="O57" s="3"/>
      <c r="P57" s="3"/>
      <c r="Q57" s="3"/>
      <c r="R57" s="3"/>
      <c r="S57" s="3"/>
      <c r="T57" s="3"/>
      <c r="U57" s="3"/>
      <c r="V57" s="3"/>
      <c r="W57" s="3"/>
      <c r="X57" s="3"/>
      <c r="Y57" s="3"/>
      <c r="Z57" s="3"/>
    </row>
    <row r="58" spans="1:26" ht="15.75" customHeight="1" x14ac:dyDescent="0.25">
      <c r="A58" s="3"/>
      <c r="B58" s="3"/>
      <c r="C58" s="1340"/>
      <c r="D58" s="1307"/>
      <c r="E58" s="1307"/>
      <c r="F58" s="3"/>
      <c r="G58" s="1389"/>
      <c r="H58" s="1360"/>
      <c r="I58" s="1390"/>
      <c r="J58" s="3"/>
      <c r="K58" s="3"/>
      <c r="L58" s="3"/>
      <c r="M58" s="3"/>
      <c r="N58" s="3"/>
      <c r="O58" s="3"/>
      <c r="P58" s="3"/>
      <c r="Q58" s="3"/>
      <c r="R58" s="3"/>
      <c r="S58" s="3"/>
      <c r="T58" s="3"/>
      <c r="U58" s="3"/>
      <c r="V58" s="3"/>
      <c r="W58" s="3"/>
      <c r="X58" s="3"/>
      <c r="Y58" s="3"/>
      <c r="Z58" s="3"/>
    </row>
    <row r="59" spans="1:26" ht="15.75" customHeight="1" x14ac:dyDescent="0.25">
      <c r="A59" s="3"/>
      <c r="B59" s="3"/>
      <c r="C59" s="1403" t="s">
        <v>1135</v>
      </c>
      <c r="D59" s="1404"/>
      <c r="E59" s="1404"/>
      <c r="F59" s="1405"/>
      <c r="G59" s="1321">
        <f>G55-G57</f>
        <v>271520.217728408</v>
      </c>
      <c r="H59" s="1320">
        <v>51.633558473950004</v>
      </c>
      <c r="I59" s="1407">
        <v>7.4036724867899988</v>
      </c>
      <c r="J59" s="3"/>
      <c r="K59" s="3"/>
      <c r="L59" s="3"/>
      <c r="M59" s="3"/>
      <c r="N59" s="3"/>
      <c r="O59" s="3"/>
      <c r="P59" s="3"/>
      <c r="Q59" s="3"/>
      <c r="R59" s="3"/>
      <c r="S59" s="3"/>
      <c r="T59" s="3"/>
      <c r="U59" s="3"/>
      <c r="V59" s="3"/>
      <c r="W59" s="3"/>
      <c r="X59" s="3"/>
      <c r="Y59" s="3"/>
      <c r="Z59" s="3"/>
    </row>
    <row r="60" spans="1:26" ht="15.75" customHeight="1" x14ac:dyDescent="0.25">
      <c r="A60" s="3"/>
      <c r="B60" s="3"/>
      <c r="C60" s="1340"/>
      <c r="D60" s="1307"/>
      <c r="E60" s="1307"/>
      <c r="F60" s="3"/>
      <c r="G60" s="1389"/>
      <c r="H60" s="1360"/>
      <c r="I60" s="1390"/>
      <c r="J60" s="3"/>
      <c r="K60" s="3"/>
      <c r="L60" s="3"/>
      <c r="M60" s="3"/>
      <c r="N60" s="3"/>
      <c r="O60" s="3"/>
      <c r="P60" s="3"/>
      <c r="Q60" s="3"/>
      <c r="R60" s="3"/>
      <c r="S60" s="3"/>
      <c r="T60" s="3"/>
      <c r="U60" s="3"/>
      <c r="V60" s="3"/>
      <c r="W60" s="3"/>
      <c r="X60" s="3"/>
      <c r="Y60" s="3"/>
      <c r="Z60" s="3"/>
    </row>
    <row r="61" spans="1:26" ht="15.75" customHeight="1" x14ac:dyDescent="0.25">
      <c r="A61" s="3"/>
      <c r="B61" s="3"/>
      <c r="C61" s="1409" t="s">
        <v>1139</v>
      </c>
      <c r="D61" s="1343"/>
      <c r="E61" s="1343"/>
      <c r="F61" s="1410"/>
      <c r="G61" s="1411">
        <v>469121.43091751402</v>
      </c>
      <c r="H61" s="1411">
        <v>25.845364233950001</v>
      </c>
      <c r="I61" s="1412">
        <v>3.7075532427899995</v>
      </c>
      <c r="J61" s="3"/>
      <c r="K61" s="3"/>
      <c r="L61" s="3"/>
      <c r="M61" s="3"/>
      <c r="N61" s="3"/>
      <c r="O61" s="3"/>
      <c r="P61" s="3"/>
      <c r="Q61" s="3"/>
      <c r="R61" s="3"/>
      <c r="S61" s="3"/>
      <c r="T61" s="3"/>
      <c r="U61" s="3"/>
      <c r="V61" s="3"/>
      <c r="W61" s="3"/>
      <c r="X61" s="3"/>
      <c r="Y61" s="3"/>
      <c r="Z61" s="3"/>
    </row>
    <row r="62" spans="1:26" ht="15.75" customHeight="1" x14ac:dyDescent="0.25">
      <c r="A62" s="3"/>
      <c r="B62" s="3"/>
      <c r="C62" s="111"/>
      <c r="D62" s="1307"/>
      <c r="E62" s="1307"/>
      <c r="F62" s="3"/>
      <c r="G62" s="1389"/>
      <c r="H62" s="1389"/>
      <c r="I62" s="1414"/>
      <c r="J62" s="3"/>
      <c r="K62" s="3"/>
      <c r="L62" s="3"/>
      <c r="M62" s="3"/>
      <c r="N62" s="3"/>
      <c r="O62" s="3"/>
      <c r="P62" s="3"/>
      <c r="Q62" s="3"/>
      <c r="R62" s="3"/>
      <c r="S62" s="3"/>
      <c r="T62" s="3"/>
      <c r="U62" s="3"/>
      <c r="V62" s="3"/>
      <c r="W62" s="3"/>
      <c r="X62" s="3"/>
      <c r="Y62" s="3"/>
      <c r="Z62" s="3"/>
    </row>
    <row r="63" spans="1:26" ht="45" customHeight="1" x14ac:dyDescent="0.25">
      <c r="A63" s="3"/>
      <c r="B63" s="3"/>
      <c r="C63" s="1416"/>
      <c r="D63" s="1349"/>
      <c r="E63" s="1350" t="s">
        <v>1096</v>
      </c>
      <c r="F63" s="37"/>
      <c r="G63" s="1417"/>
      <c r="H63" s="1417"/>
      <c r="I63" s="1419"/>
      <c r="J63" s="3"/>
      <c r="K63" s="3"/>
      <c r="L63" s="3"/>
      <c r="M63" s="3"/>
      <c r="N63" s="3"/>
      <c r="O63" s="3"/>
      <c r="P63" s="3"/>
      <c r="Q63" s="3"/>
      <c r="R63" s="3"/>
      <c r="S63" s="3"/>
      <c r="T63" s="3"/>
      <c r="U63" s="3"/>
      <c r="V63" s="3"/>
      <c r="W63" s="3"/>
      <c r="X63" s="3"/>
      <c r="Y63" s="3"/>
      <c r="Z63" s="3"/>
    </row>
    <row r="64" spans="1:26" ht="15.75" customHeight="1" x14ac:dyDescent="0.25">
      <c r="A64" s="3"/>
      <c r="B64" s="3"/>
      <c r="C64" s="111"/>
      <c r="D64" s="1307"/>
      <c r="E64" s="1307"/>
      <c r="F64" s="3"/>
      <c r="G64" s="1389"/>
      <c r="H64" s="1389"/>
      <c r="I64" s="1414"/>
      <c r="J64" s="3"/>
      <c r="K64" s="3"/>
      <c r="L64" s="3"/>
      <c r="M64" s="3"/>
      <c r="N64" s="3"/>
      <c r="O64" s="3"/>
      <c r="P64" s="3"/>
      <c r="Q64" s="3"/>
      <c r="R64" s="3"/>
      <c r="S64" s="3"/>
      <c r="T64" s="3"/>
      <c r="U64" s="3"/>
      <c r="V64" s="3"/>
      <c r="W64" s="3"/>
      <c r="X64" s="3"/>
      <c r="Y64" s="3"/>
      <c r="Z64" s="3"/>
    </row>
    <row r="65" spans="1:26" ht="15.75" customHeight="1" x14ac:dyDescent="0.25">
      <c r="A65" s="3"/>
      <c r="B65" s="3"/>
      <c r="C65" s="111"/>
      <c r="D65" s="1307"/>
      <c r="E65" s="1307"/>
      <c r="F65" s="3"/>
      <c r="G65" s="1389"/>
      <c r="H65" s="1360"/>
      <c r="I65" s="1390"/>
      <c r="J65" s="3"/>
      <c r="K65" s="3"/>
      <c r="L65" s="3"/>
      <c r="M65" s="3"/>
      <c r="N65" s="3"/>
      <c r="O65" s="3"/>
      <c r="P65" s="3"/>
      <c r="Q65" s="3"/>
      <c r="R65" s="3"/>
      <c r="S65" s="3"/>
      <c r="T65" s="3"/>
      <c r="U65" s="3"/>
      <c r="V65" s="3"/>
      <c r="W65" s="3"/>
      <c r="X65" s="3"/>
      <c r="Y65" s="3"/>
      <c r="Z65" s="3"/>
    </row>
    <row r="66" spans="1:26" ht="15.75" customHeight="1" x14ac:dyDescent="0.25">
      <c r="A66" s="3"/>
      <c r="B66" s="3"/>
      <c r="C66" s="1391" t="s">
        <v>1143</v>
      </c>
      <c r="D66" s="1421"/>
      <c r="E66" s="1421"/>
      <c r="F66" s="1392"/>
      <c r="G66" s="1424">
        <f t="shared" ref="G66:I66" si="8">G55*1.1023</f>
        <v>515558.9376</v>
      </c>
      <c r="H66" s="1425">
        <f t="shared" si="8"/>
        <v>28.426326510752002</v>
      </c>
      <c r="I66" s="1426">
        <f t="shared" si="8"/>
        <v>4.0742322426611999</v>
      </c>
      <c r="J66" s="3"/>
      <c r="K66" s="3"/>
      <c r="L66" s="3"/>
      <c r="M66" s="3"/>
      <c r="N66" s="3"/>
      <c r="O66" s="3"/>
      <c r="P66" s="3"/>
      <c r="Q66" s="3"/>
      <c r="R66" s="3"/>
      <c r="S66" s="3"/>
      <c r="T66" s="3"/>
      <c r="U66" s="3"/>
      <c r="V66" s="3"/>
      <c r="W66" s="3"/>
      <c r="X66" s="3"/>
      <c r="Y66" s="3"/>
      <c r="Z66" s="3"/>
    </row>
    <row r="67" spans="1:26" ht="15.75" customHeight="1" x14ac:dyDescent="0.25">
      <c r="A67" s="3"/>
      <c r="B67" s="3"/>
      <c r="C67" s="1396"/>
      <c r="D67" s="1307"/>
      <c r="E67" s="1307"/>
      <c r="F67" s="3"/>
      <c r="G67" s="1389"/>
      <c r="H67" s="1360"/>
      <c r="I67" s="1390"/>
      <c r="J67" s="3"/>
      <c r="K67" s="3"/>
      <c r="L67" s="3"/>
      <c r="M67" s="3"/>
      <c r="N67" s="3"/>
      <c r="O67" s="3"/>
      <c r="P67" s="3"/>
      <c r="Q67" s="3"/>
      <c r="R67" s="3"/>
      <c r="S67" s="3"/>
      <c r="T67" s="3"/>
      <c r="U67" s="3"/>
      <c r="V67" s="3"/>
      <c r="W67" s="3"/>
      <c r="X67" s="3"/>
      <c r="Y67" s="3"/>
      <c r="Z67" s="3"/>
    </row>
    <row r="68" spans="1:26" ht="15.75" customHeight="1" x14ac:dyDescent="0.25">
      <c r="A68" s="3"/>
      <c r="B68" s="3"/>
      <c r="C68" s="1397" t="s">
        <v>1151</v>
      </c>
      <c r="D68" s="1398"/>
      <c r="E68" s="1398"/>
      <c r="F68" s="1374"/>
      <c r="G68" s="1399">
        <f t="shared" ref="G68:I68" si="9">G50*1.1023</f>
        <v>216262.20159797589</v>
      </c>
      <c r="H68" s="1400">
        <f t="shared" si="9"/>
        <v>28.426326510752002</v>
      </c>
      <c r="I68" s="1402">
        <f t="shared" si="9"/>
        <v>4.0742322426611999</v>
      </c>
      <c r="J68" s="3"/>
      <c r="K68" s="3"/>
      <c r="L68" s="3"/>
      <c r="M68" s="3"/>
      <c r="N68" s="3"/>
      <c r="O68" s="3"/>
      <c r="P68" s="3"/>
      <c r="Q68" s="3"/>
      <c r="R68" s="3"/>
      <c r="S68" s="3"/>
      <c r="T68" s="3"/>
      <c r="U68" s="3"/>
      <c r="V68" s="3"/>
      <c r="W68" s="3"/>
      <c r="X68" s="3"/>
      <c r="Y68" s="3"/>
      <c r="Z68" s="3"/>
    </row>
    <row r="69" spans="1:26" ht="15.75" customHeight="1" x14ac:dyDescent="0.25">
      <c r="A69" s="3"/>
      <c r="B69" s="3"/>
      <c r="C69" s="1340"/>
      <c r="D69" s="1307"/>
      <c r="E69" s="1307"/>
      <c r="F69" s="3"/>
      <c r="G69" s="1389"/>
      <c r="H69" s="1360"/>
      <c r="I69" s="1390"/>
      <c r="J69" s="3"/>
      <c r="K69" s="3"/>
      <c r="L69" s="3"/>
      <c r="M69" s="3"/>
      <c r="N69" s="3"/>
      <c r="O69" s="3"/>
      <c r="P69" s="3"/>
      <c r="Q69" s="3"/>
      <c r="R69" s="3"/>
      <c r="S69" s="3"/>
      <c r="T69" s="3"/>
      <c r="U69" s="3"/>
      <c r="V69" s="3"/>
      <c r="W69" s="3"/>
      <c r="X69" s="3"/>
      <c r="Y69" s="3"/>
      <c r="Z69" s="3"/>
    </row>
    <row r="70" spans="1:26" ht="15.75" customHeight="1" x14ac:dyDescent="0.25">
      <c r="A70" s="3"/>
      <c r="B70" s="3"/>
      <c r="C70" s="1403" t="s">
        <v>1154</v>
      </c>
      <c r="D70" s="1404"/>
      <c r="E70" s="1404"/>
      <c r="F70" s="1405"/>
      <c r="G70" s="1434">
        <f t="shared" ref="G70:I70" si="10">G59*1.1023</f>
        <v>299296.73600202415</v>
      </c>
      <c r="H70" s="1320">
        <f t="shared" si="10"/>
        <v>56.915671505835093</v>
      </c>
      <c r="I70" s="1407">
        <f t="shared" si="10"/>
        <v>8.1610681821886164</v>
      </c>
      <c r="J70" s="3"/>
      <c r="K70" s="3"/>
      <c r="L70" s="3"/>
      <c r="M70" s="3"/>
      <c r="N70" s="3"/>
      <c r="O70" s="3"/>
      <c r="P70" s="3"/>
      <c r="Q70" s="3"/>
      <c r="R70" s="3"/>
      <c r="S70" s="3"/>
      <c r="T70" s="3"/>
      <c r="U70" s="3"/>
      <c r="V70" s="3"/>
      <c r="W70" s="3"/>
      <c r="X70" s="3"/>
      <c r="Y70" s="3"/>
      <c r="Z70" s="3"/>
    </row>
    <row r="71" spans="1:26" ht="15.75" customHeight="1" x14ac:dyDescent="0.25">
      <c r="A71" s="3"/>
      <c r="B71" s="3"/>
      <c r="C71" s="1340"/>
      <c r="D71" s="1307"/>
      <c r="E71" s="1307"/>
      <c r="F71" s="3"/>
      <c r="G71" s="1389"/>
      <c r="H71" s="1360"/>
      <c r="I71" s="1390"/>
      <c r="J71" s="3"/>
      <c r="K71" s="3"/>
      <c r="L71" s="3"/>
      <c r="M71" s="3"/>
      <c r="N71" s="3"/>
      <c r="O71" s="3"/>
      <c r="P71" s="3"/>
      <c r="Q71" s="3"/>
      <c r="R71" s="3"/>
      <c r="S71" s="3"/>
      <c r="T71" s="3"/>
      <c r="U71" s="3"/>
      <c r="V71" s="3"/>
      <c r="W71" s="3"/>
      <c r="X71" s="3"/>
      <c r="Y71" s="3"/>
      <c r="Z71" s="3"/>
    </row>
    <row r="72" spans="1:26" ht="15.75" customHeight="1" x14ac:dyDescent="0.25">
      <c r="A72" s="3"/>
      <c r="B72" s="3"/>
      <c r="C72" s="1409" t="s">
        <v>1157</v>
      </c>
      <c r="D72" s="1343"/>
      <c r="E72" s="1343"/>
      <c r="F72" s="1410"/>
      <c r="G72" s="1411">
        <f t="shared" ref="G72:I72" si="11">G61*1.1023</f>
        <v>517112.55330037576</v>
      </c>
      <c r="H72" s="1411">
        <f t="shared" si="11"/>
        <v>28.489344995083087</v>
      </c>
      <c r="I72" s="1412">
        <f t="shared" si="11"/>
        <v>4.0868359395274165</v>
      </c>
      <c r="J72" s="3"/>
      <c r="K72" s="3"/>
      <c r="L72" s="3"/>
      <c r="M72" s="3"/>
      <c r="N72" s="3"/>
      <c r="O72" s="3"/>
      <c r="P72" s="3"/>
      <c r="Q72" s="3"/>
      <c r="R72" s="3"/>
      <c r="S72" s="3"/>
      <c r="T72" s="3"/>
      <c r="U72" s="3"/>
      <c r="V72" s="3"/>
      <c r="W72" s="3"/>
      <c r="X72" s="3"/>
      <c r="Y72" s="3"/>
      <c r="Z72" s="3"/>
    </row>
    <row r="73" spans="1:26" ht="15.75" customHeight="1" x14ac:dyDescent="0.25">
      <c r="A73" s="3"/>
      <c r="B73" s="3"/>
      <c r="C73" s="1437"/>
      <c r="D73" s="1121"/>
      <c r="E73" s="1121"/>
      <c r="F73" s="1439"/>
      <c r="G73" s="1121"/>
      <c r="H73" s="1121"/>
      <c r="I73" s="1440"/>
      <c r="J73" s="3"/>
      <c r="K73" s="3"/>
      <c r="L73" s="3"/>
      <c r="M73" s="3"/>
      <c r="N73" s="3"/>
      <c r="O73" s="3"/>
      <c r="P73" s="3"/>
      <c r="Q73" s="3"/>
      <c r="R73" s="3"/>
      <c r="S73" s="3"/>
      <c r="T73" s="3"/>
      <c r="U73" s="3"/>
      <c r="V73" s="3"/>
      <c r="W73" s="3"/>
      <c r="X73" s="3"/>
      <c r="Y73" s="3"/>
      <c r="Z73" s="3"/>
    </row>
    <row r="74" spans="1:26" ht="15.75" customHeight="1" x14ac:dyDescent="0.25">
      <c r="A74" s="3"/>
      <c r="B74" s="3"/>
      <c r="C74" s="278"/>
      <c r="D74" s="3"/>
      <c r="E74" s="3"/>
      <c r="F74" s="3"/>
      <c r="G74" s="3"/>
      <c r="H74" s="3"/>
      <c r="I74" s="649"/>
      <c r="J74" s="3"/>
      <c r="K74" s="3"/>
      <c r="L74" s="3"/>
      <c r="M74" s="3"/>
      <c r="N74" s="3"/>
      <c r="O74" s="3"/>
      <c r="P74" s="3"/>
      <c r="Q74" s="3"/>
      <c r="R74" s="3"/>
      <c r="S74" s="3"/>
      <c r="T74" s="3"/>
      <c r="U74" s="3"/>
      <c r="V74" s="3"/>
      <c r="W74" s="3"/>
      <c r="X74" s="3"/>
      <c r="Y74" s="3"/>
      <c r="Z74" s="3"/>
    </row>
    <row r="75" spans="1:26" ht="15.75" customHeight="1" x14ac:dyDescent="0.25">
      <c r="A75" s="3"/>
      <c r="B75" s="3"/>
      <c r="C75" s="278"/>
      <c r="D75" s="3"/>
      <c r="E75" s="3"/>
      <c r="F75" s="3"/>
      <c r="G75" s="3"/>
      <c r="H75" s="3"/>
      <c r="I75" s="649"/>
      <c r="J75" s="3"/>
      <c r="K75" s="3"/>
      <c r="L75" s="3"/>
      <c r="M75" s="3"/>
      <c r="N75" s="3"/>
      <c r="O75" s="3"/>
      <c r="P75" s="3"/>
      <c r="Q75" s="3"/>
      <c r="R75" s="3"/>
      <c r="S75" s="3"/>
      <c r="T75" s="3"/>
      <c r="U75" s="3"/>
      <c r="V75" s="3"/>
      <c r="W75" s="3"/>
      <c r="X75" s="3"/>
      <c r="Y75" s="3"/>
      <c r="Z75" s="3"/>
    </row>
    <row r="76" spans="1:26" ht="15.75" customHeight="1" x14ac:dyDescent="0.25">
      <c r="A76" s="3"/>
      <c r="B76" s="60" t="s">
        <v>1165</v>
      </c>
      <c r="C76" s="1441" t="s">
        <v>1166</v>
      </c>
      <c r="D76" s="1442"/>
      <c r="E76" s="1442"/>
      <c r="F76" s="1442"/>
      <c r="G76" s="1445">
        <f>G70+G35</f>
        <v>1012203.5486204404</v>
      </c>
      <c r="H76" s="3"/>
      <c r="I76" s="649"/>
      <c r="J76" s="3"/>
      <c r="K76" s="3"/>
      <c r="L76" s="3"/>
      <c r="M76" s="3"/>
      <c r="N76" s="3"/>
      <c r="O76" s="3"/>
      <c r="P76" s="3"/>
      <c r="Q76" s="3"/>
      <c r="R76" s="3"/>
      <c r="S76" s="3"/>
      <c r="T76" s="3"/>
      <c r="U76" s="3"/>
      <c r="V76" s="3"/>
      <c r="W76" s="3"/>
      <c r="X76" s="3"/>
      <c r="Y76" s="3"/>
      <c r="Z76" s="3"/>
    </row>
    <row r="77" spans="1:26" ht="15.75" customHeight="1" x14ac:dyDescent="0.25">
      <c r="A77" s="3"/>
      <c r="B77" s="3"/>
      <c r="C77" s="230"/>
      <c r="D77" s="3"/>
      <c r="E77" s="3"/>
      <c r="F77" s="3"/>
      <c r="G77" s="1446"/>
      <c r="H77" s="3"/>
      <c r="I77" s="649"/>
      <c r="J77" s="3"/>
      <c r="K77" s="3"/>
      <c r="L77" s="3"/>
      <c r="M77" s="3"/>
      <c r="N77" s="3"/>
      <c r="O77" s="3"/>
      <c r="P77" s="3"/>
      <c r="Q77" s="3"/>
      <c r="R77" s="3"/>
      <c r="S77" s="3"/>
      <c r="T77" s="3"/>
      <c r="U77" s="3"/>
      <c r="V77" s="3"/>
      <c r="W77" s="3"/>
      <c r="X77" s="3"/>
      <c r="Y77" s="3"/>
      <c r="Z77" s="3"/>
    </row>
    <row r="78" spans="1:26" ht="15.75" customHeight="1" x14ac:dyDescent="0.25">
      <c r="A78" s="3"/>
      <c r="B78" s="3"/>
      <c r="C78" s="1441" t="s">
        <v>1168</v>
      </c>
      <c r="D78" s="3"/>
      <c r="E78" s="3"/>
      <c r="F78" s="3"/>
      <c r="G78" s="542">
        <f>G76*0.90718474</f>
        <v>918255.6130823117</v>
      </c>
      <c r="H78" s="3"/>
      <c r="I78" s="649"/>
      <c r="J78" s="3"/>
      <c r="K78" s="3"/>
      <c r="L78" s="3"/>
      <c r="M78" s="3"/>
      <c r="N78" s="3"/>
      <c r="O78" s="3"/>
      <c r="P78" s="3"/>
      <c r="Q78" s="3"/>
      <c r="R78" s="3"/>
      <c r="S78" s="3"/>
      <c r="T78" s="3"/>
      <c r="U78" s="3"/>
      <c r="V78" s="3"/>
      <c r="W78" s="3"/>
      <c r="X78" s="3"/>
      <c r="Y78" s="3"/>
      <c r="Z78" s="3"/>
    </row>
    <row r="79" spans="1:26" ht="15.75" customHeight="1" x14ac:dyDescent="0.25">
      <c r="A79" s="3"/>
      <c r="B79" s="3"/>
      <c r="C79" s="230"/>
      <c r="D79" s="3"/>
      <c r="E79" s="3"/>
      <c r="F79" s="3"/>
      <c r="G79" s="3"/>
      <c r="H79" s="3"/>
      <c r="I79" s="649"/>
      <c r="J79" s="3"/>
      <c r="K79" s="3"/>
      <c r="L79" s="3"/>
      <c r="M79" s="3"/>
      <c r="N79" s="3"/>
      <c r="O79" s="3"/>
      <c r="P79" s="3"/>
      <c r="Q79" s="3"/>
      <c r="R79" s="3"/>
      <c r="S79" s="3"/>
      <c r="T79" s="3"/>
      <c r="U79" s="3"/>
      <c r="V79" s="3"/>
      <c r="W79" s="3"/>
      <c r="X79" s="3"/>
      <c r="Y79" s="3"/>
      <c r="Z79" s="3"/>
    </row>
    <row r="80" spans="1:26" ht="15.75" customHeight="1" x14ac:dyDescent="0.25">
      <c r="A80" s="3"/>
      <c r="B80" s="3"/>
      <c r="C80" s="1441" t="s">
        <v>1170</v>
      </c>
      <c r="D80" s="3"/>
      <c r="E80" s="3"/>
      <c r="F80" s="3"/>
      <c r="G80" s="1446">
        <f>G78/1000000</f>
        <v>0.91825561308231174</v>
      </c>
      <c r="H80" s="3"/>
      <c r="I80" s="649"/>
      <c r="J80" s="3"/>
      <c r="K80" s="3"/>
      <c r="L80" s="3"/>
      <c r="M80" s="3"/>
      <c r="N80" s="3"/>
      <c r="O80" s="3"/>
      <c r="P80" s="3"/>
      <c r="Q80" s="3"/>
      <c r="R80" s="3"/>
      <c r="S80" s="3"/>
      <c r="T80" s="3"/>
      <c r="U80" s="3"/>
      <c r="V80" s="3"/>
      <c r="W80" s="3"/>
      <c r="X80" s="3"/>
      <c r="Y80" s="3"/>
      <c r="Z80" s="3"/>
    </row>
    <row r="81" spans="1:26" ht="15.75" customHeight="1" x14ac:dyDescent="0.25">
      <c r="A81" s="3"/>
      <c r="B81" s="3"/>
      <c r="C81" s="230"/>
      <c r="D81" s="3"/>
      <c r="E81" s="3"/>
      <c r="F81" s="3"/>
      <c r="G81" s="1446"/>
      <c r="H81" s="3"/>
      <c r="I81" s="649"/>
      <c r="J81" s="3"/>
      <c r="K81" s="3"/>
      <c r="L81" s="3"/>
      <c r="M81" s="3"/>
      <c r="N81" s="3"/>
      <c r="O81" s="3"/>
      <c r="P81" s="3"/>
      <c r="Q81" s="3"/>
      <c r="R81" s="3"/>
      <c r="S81" s="3"/>
      <c r="T81" s="3"/>
      <c r="U81" s="3"/>
      <c r="V81" s="3"/>
      <c r="W81" s="3"/>
      <c r="X81" s="3"/>
      <c r="Y81" s="3"/>
      <c r="Z81" s="3"/>
    </row>
    <row r="82" spans="1:26" ht="15.75" customHeight="1" x14ac:dyDescent="0.25">
      <c r="A82" s="3"/>
      <c r="B82" s="3"/>
      <c r="C82" s="318"/>
      <c r="D82" s="532"/>
      <c r="E82" s="532"/>
      <c r="F82" s="532"/>
      <c r="G82" s="532"/>
      <c r="H82" s="532"/>
      <c r="I82" s="656"/>
      <c r="J82" s="3"/>
      <c r="K82" s="3"/>
      <c r="L82" s="3"/>
      <c r="M82" s="3"/>
      <c r="N82" s="3"/>
      <c r="O82" s="3"/>
      <c r="P82" s="3"/>
      <c r="Q82" s="3"/>
      <c r="R82" s="3"/>
      <c r="S82" s="3"/>
      <c r="T82" s="3"/>
      <c r="U82" s="3"/>
      <c r="V82" s="3"/>
      <c r="W82" s="3"/>
      <c r="X82" s="3"/>
      <c r="Y82" s="3"/>
      <c r="Z82" s="3"/>
    </row>
    <row r="83" spans="1:26" ht="15.75" customHeight="1" x14ac:dyDescent="0.2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2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2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2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2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2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2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2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2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2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2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2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2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2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2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2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2"/>
    <row r="282" spans="1:26" ht="15.75" customHeight="1" x14ac:dyDescent="0.2"/>
    <row r="283" spans="1:26" ht="15.75" customHeight="1" x14ac:dyDescent="0.2"/>
    <row r="284" spans="1:26" ht="15.75" customHeight="1" x14ac:dyDescent="0.2"/>
    <row r="285" spans="1:26" ht="15.75" customHeight="1" x14ac:dyDescent="0.2"/>
    <row r="286" spans="1:26" ht="15.75" customHeight="1" x14ac:dyDescent="0.2"/>
    <row r="287" spans="1:26" ht="15.75" customHeight="1" x14ac:dyDescent="0.2"/>
    <row r="288" spans="1:26"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J994"/>
  <sheetViews>
    <sheetView workbookViewId="0"/>
  </sheetViews>
  <sheetFormatPr defaultColWidth="16.83203125" defaultRowHeight="15" customHeight="1" x14ac:dyDescent="0.2"/>
  <cols>
    <col min="1" max="2" width="9.33203125" customWidth="1"/>
    <col min="3" max="3" width="34" customWidth="1"/>
    <col min="4" max="4" width="19.6640625" customWidth="1"/>
    <col min="5" max="5" width="3.83203125" customWidth="1"/>
    <col min="6" max="6" width="15.83203125" customWidth="1"/>
    <col min="7" max="7" width="3.83203125" customWidth="1"/>
    <col min="8" max="8" width="19.6640625" customWidth="1"/>
    <col min="9" max="9" width="3.83203125" customWidth="1"/>
    <col min="10" max="10" width="11.6640625" customWidth="1"/>
    <col min="11" max="11" width="9.33203125" customWidth="1"/>
    <col min="12" max="12" width="13.1640625" customWidth="1"/>
    <col min="13" max="13" width="9.33203125" customWidth="1"/>
    <col min="14" max="19" width="8" customWidth="1"/>
    <col min="20" max="20" width="39.1640625" customWidth="1"/>
    <col min="21" max="35" width="8" customWidth="1"/>
  </cols>
  <sheetData>
    <row r="1" spans="1:36" ht="22.5" customHeight="1" x14ac:dyDescent="0.35">
      <c r="A1" s="2297" t="s">
        <v>2184</v>
      </c>
      <c r="B1" s="3"/>
      <c r="C1" s="3"/>
      <c r="D1" s="3"/>
      <c r="E1" s="3"/>
      <c r="F1" s="3"/>
      <c r="G1" s="3"/>
      <c r="H1" s="3"/>
      <c r="I1" s="3"/>
      <c r="J1" s="3"/>
      <c r="K1" s="3"/>
      <c r="L1" s="22"/>
      <c r="M1" s="3"/>
      <c r="N1" s="3"/>
      <c r="O1" s="3"/>
      <c r="P1" s="3"/>
      <c r="Q1" s="3"/>
      <c r="R1" s="3"/>
      <c r="S1" s="3"/>
      <c r="T1" s="3"/>
      <c r="U1" s="3"/>
      <c r="V1" s="3"/>
      <c r="W1" s="3"/>
      <c r="X1" s="3"/>
      <c r="Y1" s="3"/>
      <c r="Z1" s="3"/>
      <c r="AA1" s="3"/>
      <c r="AB1" s="3"/>
      <c r="AC1" s="3"/>
      <c r="AD1" s="3"/>
      <c r="AE1" s="3"/>
      <c r="AF1" s="3"/>
      <c r="AG1" s="3"/>
      <c r="AH1" s="3"/>
      <c r="AI1" s="3"/>
    </row>
    <row r="2" spans="1:36" ht="229.5" customHeight="1" x14ac:dyDescent="0.25">
      <c r="A2" s="3"/>
      <c r="B2" s="60"/>
      <c r="C2" s="12"/>
      <c r="D2" s="12"/>
      <c r="E2" s="12"/>
      <c r="F2" s="12"/>
      <c r="G2" s="12"/>
      <c r="H2" s="12"/>
      <c r="I2" s="12"/>
      <c r="J2" s="12"/>
      <c r="K2" s="12"/>
      <c r="L2" s="12"/>
      <c r="M2" s="3"/>
      <c r="N2" s="3"/>
      <c r="O2" s="3"/>
      <c r="P2" s="3"/>
      <c r="Q2" s="3"/>
      <c r="R2" s="3"/>
      <c r="S2" s="3"/>
      <c r="T2" s="3"/>
      <c r="U2" s="3"/>
      <c r="V2" s="3"/>
      <c r="W2" s="3"/>
      <c r="X2" s="3"/>
      <c r="Y2" s="3"/>
      <c r="Z2" s="3"/>
      <c r="AA2" s="3"/>
      <c r="AB2" s="3"/>
      <c r="AC2" s="3"/>
      <c r="AD2" s="3"/>
      <c r="AE2" s="3"/>
      <c r="AF2" s="3"/>
      <c r="AG2" s="3"/>
      <c r="AH2" s="3"/>
      <c r="AI2" s="3"/>
    </row>
    <row r="3" spans="1:36" x14ac:dyDescent="0.25">
      <c r="A3" s="3"/>
      <c r="B3" s="3"/>
      <c r="C3" s="1354" t="s">
        <v>1098</v>
      </c>
      <c r="D3" s="709"/>
      <c r="E3" s="709"/>
      <c r="F3" s="709"/>
      <c r="G3" s="709"/>
      <c r="H3" s="709"/>
      <c r="I3" s="709"/>
      <c r="J3" s="709"/>
      <c r="K3" s="709"/>
      <c r="L3" s="19"/>
      <c r="M3" s="3"/>
      <c r="N3" s="3"/>
      <c r="O3" s="3"/>
      <c r="P3" s="3"/>
      <c r="Q3" s="3"/>
      <c r="R3" s="3"/>
      <c r="S3" s="3"/>
      <c r="T3" s="3"/>
      <c r="U3" s="3"/>
      <c r="V3" s="3"/>
      <c r="W3" s="3"/>
      <c r="X3" s="3"/>
      <c r="Y3" s="3"/>
      <c r="Z3" s="3"/>
      <c r="AA3" s="3"/>
      <c r="AB3" s="3"/>
      <c r="AC3" s="3"/>
      <c r="AD3" s="3"/>
      <c r="AE3" s="3"/>
      <c r="AF3" s="3"/>
      <c r="AG3" s="3"/>
      <c r="AH3" s="3"/>
      <c r="AI3" s="3"/>
    </row>
    <row r="4" spans="1:36" ht="57.75" customHeight="1" x14ac:dyDescent="0.25">
      <c r="A4" s="3"/>
      <c r="B4" s="3"/>
      <c r="C4" s="28"/>
      <c r="D4" s="1356" t="s">
        <v>1099</v>
      </c>
      <c r="E4" s="13"/>
      <c r="F4" s="1174" t="s">
        <v>1101</v>
      </c>
      <c r="G4" s="3"/>
      <c r="H4" s="1174" t="s">
        <v>957</v>
      </c>
      <c r="I4" s="3"/>
      <c r="J4" s="1174" t="s">
        <v>1102</v>
      </c>
      <c r="K4" s="3"/>
      <c r="L4" s="30"/>
      <c r="M4" s="3"/>
      <c r="N4" s="3"/>
      <c r="O4" s="2312" t="s">
        <v>1</v>
      </c>
      <c r="P4" s="2313"/>
      <c r="Q4" s="3"/>
      <c r="R4" s="3"/>
      <c r="S4" s="3"/>
      <c r="T4" s="3"/>
      <c r="U4" s="3"/>
      <c r="V4" s="3"/>
      <c r="W4" s="3"/>
      <c r="X4" s="3"/>
      <c r="Y4" s="3"/>
      <c r="Z4" s="3"/>
      <c r="AA4" s="3"/>
      <c r="AB4" s="3"/>
      <c r="AC4" s="3"/>
      <c r="AD4" s="3"/>
      <c r="AE4" s="3"/>
      <c r="AF4" s="3"/>
      <c r="AG4" s="3"/>
      <c r="AH4" s="3"/>
      <c r="AI4" s="3"/>
    </row>
    <row r="5" spans="1:36" x14ac:dyDescent="0.25">
      <c r="A5" s="3"/>
      <c r="B5" s="3"/>
      <c r="C5" s="28" t="s">
        <v>1103</v>
      </c>
      <c r="D5" s="624">
        <v>194556</v>
      </c>
      <c r="E5" s="864" t="s">
        <v>904</v>
      </c>
      <c r="F5" s="1037">
        <v>0.44</v>
      </c>
      <c r="G5" s="864" t="s">
        <v>889</v>
      </c>
      <c r="H5" s="624">
        <f t="shared" ref="H5:H7" si="0">J5*12/44</f>
        <v>23346.719999999998</v>
      </c>
      <c r="I5" s="864" t="s">
        <v>889</v>
      </c>
      <c r="J5" s="624">
        <f t="shared" ref="J5:J7" si="1">IF(ISERROR(D5*F5),0,D5*F5)</f>
        <v>85604.64</v>
      </c>
      <c r="K5" s="3"/>
      <c r="L5" s="30"/>
      <c r="M5" s="3"/>
      <c r="N5" s="3"/>
      <c r="O5" s="236"/>
      <c r="P5" s="236"/>
      <c r="Q5" s="3"/>
      <c r="R5" s="3"/>
      <c r="S5" s="3"/>
      <c r="T5" s="3"/>
      <c r="U5" s="3"/>
      <c r="V5" s="3"/>
      <c r="W5" s="3"/>
      <c r="X5" s="3"/>
      <c r="Y5" s="3"/>
      <c r="Z5" s="3"/>
      <c r="AA5" s="3"/>
      <c r="AB5" s="3"/>
      <c r="AC5" s="3"/>
      <c r="AD5" s="3"/>
      <c r="AE5" s="3"/>
      <c r="AF5" s="3"/>
      <c r="AG5" s="3"/>
      <c r="AH5" s="3"/>
      <c r="AI5" s="3"/>
    </row>
    <row r="6" spans="1:36" x14ac:dyDescent="0.25">
      <c r="A6" s="3"/>
      <c r="B6" s="3"/>
      <c r="C6" s="28" t="s">
        <v>1106</v>
      </c>
      <c r="D6" s="624">
        <v>0</v>
      </c>
      <c r="E6" s="864" t="s">
        <v>904</v>
      </c>
      <c r="F6" s="1037">
        <v>0.48400000000000004</v>
      </c>
      <c r="G6" s="864" t="s">
        <v>889</v>
      </c>
      <c r="H6" s="624">
        <f t="shared" si="0"/>
        <v>0</v>
      </c>
      <c r="I6" s="864" t="s">
        <v>889</v>
      </c>
      <c r="J6" s="624">
        <f t="shared" si="1"/>
        <v>0</v>
      </c>
      <c r="K6" s="3"/>
      <c r="L6" s="30"/>
      <c r="M6" s="3"/>
      <c r="N6" s="3"/>
      <c r="O6" s="241" t="s">
        <v>188</v>
      </c>
      <c r="P6" s="243">
        <f>Summary!E4</f>
        <v>1</v>
      </c>
      <c r="Q6" s="3"/>
      <c r="R6" s="3"/>
      <c r="S6" s="3"/>
      <c r="T6" s="3"/>
      <c r="U6" s="3"/>
      <c r="V6" s="3"/>
      <c r="W6" s="3"/>
      <c r="X6" s="3"/>
      <c r="Y6" s="3"/>
      <c r="Z6" s="3"/>
      <c r="AA6" s="3"/>
      <c r="AB6" s="3"/>
      <c r="AC6" s="3"/>
      <c r="AD6" s="3"/>
      <c r="AE6" s="3"/>
      <c r="AF6" s="3"/>
      <c r="AG6" s="3"/>
      <c r="AH6" s="3"/>
      <c r="AI6" s="3"/>
    </row>
    <row r="7" spans="1:36" x14ac:dyDescent="0.25">
      <c r="A7" s="3"/>
      <c r="B7" s="3"/>
      <c r="C7" s="28" t="s">
        <v>1107</v>
      </c>
      <c r="D7" s="1048"/>
      <c r="E7" s="864" t="s">
        <v>904</v>
      </c>
      <c r="F7" s="1037">
        <v>1.7966666666666669</v>
      </c>
      <c r="G7" s="864" t="s">
        <v>889</v>
      </c>
      <c r="H7" s="624">
        <f t="shared" si="0"/>
        <v>0</v>
      </c>
      <c r="I7" s="864" t="s">
        <v>889</v>
      </c>
      <c r="J7" s="624">
        <f t="shared" si="1"/>
        <v>0</v>
      </c>
      <c r="K7" s="3"/>
      <c r="L7" s="30"/>
      <c r="M7" s="3"/>
      <c r="N7" s="3"/>
      <c r="O7" s="241" t="s">
        <v>192</v>
      </c>
      <c r="P7" s="243">
        <f>Summary!E5</f>
        <v>27.9</v>
      </c>
      <c r="Q7" s="3"/>
      <c r="R7" s="3"/>
      <c r="S7" s="3"/>
      <c r="T7" s="3"/>
      <c r="U7" s="3"/>
      <c r="V7" s="3"/>
      <c r="W7" s="3"/>
      <c r="X7" s="3"/>
      <c r="Y7" s="3"/>
      <c r="Z7" s="3"/>
      <c r="AA7" s="3"/>
      <c r="AB7" s="3"/>
      <c r="AC7" s="3"/>
      <c r="AD7" s="3"/>
      <c r="AE7" s="3"/>
      <c r="AF7" s="3"/>
      <c r="AG7" s="3"/>
      <c r="AH7" s="3"/>
      <c r="AI7" s="3"/>
    </row>
    <row r="8" spans="1:36" x14ac:dyDescent="0.25">
      <c r="A8" s="3"/>
      <c r="B8" s="60"/>
      <c r="C8" s="497"/>
      <c r="D8" s="12"/>
      <c r="E8" s="12"/>
      <c r="F8" s="12"/>
      <c r="G8" s="12"/>
      <c r="H8" s="12"/>
      <c r="I8" s="12"/>
      <c r="J8" s="12"/>
      <c r="K8" s="12"/>
      <c r="L8" s="498"/>
      <c r="M8" s="3"/>
      <c r="N8" s="3"/>
      <c r="O8" s="241" t="s">
        <v>194</v>
      </c>
      <c r="P8" s="243">
        <f>Summary!E6</f>
        <v>273</v>
      </c>
      <c r="Q8" s="3"/>
      <c r="R8" s="3"/>
      <c r="S8" s="3"/>
      <c r="T8" s="3"/>
      <c r="U8" s="3"/>
      <c r="V8" s="3"/>
      <c r="W8" s="3"/>
      <c r="X8" s="3"/>
      <c r="Y8" s="3"/>
      <c r="Z8" s="3"/>
      <c r="AA8" s="3"/>
      <c r="AB8" s="3"/>
      <c r="AC8" s="3"/>
      <c r="AD8" s="3"/>
      <c r="AE8" s="3"/>
      <c r="AF8" s="3"/>
      <c r="AG8" s="3"/>
      <c r="AH8" s="3"/>
      <c r="AI8" s="3"/>
    </row>
    <row r="9" spans="1:36" x14ac:dyDescent="0.25">
      <c r="A9" s="3"/>
      <c r="B9" s="60"/>
      <c r="C9" s="588" t="s">
        <v>1110</v>
      </c>
      <c r="D9" s="3"/>
      <c r="E9" s="3"/>
      <c r="F9" s="3"/>
      <c r="G9" s="3"/>
      <c r="H9" s="3"/>
      <c r="I9" s="3"/>
      <c r="J9" s="3"/>
      <c r="K9" s="3"/>
      <c r="L9" s="30"/>
      <c r="M9" s="3"/>
      <c r="N9" s="3"/>
      <c r="O9" s="241" t="s">
        <v>197</v>
      </c>
      <c r="P9" s="243">
        <f>Summary!E7</f>
        <v>24300</v>
      </c>
      <c r="Q9" s="3"/>
      <c r="R9" s="3"/>
      <c r="S9" s="3"/>
      <c r="T9" s="3"/>
      <c r="U9" s="3"/>
      <c r="V9" s="3"/>
      <c r="W9" s="3"/>
      <c r="X9" s="3"/>
      <c r="Y9" s="3"/>
      <c r="Z9" s="3"/>
      <c r="AA9" s="3"/>
      <c r="AB9" s="3"/>
      <c r="AC9" s="3"/>
      <c r="AD9" s="3"/>
      <c r="AE9" s="3"/>
      <c r="AF9" s="3"/>
      <c r="AG9" s="3"/>
      <c r="AH9" s="3"/>
      <c r="AI9" s="3"/>
    </row>
    <row r="10" spans="1:36" ht="57.75" customHeight="1" x14ac:dyDescent="0.25">
      <c r="A10" s="3"/>
      <c r="B10" s="60"/>
      <c r="C10" s="28"/>
      <c r="D10" s="1174" t="s">
        <v>1114</v>
      </c>
      <c r="E10" s="13"/>
      <c r="F10" s="1174" t="s">
        <v>1116</v>
      </c>
      <c r="G10" s="3"/>
      <c r="H10" s="1174" t="s">
        <v>957</v>
      </c>
      <c r="I10" s="3"/>
      <c r="J10" s="1174" t="s">
        <v>1117</v>
      </c>
      <c r="K10" s="3"/>
      <c r="L10" s="30"/>
      <c r="M10" s="3"/>
      <c r="N10" s="3"/>
      <c r="O10" s="241"/>
      <c r="P10" s="243"/>
      <c r="Q10" s="3"/>
      <c r="R10" s="3"/>
      <c r="S10" s="3"/>
      <c r="T10" s="3"/>
      <c r="U10" s="3"/>
      <c r="V10" s="3"/>
      <c r="W10" s="3"/>
      <c r="X10" s="3"/>
      <c r="Y10" s="3"/>
      <c r="Z10" s="3"/>
      <c r="AA10" s="3"/>
      <c r="AB10" s="3"/>
      <c r="AC10" s="3"/>
      <c r="AD10" s="3"/>
      <c r="AE10" s="3"/>
      <c r="AF10" s="3"/>
      <c r="AG10" s="3"/>
      <c r="AH10" s="3"/>
      <c r="AI10" s="3"/>
    </row>
    <row r="11" spans="1:36" x14ac:dyDescent="0.25">
      <c r="A11" s="3"/>
      <c r="B11" s="60"/>
      <c r="C11" s="28" t="s">
        <v>1118</v>
      </c>
      <c r="D11" s="624">
        <v>0</v>
      </c>
      <c r="E11" s="864" t="s">
        <v>904</v>
      </c>
      <c r="F11" s="1037">
        <v>9.74E-2</v>
      </c>
      <c r="G11" s="864" t="s">
        <v>889</v>
      </c>
      <c r="H11" s="624">
        <f t="shared" ref="H11:H12" si="2">J11*12/44</f>
        <v>0</v>
      </c>
      <c r="I11" s="864" t="s">
        <v>889</v>
      </c>
      <c r="J11" s="624">
        <f t="shared" ref="J11:J12" si="3">IF(ISERROR(D11*F11),0,D11*F11)</f>
        <v>0</v>
      </c>
      <c r="K11" s="3"/>
      <c r="L11" s="30"/>
      <c r="M11" s="3"/>
      <c r="N11" s="3"/>
      <c r="O11" s="3"/>
      <c r="P11" s="3"/>
      <c r="Q11" s="3"/>
      <c r="R11" s="3"/>
      <c r="S11" s="3"/>
      <c r="T11" s="3"/>
      <c r="U11" s="3"/>
      <c r="V11" s="3"/>
      <c r="W11" s="3"/>
      <c r="X11" s="3"/>
      <c r="Y11" s="3"/>
      <c r="Z11" s="3"/>
      <c r="AA11" s="3"/>
      <c r="AB11" s="3"/>
      <c r="AC11" s="3"/>
      <c r="AD11" s="3"/>
      <c r="AE11" s="3"/>
      <c r="AF11" s="3"/>
      <c r="AG11" s="3"/>
      <c r="AH11" s="3"/>
      <c r="AI11" s="3"/>
    </row>
    <row r="12" spans="1:36" x14ac:dyDescent="0.25">
      <c r="A12" s="3"/>
      <c r="B12" s="60"/>
      <c r="C12" s="28" t="s">
        <v>685</v>
      </c>
      <c r="D12" s="624">
        <v>97265.37</v>
      </c>
      <c r="E12" s="864" t="s">
        <v>904</v>
      </c>
      <c r="F12" s="1037">
        <v>0.41499999999999998</v>
      </c>
      <c r="G12" s="864" t="s">
        <v>889</v>
      </c>
      <c r="H12" s="624">
        <f t="shared" si="2"/>
        <v>11008.671422727271</v>
      </c>
      <c r="I12" s="864" t="s">
        <v>889</v>
      </c>
      <c r="J12" s="624">
        <f t="shared" si="3"/>
        <v>40365.128549999994</v>
      </c>
      <c r="K12" s="3"/>
      <c r="L12" s="30"/>
      <c r="M12" s="3"/>
      <c r="N12" s="3"/>
      <c r="O12" s="3"/>
      <c r="P12" s="3"/>
      <c r="Q12" s="3"/>
      <c r="R12" s="3"/>
      <c r="S12" s="3"/>
      <c r="T12" s="2288"/>
      <c r="U12" s="2289"/>
      <c r="V12" s="2288"/>
      <c r="W12" s="2288"/>
      <c r="X12" s="2288"/>
      <c r="Y12" s="2288"/>
      <c r="Z12" s="2288"/>
      <c r="AA12" s="2288"/>
      <c r="AB12" s="2288"/>
      <c r="AC12" s="2288"/>
      <c r="AD12" s="2288"/>
      <c r="AE12" s="2288"/>
      <c r="AF12" s="2288"/>
      <c r="AG12" s="2288"/>
      <c r="AH12" s="2288"/>
      <c r="AI12" s="2288"/>
      <c r="AJ12" s="2290"/>
    </row>
    <row r="13" spans="1:36" x14ac:dyDescent="0.25">
      <c r="A13" s="3"/>
      <c r="B13" s="60"/>
      <c r="C13" s="497"/>
      <c r="D13" s="12"/>
      <c r="E13" s="12"/>
      <c r="F13" s="12"/>
      <c r="G13" s="12"/>
      <c r="H13" s="12"/>
      <c r="I13" s="12"/>
      <c r="J13" s="12"/>
      <c r="K13" s="12"/>
      <c r="L13" s="498"/>
      <c r="M13" s="3"/>
      <c r="N13" s="3"/>
      <c r="O13" s="3"/>
      <c r="P13" s="3"/>
      <c r="Q13" s="3"/>
      <c r="R13" s="3"/>
      <c r="S13" s="3"/>
      <c r="T13" s="2291"/>
      <c r="U13" s="2291"/>
      <c r="V13" s="2291"/>
      <c r="W13" s="2291"/>
      <c r="X13" s="2291"/>
      <c r="Y13" s="2291"/>
      <c r="Z13" s="2291"/>
      <c r="AA13" s="2291"/>
      <c r="AB13" s="2291"/>
      <c r="AC13" s="2291"/>
      <c r="AD13" s="2291"/>
      <c r="AE13" s="2291"/>
      <c r="AF13" s="2291"/>
      <c r="AG13" s="2291"/>
      <c r="AH13" s="2291"/>
      <c r="AI13" s="2291"/>
      <c r="AJ13" s="2290"/>
    </row>
    <row r="14" spans="1:36" x14ac:dyDescent="0.25">
      <c r="A14" s="3"/>
      <c r="B14" s="60"/>
      <c r="C14" s="588" t="s">
        <v>1122</v>
      </c>
      <c r="D14" s="3"/>
      <c r="E14" s="3"/>
      <c r="F14" s="3"/>
      <c r="G14" s="3"/>
      <c r="H14" s="3"/>
      <c r="I14" s="3"/>
      <c r="J14" s="3"/>
      <c r="K14" s="3"/>
      <c r="L14" s="30"/>
      <c r="M14" s="3"/>
      <c r="N14" s="3"/>
      <c r="O14" s="3"/>
      <c r="P14" s="3"/>
      <c r="Q14" s="3"/>
      <c r="R14" s="3"/>
      <c r="S14" s="3"/>
      <c r="T14" s="2292"/>
      <c r="U14" s="2293"/>
      <c r="V14" s="2293"/>
      <c r="W14" s="2293"/>
      <c r="X14" s="2293"/>
      <c r="Y14" s="2293"/>
      <c r="Z14" s="2293"/>
      <c r="AA14" s="2293"/>
      <c r="AB14" s="2293"/>
      <c r="AC14" s="2293"/>
      <c r="AD14" s="2293"/>
      <c r="AE14" s="2293"/>
      <c r="AF14" s="2293"/>
      <c r="AG14" s="2293"/>
      <c r="AH14" s="2293"/>
      <c r="AI14" s="2293"/>
      <c r="AJ14" s="2290"/>
    </row>
    <row r="15" spans="1:36" ht="57.75" customHeight="1" x14ac:dyDescent="0.25">
      <c r="A15" s="3"/>
      <c r="B15" s="60"/>
      <c r="C15" s="28"/>
      <c r="D15" s="1174" t="s">
        <v>1123</v>
      </c>
      <c r="E15" s="13"/>
      <c r="F15" s="1174" t="s">
        <v>1124</v>
      </c>
      <c r="G15" s="3"/>
      <c r="H15" s="1174" t="s">
        <v>1125</v>
      </c>
      <c r="I15" s="3"/>
      <c r="J15" s="1174" t="s">
        <v>957</v>
      </c>
      <c r="K15" s="3"/>
      <c r="L15" s="1380" t="s">
        <v>1127</v>
      </c>
      <c r="M15" s="3"/>
      <c r="N15" s="3"/>
      <c r="O15" s="3"/>
      <c r="P15" s="3"/>
      <c r="Q15" s="3"/>
      <c r="R15" s="3"/>
      <c r="S15" s="3"/>
      <c r="T15" s="2292"/>
      <c r="U15" s="2293"/>
      <c r="V15" s="2293"/>
      <c r="W15" s="2293"/>
      <c r="X15" s="2293"/>
      <c r="Y15" s="2293"/>
      <c r="Z15" s="2293"/>
      <c r="AA15" s="2293"/>
      <c r="AB15" s="2293"/>
      <c r="AC15" s="2293"/>
      <c r="AD15" s="2293"/>
      <c r="AE15" s="2293"/>
      <c r="AF15" s="2293"/>
      <c r="AG15" s="2293"/>
      <c r="AH15" s="2293"/>
      <c r="AI15" s="2293"/>
      <c r="AJ15" s="2290"/>
    </row>
    <row r="16" spans="1:36" x14ac:dyDescent="0.25">
      <c r="A16" s="3"/>
      <c r="B16" s="60"/>
      <c r="C16" s="1385" t="s">
        <v>1129</v>
      </c>
      <c r="D16" s="624">
        <v>0</v>
      </c>
      <c r="E16" s="864" t="s">
        <v>904</v>
      </c>
      <c r="F16" s="1053">
        <v>1.2</v>
      </c>
      <c r="G16" s="864" t="s">
        <v>1050</v>
      </c>
      <c r="H16" s="624">
        <f>D17*F17</f>
        <v>951.18999999999994</v>
      </c>
      <c r="I16" s="864" t="s">
        <v>1051</v>
      </c>
      <c r="J16" s="624">
        <f t="shared" ref="J16:J17" si="4">L16*12/44</f>
        <v>0</v>
      </c>
      <c r="K16" s="864" t="s">
        <v>889</v>
      </c>
      <c r="L16" s="752">
        <f>IF(D16&gt;0,D16*F16-(H16),0)</f>
        <v>0</v>
      </c>
      <c r="M16" s="3"/>
      <c r="N16" s="3"/>
      <c r="O16" s="3"/>
      <c r="P16" s="3"/>
      <c r="Q16" s="3"/>
      <c r="R16" s="3"/>
      <c r="S16" s="3"/>
      <c r="T16" s="2294"/>
      <c r="U16" s="2295"/>
      <c r="V16" s="2295"/>
      <c r="W16" s="2295"/>
      <c r="X16" s="2295"/>
      <c r="Y16" s="2295"/>
      <c r="Z16" s="2295"/>
      <c r="AA16" s="2295"/>
      <c r="AB16" s="2295"/>
      <c r="AC16" s="2295"/>
      <c r="AD16" s="2295"/>
      <c r="AE16" s="2295"/>
      <c r="AF16" s="2295"/>
      <c r="AG16" s="2295"/>
      <c r="AH16" s="2295"/>
      <c r="AI16" s="2289"/>
      <c r="AJ16" s="2290"/>
    </row>
    <row r="17" spans="1:36" x14ac:dyDescent="0.25">
      <c r="A17" s="3"/>
      <c r="B17" s="60"/>
      <c r="C17" s="1385" t="s">
        <v>1133</v>
      </c>
      <c r="D17" s="624">
        <v>1303</v>
      </c>
      <c r="E17" s="864"/>
      <c r="F17" s="672">
        <v>0.73</v>
      </c>
      <c r="G17" s="864"/>
      <c r="H17" s="864"/>
      <c r="I17" s="864" t="s">
        <v>1134</v>
      </c>
      <c r="J17" s="624">
        <f t="shared" si="4"/>
        <v>259.41545454545451</v>
      </c>
      <c r="K17" s="864" t="s">
        <v>889</v>
      </c>
      <c r="L17" s="752">
        <f>D17*F17</f>
        <v>951.18999999999994</v>
      </c>
      <c r="M17" s="3"/>
      <c r="N17" s="3"/>
      <c r="O17" s="3"/>
      <c r="P17" s="3"/>
      <c r="Q17" s="3"/>
      <c r="R17" s="3"/>
      <c r="S17" s="3"/>
      <c r="T17" s="2296"/>
      <c r="U17" s="2296"/>
      <c r="V17" s="2296"/>
      <c r="W17" s="2296"/>
      <c r="X17" s="2296"/>
      <c r="Y17" s="2296"/>
      <c r="Z17" s="2296"/>
      <c r="AA17" s="2296"/>
      <c r="AB17" s="2296"/>
      <c r="AC17" s="2296"/>
      <c r="AD17" s="2296"/>
      <c r="AE17" s="2296"/>
      <c r="AF17" s="2289"/>
      <c r="AG17" s="2289"/>
      <c r="AH17" s="2289"/>
      <c r="AI17" s="2289"/>
      <c r="AJ17" s="2290"/>
    </row>
    <row r="18" spans="1:36" x14ac:dyDescent="0.25">
      <c r="A18" s="3"/>
      <c r="B18" s="60"/>
      <c r="C18" s="497"/>
      <c r="D18" s="12"/>
      <c r="E18" s="12"/>
      <c r="F18" s="12"/>
      <c r="G18" s="12"/>
      <c r="H18" s="12"/>
      <c r="I18" s="12"/>
      <c r="J18" s="12"/>
      <c r="K18" s="12"/>
      <c r="L18" s="498"/>
      <c r="M18" s="3"/>
      <c r="N18" s="3"/>
      <c r="O18" s="3"/>
      <c r="P18" s="3"/>
      <c r="Q18" s="3"/>
      <c r="R18" s="3"/>
      <c r="S18" s="3"/>
      <c r="T18" s="2149"/>
      <c r="U18" s="2149"/>
      <c r="V18" s="2149"/>
      <c r="W18" s="2149"/>
      <c r="X18" s="2149"/>
      <c r="Y18" s="2149"/>
      <c r="Z18" s="2149"/>
      <c r="AA18" s="2149"/>
      <c r="AB18" s="2149"/>
      <c r="AC18" s="2149"/>
      <c r="AD18" s="2149"/>
      <c r="AE18" s="2149"/>
      <c r="AF18" s="2149"/>
      <c r="AG18" s="2149"/>
      <c r="AH18" s="2149"/>
      <c r="AI18" s="2149"/>
      <c r="AJ18" s="2290"/>
    </row>
    <row r="19" spans="1:36" ht="15.75" customHeight="1" x14ac:dyDescent="0.25">
      <c r="A19" s="3"/>
      <c r="B19" s="60"/>
      <c r="C19" s="497"/>
      <c r="D19" s="12"/>
      <c r="E19" s="12"/>
      <c r="F19" s="12"/>
      <c r="G19" s="12"/>
      <c r="H19" s="12"/>
      <c r="I19" s="12"/>
      <c r="J19" s="12"/>
      <c r="K19" s="12"/>
      <c r="L19" s="498"/>
      <c r="M19" s="3"/>
      <c r="N19" s="3"/>
      <c r="O19" s="3"/>
      <c r="P19" s="3"/>
      <c r="Q19" s="3"/>
      <c r="R19" s="3"/>
      <c r="S19" s="3"/>
      <c r="T19" s="3"/>
      <c r="U19" s="3"/>
      <c r="V19" s="3"/>
      <c r="W19" s="3"/>
      <c r="X19" s="3"/>
      <c r="Y19" s="3"/>
      <c r="Z19" s="3"/>
      <c r="AA19" s="3"/>
      <c r="AB19" s="3"/>
      <c r="AC19" s="3"/>
      <c r="AD19" s="3"/>
      <c r="AE19" s="3"/>
      <c r="AF19" s="3"/>
      <c r="AG19" s="3"/>
      <c r="AH19" s="3"/>
      <c r="AI19" s="3"/>
    </row>
    <row r="20" spans="1:36" ht="15.75" customHeight="1" x14ac:dyDescent="0.25">
      <c r="A20" s="3"/>
      <c r="B20" s="60"/>
      <c r="C20" s="588" t="s">
        <v>1145</v>
      </c>
      <c r="D20" s="3"/>
      <c r="E20" s="3"/>
      <c r="F20" s="3"/>
      <c r="G20" s="3"/>
      <c r="H20" s="3"/>
      <c r="I20" s="3"/>
      <c r="J20" s="3"/>
      <c r="K20" s="3"/>
      <c r="L20" s="30"/>
      <c r="M20" s="3"/>
      <c r="N20" s="3"/>
      <c r="O20" s="3"/>
      <c r="P20" s="3"/>
      <c r="Q20" s="3"/>
      <c r="R20" s="3"/>
      <c r="S20" s="3"/>
      <c r="T20" s="3"/>
      <c r="U20" s="3"/>
      <c r="V20" s="3"/>
      <c r="W20" s="3"/>
      <c r="X20" s="3"/>
      <c r="Y20" s="3"/>
      <c r="Z20" s="3"/>
      <c r="AA20" s="3"/>
      <c r="AB20" s="3"/>
      <c r="AC20" s="3"/>
      <c r="AD20" s="3"/>
      <c r="AE20" s="3"/>
      <c r="AF20" s="3"/>
      <c r="AG20" s="3"/>
      <c r="AH20" s="3"/>
      <c r="AI20" s="3"/>
    </row>
    <row r="21" spans="1:36" ht="57" customHeight="1" x14ac:dyDescent="0.25">
      <c r="A21" s="3"/>
      <c r="B21" s="60"/>
      <c r="C21" s="28"/>
      <c r="D21" s="1356" t="s">
        <v>1146</v>
      </c>
      <c r="E21" s="1427"/>
      <c r="F21" s="1356" t="s">
        <v>1147</v>
      </c>
      <c r="G21" s="1429"/>
      <c r="H21" s="1356" t="s">
        <v>1149</v>
      </c>
      <c r="I21" s="1429"/>
      <c r="J21" s="1427" t="s">
        <v>686</v>
      </c>
      <c r="K21" s="1429"/>
      <c r="L21" s="1430" t="s">
        <v>1150</v>
      </c>
      <c r="M21" s="3"/>
      <c r="N21" s="3"/>
      <c r="O21" s="3"/>
      <c r="P21" s="3"/>
      <c r="Q21" s="3"/>
      <c r="R21" s="3"/>
      <c r="S21" s="3"/>
      <c r="T21" s="3"/>
      <c r="U21" s="3"/>
      <c r="V21" s="3"/>
      <c r="W21" s="3"/>
      <c r="X21" s="3"/>
      <c r="Y21" s="3"/>
      <c r="Z21" s="3"/>
      <c r="AA21" s="3"/>
      <c r="AB21" s="3"/>
      <c r="AC21" s="3"/>
      <c r="AD21" s="3"/>
      <c r="AE21" s="3"/>
      <c r="AF21" s="3"/>
      <c r="AG21" s="3"/>
      <c r="AH21" s="3"/>
      <c r="AI21" s="3"/>
    </row>
    <row r="22" spans="1:36" ht="15.75" customHeight="1" x14ac:dyDescent="0.25">
      <c r="A22" s="3"/>
      <c r="B22" s="60"/>
      <c r="C22" s="1431">
        <v>2011</v>
      </c>
      <c r="D22" s="1048">
        <v>7</v>
      </c>
      <c r="E22" s="864" t="s">
        <v>904</v>
      </c>
      <c r="F22" s="1053">
        <v>1</v>
      </c>
      <c r="G22" s="864" t="s">
        <v>889</v>
      </c>
      <c r="H22" s="624">
        <f>IF(ISERROR(D22*F22),0,D22*F22)</f>
        <v>7</v>
      </c>
      <c r="I22" s="864" t="s">
        <v>889</v>
      </c>
      <c r="J22" s="624">
        <f>H22*$P$9*12/44</f>
        <v>46390.909090909088</v>
      </c>
      <c r="K22" s="864" t="s">
        <v>889</v>
      </c>
      <c r="L22" s="752">
        <f>J22/(12/44)</f>
        <v>170100</v>
      </c>
      <c r="M22" s="3"/>
      <c r="N22" s="3"/>
      <c r="O22" s="3"/>
      <c r="P22" s="3"/>
      <c r="Q22" s="3"/>
      <c r="R22" s="3"/>
      <c r="S22" s="3"/>
      <c r="T22" s="3"/>
      <c r="U22" s="3"/>
      <c r="V22" s="3"/>
      <c r="W22" s="3"/>
      <c r="X22" s="3"/>
      <c r="Y22" s="3"/>
      <c r="Z22" s="3"/>
      <c r="AA22" s="3"/>
      <c r="AB22" s="3"/>
      <c r="AC22" s="3"/>
      <c r="AD22" s="3"/>
      <c r="AE22" s="3"/>
      <c r="AF22" s="3"/>
      <c r="AG22" s="3"/>
      <c r="AH22" s="3"/>
      <c r="AI22" s="3"/>
    </row>
    <row r="23" spans="1:36" ht="15.75" customHeight="1" x14ac:dyDescent="0.25">
      <c r="A23" s="3"/>
      <c r="B23" s="60"/>
      <c r="C23" s="497"/>
      <c r="D23" s="12"/>
      <c r="E23" s="12"/>
      <c r="F23" s="12"/>
      <c r="G23" s="12"/>
      <c r="H23" s="12"/>
      <c r="I23" s="12"/>
      <c r="J23" s="12"/>
      <c r="K23" s="12"/>
      <c r="L23" s="498"/>
      <c r="M23" s="3"/>
      <c r="N23" s="3"/>
      <c r="O23" s="3"/>
      <c r="P23" s="3"/>
      <c r="Q23" s="3"/>
      <c r="R23" s="3"/>
      <c r="S23" s="3"/>
      <c r="T23" s="3"/>
      <c r="U23" s="3"/>
      <c r="V23" s="3"/>
      <c r="W23" s="3"/>
      <c r="X23" s="3"/>
      <c r="Y23" s="3"/>
      <c r="Z23" s="3"/>
      <c r="AA23" s="3"/>
      <c r="AB23" s="3"/>
      <c r="AC23" s="3"/>
      <c r="AD23" s="3"/>
      <c r="AE23" s="3"/>
      <c r="AF23" s="3"/>
      <c r="AG23" s="3"/>
      <c r="AH23" s="3"/>
      <c r="AI23" s="3"/>
    </row>
    <row r="24" spans="1:36" ht="15.75" customHeight="1" x14ac:dyDescent="0.25">
      <c r="A24" s="3"/>
      <c r="B24" s="60"/>
      <c r="C24" s="497"/>
      <c r="D24" s="12"/>
      <c r="E24" s="12"/>
      <c r="F24" s="12"/>
      <c r="G24" s="12"/>
      <c r="H24" s="12"/>
      <c r="I24" s="12"/>
      <c r="J24" s="12"/>
      <c r="K24" s="12"/>
      <c r="L24" s="498"/>
      <c r="M24" s="3"/>
      <c r="N24" s="3"/>
      <c r="O24" s="3"/>
      <c r="P24" s="3"/>
      <c r="Q24" s="3"/>
      <c r="R24" s="3"/>
      <c r="S24" s="3"/>
      <c r="T24" s="3"/>
      <c r="U24" s="3"/>
      <c r="V24" s="3"/>
      <c r="W24" s="3"/>
      <c r="X24" s="3"/>
      <c r="Y24" s="3"/>
      <c r="Z24" s="3"/>
      <c r="AA24" s="3"/>
      <c r="AB24" s="3"/>
      <c r="AC24" s="3"/>
      <c r="AD24" s="3"/>
      <c r="AE24" s="3"/>
      <c r="AF24" s="3"/>
      <c r="AG24" s="3"/>
      <c r="AH24" s="3"/>
      <c r="AI24" s="3"/>
    </row>
    <row r="25" spans="1:36" ht="15.75" customHeight="1" x14ac:dyDescent="0.25">
      <c r="A25" s="3"/>
      <c r="B25" s="60"/>
      <c r="C25" s="588" t="s">
        <v>1159</v>
      </c>
      <c r="D25" s="3"/>
      <c r="E25" s="3"/>
      <c r="F25" s="3"/>
      <c r="G25" s="3"/>
      <c r="H25" s="3"/>
      <c r="I25" s="3"/>
      <c r="J25" s="3"/>
      <c r="K25" s="3"/>
      <c r="L25" s="30"/>
      <c r="M25" s="3"/>
      <c r="N25" s="3"/>
      <c r="O25" s="3"/>
      <c r="P25" s="3"/>
      <c r="Q25" s="3"/>
      <c r="R25" s="3"/>
      <c r="S25" s="3"/>
      <c r="T25" s="3"/>
      <c r="U25" s="3"/>
      <c r="V25" s="3"/>
      <c r="W25" s="3"/>
      <c r="X25" s="3"/>
      <c r="Y25" s="3"/>
      <c r="Z25" s="3"/>
      <c r="AA25" s="3"/>
      <c r="AB25" s="3"/>
      <c r="AC25" s="3"/>
      <c r="AD25" s="3"/>
      <c r="AE25" s="3"/>
      <c r="AF25" s="3"/>
      <c r="AG25" s="3"/>
      <c r="AH25" s="3"/>
      <c r="AI25" s="3"/>
    </row>
    <row r="26" spans="1:36" ht="60" customHeight="1" x14ac:dyDescent="0.25">
      <c r="A26" s="3"/>
      <c r="B26" s="60"/>
      <c r="C26" s="28"/>
      <c r="D26" s="1356" t="s">
        <v>1160</v>
      </c>
      <c r="E26" s="1427"/>
      <c r="F26" s="1356" t="s">
        <v>1161</v>
      </c>
      <c r="G26" s="1429"/>
      <c r="H26" s="3"/>
      <c r="I26" s="3"/>
      <c r="J26" s="1356" t="s">
        <v>957</v>
      </c>
      <c r="K26" s="1429"/>
      <c r="L26" s="1430" t="s">
        <v>1162</v>
      </c>
      <c r="M26" s="3"/>
      <c r="N26" s="3"/>
      <c r="O26" s="3"/>
      <c r="P26" s="3"/>
      <c r="Q26" s="3"/>
      <c r="R26" s="3"/>
      <c r="S26" s="3"/>
      <c r="T26" s="3"/>
      <c r="U26" s="3"/>
      <c r="V26" s="3"/>
      <c r="W26" s="3"/>
      <c r="X26" s="3"/>
      <c r="Y26" s="3"/>
      <c r="Z26" s="3"/>
      <c r="AA26" s="3"/>
      <c r="AB26" s="3"/>
      <c r="AC26" s="3"/>
      <c r="AD26" s="3"/>
      <c r="AE26" s="3"/>
      <c r="AF26" s="3"/>
      <c r="AG26" s="3"/>
      <c r="AH26" s="3"/>
      <c r="AI26" s="3"/>
    </row>
    <row r="27" spans="1:36" ht="15.75" customHeight="1" x14ac:dyDescent="0.25">
      <c r="A27" s="3"/>
      <c r="B27" s="60"/>
      <c r="C27" s="1431">
        <v>2011</v>
      </c>
      <c r="D27" s="1048">
        <v>0</v>
      </c>
      <c r="E27" s="864" t="s">
        <v>904</v>
      </c>
      <c r="F27" s="1037">
        <v>0.42545454545454542</v>
      </c>
      <c r="G27" s="864" t="s">
        <v>889</v>
      </c>
      <c r="H27" s="3"/>
      <c r="I27" s="3"/>
      <c r="J27" s="624">
        <f>IF(ISERROR(D27*F27),0,D27*F27)</f>
        <v>0</v>
      </c>
      <c r="K27" s="864" t="s">
        <v>889</v>
      </c>
      <c r="L27" s="752">
        <f>J27/(12/44)</f>
        <v>0</v>
      </c>
      <c r="M27" s="3"/>
      <c r="N27" s="3"/>
      <c r="O27" s="3"/>
      <c r="P27" s="3"/>
      <c r="Q27" s="3"/>
      <c r="R27" s="3"/>
      <c r="S27" s="3"/>
      <c r="T27" s="3"/>
      <c r="U27" s="3"/>
      <c r="V27" s="3"/>
      <c r="W27" s="3"/>
      <c r="X27" s="3"/>
      <c r="Y27" s="3"/>
      <c r="Z27" s="3"/>
      <c r="AA27" s="3"/>
      <c r="AB27" s="3"/>
      <c r="AC27" s="3"/>
      <c r="AD27" s="3"/>
      <c r="AE27" s="3"/>
      <c r="AF27" s="3"/>
      <c r="AG27" s="3"/>
      <c r="AH27" s="3"/>
      <c r="AI27" s="3"/>
    </row>
    <row r="28" spans="1:36" ht="15.75" customHeight="1" x14ac:dyDescent="0.25">
      <c r="A28" s="3"/>
      <c r="B28" s="60"/>
      <c r="C28" s="497"/>
      <c r="D28" s="12"/>
      <c r="E28" s="12"/>
      <c r="F28" s="12"/>
      <c r="G28" s="12"/>
      <c r="H28" s="12"/>
      <c r="I28" s="12"/>
      <c r="J28" s="12"/>
      <c r="K28" s="12"/>
      <c r="L28" s="498"/>
      <c r="M28" s="3"/>
      <c r="N28" s="3"/>
      <c r="O28" s="3"/>
      <c r="P28" s="3"/>
      <c r="Q28" s="3"/>
      <c r="R28" s="3"/>
      <c r="S28" s="3"/>
      <c r="T28" s="3"/>
      <c r="U28" s="3"/>
      <c r="V28" s="3"/>
      <c r="W28" s="3"/>
      <c r="X28" s="3"/>
      <c r="Y28" s="3"/>
      <c r="Z28" s="3"/>
      <c r="AA28" s="3"/>
      <c r="AB28" s="3"/>
      <c r="AC28" s="3"/>
      <c r="AD28" s="3"/>
      <c r="AE28" s="3"/>
      <c r="AF28" s="3"/>
      <c r="AG28" s="3"/>
      <c r="AH28" s="3"/>
      <c r="AI28" s="3"/>
    </row>
    <row r="29" spans="1:36" ht="15.75" customHeight="1" x14ac:dyDescent="0.25">
      <c r="A29" s="3"/>
      <c r="B29" s="60"/>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row>
    <row r="30" spans="1:36" ht="15.75" customHeight="1" x14ac:dyDescent="0.25">
      <c r="A30" s="3"/>
      <c r="B30" s="60"/>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row>
    <row r="31" spans="1:36" ht="15.75" customHeight="1" x14ac:dyDescent="0.25">
      <c r="A31" s="3"/>
      <c r="B31" s="60"/>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row>
    <row r="32" spans="1:36" ht="15.75" customHeight="1" x14ac:dyDescent="0.25">
      <c r="A32" s="3"/>
      <c r="B32" s="60"/>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row>
    <row r="33" spans="1:35" ht="15.75" customHeight="1" x14ac:dyDescent="0.25">
      <c r="A33" s="3"/>
      <c r="B33" s="60"/>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row>
    <row r="34" spans="1:35" ht="15.75" customHeight="1" x14ac:dyDescent="0.25">
      <c r="A34" s="3"/>
      <c r="B34" s="3"/>
      <c r="C34" s="1453"/>
      <c r="D34" s="1454">
        <v>2011</v>
      </c>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row>
    <row r="35" spans="1:35" ht="15.75" customHeight="1" x14ac:dyDescent="0.25">
      <c r="A35" s="3"/>
      <c r="B35" s="3"/>
      <c r="C35" s="1457" t="s">
        <v>1172</v>
      </c>
      <c r="D35" s="1460">
        <f>D36+D37+D38+D39+D40+D41</f>
        <v>126920.95855</v>
      </c>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row>
    <row r="36" spans="1:35" ht="15.75" customHeight="1" x14ac:dyDescent="0.25">
      <c r="A36" s="3"/>
      <c r="B36" s="3"/>
      <c r="C36" s="1463" t="s">
        <v>331</v>
      </c>
      <c r="D36" s="1464">
        <v>0</v>
      </c>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row>
    <row r="37" spans="1:35" ht="15.75" customHeight="1" x14ac:dyDescent="0.25">
      <c r="A37" s="3"/>
      <c r="B37" s="3"/>
      <c r="C37" s="1463" t="s">
        <v>1173</v>
      </c>
      <c r="D37" s="1464">
        <v>0</v>
      </c>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row>
    <row r="38" spans="1:35" ht="15.75" customHeight="1" x14ac:dyDescent="0.25">
      <c r="A38" s="3"/>
      <c r="B38" s="3"/>
      <c r="C38" s="1463" t="s">
        <v>1098</v>
      </c>
      <c r="D38" s="1464">
        <f>J5</f>
        <v>85604.64</v>
      </c>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row>
    <row r="39" spans="1:35" ht="15.75" customHeight="1" x14ac:dyDescent="0.25">
      <c r="A39" s="3"/>
      <c r="B39" s="3"/>
      <c r="C39" s="1463" t="s">
        <v>1174</v>
      </c>
      <c r="D39" s="1464">
        <f>J12</f>
        <v>40365.128549999994</v>
      </c>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row>
    <row r="40" spans="1:35" ht="15.75" customHeight="1" x14ac:dyDescent="0.25">
      <c r="A40" s="3"/>
      <c r="B40" s="3"/>
      <c r="C40" s="1463" t="s">
        <v>1175</v>
      </c>
      <c r="D40" s="1464">
        <f>L17</f>
        <v>951.18999999999994</v>
      </c>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row>
    <row r="41" spans="1:35" ht="15.75" customHeight="1" x14ac:dyDescent="0.25">
      <c r="A41" s="3"/>
      <c r="B41" s="3"/>
      <c r="C41" s="1463" t="s">
        <v>1176</v>
      </c>
      <c r="D41" s="1464">
        <v>0</v>
      </c>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row>
    <row r="42" spans="1:35" ht="15.75" customHeight="1" x14ac:dyDescent="0.25">
      <c r="A42" s="3"/>
      <c r="B42" s="3"/>
      <c r="C42" s="1465" t="s">
        <v>1177</v>
      </c>
      <c r="D42" s="1466">
        <f>D43+D44</f>
        <v>0</v>
      </c>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row>
    <row r="43" spans="1:35" ht="15.75" customHeight="1" x14ac:dyDescent="0.25">
      <c r="A43" s="3"/>
      <c r="B43" s="3"/>
      <c r="C43" s="1463" t="s">
        <v>1178</v>
      </c>
      <c r="D43" s="1464">
        <v>0</v>
      </c>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row>
    <row r="44" spans="1:35" ht="15.75" customHeight="1" x14ac:dyDescent="0.25">
      <c r="A44" s="3"/>
      <c r="B44" s="3"/>
      <c r="C44" s="1463" t="s">
        <v>1179</v>
      </c>
      <c r="D44" s="1464">
        <v>0</v>
      </c>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row>
    <row r="45" spans="1:35" ht="15.75" customHeight="1" x14ac:dyDescent="0.25">
      <c r="A45" s="3"/>
      <c r="B45" s="3"/>
      <c r="C45" s="1467" t="s">
        <v>1180</v>
      </c>
      <c r="D45" s="1468">
        <f>D46+D47+D48+D49+D50</f>
        <v>170100</v>
      </c>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row>
    <row r="46" spans="1:35" ht="15.75" customHeight="1" x14ac:dyDescent="0.25">
      <c r="A46" s="3"/>
      <c r="B46" s="3"/>
      <c r="C46" s="1463" t="s">
        <v>384</v>
      </c>
      <c r="D46" s="1464">
        <v>0</v>
      </c>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row>
    <row r="47" spans="1:35" ht="15.75" customHeight="1" x14ac:dyDescent="0.25">
      <c r="A47" s="3"/>
      <c r="B47" s="3"/>
      <c r="C47" s="1463" t="s">
        <v>1181</v>
      </c>
      <c r="D47" s="1464">
        <v>0</v>
      </c>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row>
    <row r="48" spans="1:35" ht="30" customHeight="1" x14ac:dyDescent="0.25">
      <c r="A48" s="3"/>
      <c r="B48" s="3"/>
      <c r="C48" s="1287" t="s">
        <v>1182</v>
      </c>
      <c r="D48" s="1464">
        <f>L22</f>
        <v>170100</v>
      </c>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row>
    <row r="49" spans="1:35" ht="15.75" customHeight="1" x14ac:dyDescent="0.25">
      <c r="A49" s="3"/>
      <c r="B49" s="3"/>
      <c r="C49" s="1463" t="s">
        <v>1183</v>
      </c>
      <c r="D49" s="1464">
        <v>0</v>
      </c>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row>
    <row r="50" spans="1:35" ht="15.75" customHeight="1" x14ac:dyDescent="0.25">
      <c r="A50" s="3"/>
      <c r="B50" s="3"/>
      <c r="C50" s="1463" t="s">
        <v>395</v>
      </c>
      <c r="D50" s="1464">
        <f>L27</f>
        <v>0</v>
      </c>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row>
    <row r="51" spans="1:35" ht="15.75" customHeight="1" x14ac:dyDescent="0.25">
      <c r="A51" s="3"/>
      <c r="B51" s="3"/>
      <c r="C51" s="1469" t="s">
        <v>1184</v>
      </c>
      <c r="D51" s="1470">
        <f>D35+D42+D45</f>
        <v>297020.95854999998</v>
      </c>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row>
    <row r="52" spans="1:35" ht="15.75" customHeight="1" x14ac:dyDescent="0.25">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row>
    <row r="53" spans="1:35" ht="15.75" customHeight="1" x14ac:dyDescent="0.25">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row>
    <row r="54" spans="1:35" ht="15.75" customHeight="1" x14ac:dyDescent="0.25">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row>
    <row r="55" spans="1:35" ht="15.75" customHeight="1" x14ac:dyDescent="0.25">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row>
    <row r="56" spans="1:35" ht="15.75" customHeight="1" x14ac:dyDescent="0.25">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row>
    <row r="57" spans="1:35" ht="15.75" customHeight="1" x14ac:dyDescent="0.25">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row>
    <row r="58" spans="1:35" ht="15.75" customHeight="1" x14ac:dyDescent="0.25">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row>
    <row r="59" spans="1:35" ht="15.75" customHeight="1" x14ac:dyDescent="0.25">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row>
    <row r="60" spans="1:35" ht="15.75" customHeight="1" x14ac:dyDescent="0.25">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row>
    <row r="61" spans="1:35" ht="15.75" customHeight="1" x14ac:dyDescent="0.25">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row>
    <row r="62" spans="1:35" ht="15.75" customHeight="1" x14ac:dyDescent="0.25">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row>
    <row r="63" spans="1:35" ht="15.75" customHeight="1" x14ac:dyDescent="0.25">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row>
    <row r="64" spans="1:35" ht="15.75" customHeight="1" x14ac:dyDescent="0.25">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row>
    <row r="65" spans="1:35" ht="15.75" customHeight="1" x14ac:dyDescent="0.25">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row>
    <row r="66" spans="1:35" ht="15.75" customHeight="1" x14ac:dyDescent="0.25">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row>
    <row r="67" spans="1:35" ht="15.75" customHeight="1" x14ac:dyDescent="0.25">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row>
    <row r="68" spans="1:35" ht="15.75" customHeight="1" x14ac:dyDescent="0.25">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row>
    <row r="69" spans="1:35" ht="15.75" customHeight="1" x14ac:dyDescent="0.25">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row>
    <row r="70" spans="1:35" ht="15.75" customHeight="1" x14ac:dyDescent="0.25">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row>
    <row r="71" spans="1:35" ht="15.75" customHeight="1" x14ac:dyDescent="0.25">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row>
    <row r="72" spans="1:35" ht="15.75" customHeight="1" x14ac:dyDescent="0.25">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row>
    <row r="73" spans="1:35" ht="15.75" customHeight="1" x14ac:dyDescent="0.25">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row>
    <row r="74" spans="1:35" ht="15.75" customHeight="1" x14ac:dyDescent="0.25">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row>
    <row r="75" spans="1:35" ht="15.75" customHeight="1" x14ac:dyDescent="0.25">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row>
    <row r="76" spans="1:35" ht="15.75" customHeight="1" x14ac:dyDescent="0.25">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row>
    <row r="77" spans="1:35" ht="15.75" customHeight="1" x14ac:dyDescent="0.25">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row>
    <row r="78" spans="1:35" ht="15.75" customHeight="1" x14ac:dyDescent="0.25">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row>
    <row r="79" spans="1:35" ht="15.75" customHeight="1" x14ac:dyDescent="0.25">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row>
    <row r="80" spans="1:35" ht="15.75" customHeight="1" x14ac:dyDescent="0.25">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row>
    <row r="81" spans="1:35" ht="15.75" customHeight="1" x14ac:dyDescent="0.25">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row>
    <row r="82" spans="1:35" ht="15.75" customHeight="1" x14ac:dyDescent="0.25">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row>
    <row r="83" spans="1:35" ht="15.75" customHeight="1" x14ac:dyDescent="0.25">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row>
    <row r="84" spans="1:35" ht="15.75" customHeight="1" x14ac:dyDescent="0.25">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row>
    <row r="85" spans="1:35" ht="15.75" customHeight="1" x14ac:dyDescent="0.25">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row>
    <row r="86" spans="1:35" ht="15.75" customHeight="1" x14ac:dyDescent="0.25">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row>
    <row r="87" spans="1:35" ht="15.75" customHeight="1" x14ac:dyDescent="0.25">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row>
    <row r="88" spans="1:35" ht="15.75" customHeight="1" x14ac:dyDescent="0.25">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row>
    <row r="89" spans="1:35" ht="15.7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row>
    <row r="90" spans="1:35" ht="15.75" customHeight="1" x14ac:dyDescent="0.25">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row>
    <row r="91" spans="1:35" ht="15.75" customHeight="1" x14ac:dyDescent="0.25">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row>
    <row r="92" spans="1:35" ht="15.75" customHeight="1" x14ac:dyDescent="0.25">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row>
    <row r="93" spans="1:35" ht="15.75" customHeight="1" x14ac:dyDescent="0.25">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row>
    <row r="94" spans="1:35" ht="15.75" customHeight="1" x14ac:dyDescent="0.25">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row>
    <row r="95" spans="1:35" ht="15.75" customHeight="1" x14ac:dyDescent="0.25">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row>
    <row r="96" spans="1:35" ht="15.75" customHeight="1" x14ac:dyDescent="0.25">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row>
    <row r="97" spans="1:35" ht="15.75" customHeight="1" x14ac:dyDescent="0.25">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row>
    <row r="98" spans="1:35" ht="15.75" customHeight="1" x14ac:dyDescent="0.25">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row>
    <row r="99" spans="1:35" ht="15.75" customHeight="1" x14ac:dyDescent="0.25">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row>
    <row r="100" spans="1:35" ht="15.75" customHeight="1"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row>
    <row r="101" spans="1:35" ht="15.75" customHeight="1"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row>
    <row r="102" spans="1:35" ht="15.75"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row>
    <row r="103" spans="1:35" ht="15.75" customHeight="1"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row>
    <row r="104" spans="1:35" ht="15.75"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row>
    <row r="105" spans="1:35" ht="15.75" customHeight="1"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row>
    <row r="106" spans="1:35" ht="15.75" customHeight="1"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row>
    <row r="107" spans="1:35" ht="15.75" customHeight="1"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row>
    <row r="108" spans="1:35" ht="15.75" customHeight="1"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row>
    <row r="109" spans="1:35" ht="15.75" customHeight="1"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row>
    <row r="110" spans="1:35" ht="15.75" customHeight="1"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row>
    <row r="111" spans="1:35" ht="15.75" customHeight="1"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row>
    <row r="112" spans="1:35" ht="15.75" customHeight="1"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row>
    <row r="113" spans="1:35" ht="15.75" customHeight="1"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row>
    <row r="114" spans="1:35" ht="15.75" customHeight="1"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row>
    <row r="115" spans="1:35" ht="15.75" customHeight="1"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row>
    <row r="116" spans="1:35" ht="15.75" customHeight="1"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row>
    <row r="117" spans="1:35" ht="15.75" customHeight="1"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row>
    <row r="118" spans="1:35" ht="15.75" customHeight="1"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row>
    <row r="119" spans="1:35" ht="15.75" customHeight="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row>
    <row r="120" spans="1:35" ht="15.75" customHeight="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row>
    <row r="121" spans="1:35" ht="15.75" customHeight="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row>
    <row r="122" spans="1:35" ht="15.75" customHeight="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row>
    <row r="123" spans="1:35" ht="15.75" customHeight="1"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row>
    <row r="124" spans="1:35" ht="15.75" customHeight="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row>
    <row r="125" spans="1:35" ht="15.75" customHeight="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row>
    <row r="126" spans="1:35" ht="15.75" customHeight="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row>
    <row r="127" spans="1:35" ht="15.75" customHeight="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row>
    <row r="128" spans="1:35" ht="15.75" customHeight="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row>
    <row r="129" spans="1:35" ht="15.75" customHeight="1"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row>
    <row r="130" spans="1:35" ht="15.75" customHeight="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row>
    <row r="131" spans="1:35" ht="15.75" customHeight="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row>
    <row r="132" spans="1:35" ht="15.75" customHeight="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row>
    <row r="133" spans="1:35" ht="15.75" customHeight="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row>
    <row r="134" spans="1:35" ht="15.75" customHeight="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row>
    <row r="135" spans="1:35" ht="15.75" customHeight="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row>
    <row r="136" spans="1:35" ht="15.75"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row>
    <row r="137" spans="1:35" ht="15.75"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row>
    <row r="138" spans="1:35" ht="15.75"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row>
    <row r="139" spans="1:35" ht="15.75"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row>
    <row r="140" spans="1:35" ht="15.7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row>
    <row r="141" spans="1:35" ht="15.75" customHeight="1"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row>
    <row r="142" spans="1:35" ht="15.7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row>
    <row r="143" spans="1:35" ht="15.75"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row>
    <row r="144" spans="1:35" ht="15.75"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row>
    <row r="145" spans="1:35" ht="15.75"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row>
    <row r="146" spans="1:35" ht="15.75"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row>
    <row r="147" spans="1:35" ht="15.75" customHeight="1"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row>
    <row r="148" spans="1:35" ht="15.75"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row>
    <row r="149" spans="1:35" ht="15.75"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row>
    <row r="150" spans="1:35" ht="15.75"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row>
    <row r="151" spans="1:35" ht="15.75"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row>
    <row r="152" spans="1:35" ht="15.75"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row>
    <row r="153" spans="1:35" ht="15.75" customHeight="1"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row>
    <row r="154" spans="1:35" ht="15.75"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row>
    <row r="155" spans="1:35" ht="15.75"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row>
    <row r="156" spans="1:35" ht="15.75"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row>
    <row r="157" spans="1:35" ht="15.75"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row>
    <row r="158" spans="1:35" ht="15.75"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row>
    <row r="159" spans="1:35" ht="15.75" customHeight="1"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row>
    <row r="160" spans="1:35" ht="15.75"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row>
    <row r="161" spans="1:35" ht="15.7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row>
    <row r="162" spans="1:35" ht="15.75"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row>
    <row r="163" spans="1:35" ht="15.75"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row>
    <row r="164" spans="1:35" ht="15.75"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row>
    <row r="165" spans="1:35" ht="15.75" customHeight="1"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row>
    <row r="166" spans="1:35" ht="15.75"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row>
    <row r="167" spans="1:35" ht="15.75"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row>
    <row r="168" spans="1:35" ht="15.75"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row>
    <row r="169" spans="1:35" ht="15.75"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row>
    <row r="170" spans="1:35" ht="15.75"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row>
    <row r="171" spans="1:35" ht="15.75" customHeight="1"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row>
    <row r="172" spans="1:35" ht="15.75"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row>
    <row r="173" spans="1:35" ht="15.75"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row>
    <row r="174" spans="1:35" ht="15.75"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row>
    <row r="175" spans="1:35" ht="15.75"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row>
    <row r="176" spans="1:35" ht="15.75"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row>
    <row r="177" spans="1:35" ht="15.75" customHeight="1"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row>
    <row r="178" spans="1:35" ht="15.75"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row>
    <row r="179" spans="1:35" ht="15.75"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row>
    <row r="180" spans="1:35" ht="15.7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row>
    <row r="181" spans="1:35" ht="15.7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row>
    <row r="182" spans="1:35" ht="15.7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row>
    <row r="183" spans="1:35" ht="15.75"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row>
    <row r="184" spans="1:35" ht="15.7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row>
    <row r="185" spans="1:35" ht="15.7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row>
    <row r="186" spans="1:35" ht="15.7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row>
    <row r="187" spans="1:35" ht="15.7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row>
    <row r="188" spans="1:35" ht="15.7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row>
    <row r="189" spans="1:35" ht="15.7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row>
    <row r="190" spans="1:35" ht="15.7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row>
    <row r="191" spans="1:35" ht="15.7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row>
    <row r="192" spans="1:35" ht="15.7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row>
    <row r="193" spans="1:35" ht="15.7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row>
    <row r="194" spans="1:35" ht="15.7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row>
    <row r="195" spans="1:35" ht="15.7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row>
    <row r="196" spans="1:35" ht="15.7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row>
    <row r="197" spans="1:35" ht="15.7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row>
    <row r="198" spans="1:35" ht="15.7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row>
    <row r="199" spans="1:35" ht="15.7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row>
    <row r="200" spans="1:35" ht="15.7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row>
    <row r="201" spans="1:35" ht="15.7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row>
    <row r="202" spans="1:35" ht="15.7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row>
    <row r="203" spans="1:35" ht="15.7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row>
    <row r="204" spans="1:35" ht="15.7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row>
    <row r="205" spans="1:35"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row>
    <row r="206" spans="1:35"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row>
    <row r="207" spans="1:35"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row>
    <row r="208" spans="1:35"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row>
    <row r="209" spans="1:35"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row>
    <row r="210" spans="1:35"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row>
    <row r="211" spans="1:35"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row>
    <row r="212" spans="1:35"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row>
    <row r="213" spans="1:35"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row>
    <row r="214" spans="1:35"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row>
    <row r="215" spans="1:35"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row>
    <row r="216" spans="1:35"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row>
    <row r="217" spans="1:35"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row>
    <row r="218" spans="1:35"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row>
    <row r="219" spans="1:35"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row>
    <row r="220" spans="1:35"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row>
    <row r="221" spans="1:35" ht="15.7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row>
    <row r="222" spans="1:35" ht="15.7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row>
    <row r="223" spans="1:35" ht="15.7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row>
    <row r="224" spans="1:35" ht="15.7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row>
    <row r="225" spans="1:35" ht="15.7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row>
    <row r="226" spans="1:35" ht="15.7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row>
    <row r="227" spans="1:35" ht="15.7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row>
    <row r="228" spans="1:35" ht="15.7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row>
    <row r="229" spans="1:35" ht="15.7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row>
    <row r="230" spans="1:35" ht="15.7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row>
    <row r="231" spans="1:35" ht="15.7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row>
    <row r="232" spans="1:35" ht="15.7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row>
    <row r="233" spans="1:35" ht="15.7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row>
    <row r="234" spans="1:35" ht="15.7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row>
    <row r="235" spans="1:35" ht="15.7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row>
    <row r="236" spans="1:35" ht="15.7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row>
    <row r="237" spans="1:35" ht="15.7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row>
    <row r="238" spans="1:35" ht="15.7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row>
    <row r="239" spans="1:35" ht="15.7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row>
    <row r="240" spans="1:35" ht="15.7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row>
    <row r="241" spans="1:35" ht="15.7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row>
    <row r="242" spans="1:35" ht="15.7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row>
    <row r="243" spans="1:35" ht="15.7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row>
    <row r="244" spans="1:35" ht="15.7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row>
    <row r="245" spans="1:35" ht="15.7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row>
    <row r="246" spans="1:35" ht="15.7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row>
    <row r="247" spans="1:35" ht="15.7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row>
    <row r="248" spans="1:35" ht="15.7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row>
    <row r="249" spans="1:35" ht="15.7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row>
    <row r="250" spans="1:35" ht="15.7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row>
    <row r="251" spans="1:35" ht="15.75" customHeight="1"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row>
    <row r="252" spans="1:35" ht="15.75" customHeight="1" x14ac:dyDescent="0.2"/>
    <row r="253" spans="1:35" ht="15.75" customHeight="1" x14ac:dyDescent="0.2"/>
    <row r="254" spans="1:35" ht="15.75" customHeight="1" x14ac:dyDescent="0.2"/>
    <row r="255" spans="1:35" ht="15.75" customHeight="1" x14ac:dyDescent="0.2"/>
    <row r="256" spans="1:35"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sheetData>
  <mergeCells count="1">
    <mergeCell ref="O4:P4"/>
  </mergeCells>
  <pageMargins left="0.7" right="0.7" top="0.75" bottom="0.75" header="0" footer="0"/>
  <pageSetup orientation="landscape" r:id="rId1"/>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4465E-0A24-45E2-9EBA-9FB76AB17C16}">
  <dimension ref="A1:AM1000"/>
  <sheetViews>
    <sheetView workbookViewId="0"/>
  </sheetViews>
  <sheetFormatPr defaultColWidth="16.83203125" defaultRowHeight="11.25" x14ac:dyDescent="0.2"/>
  <cols>
    <col min="1" max="1" width="6" customWidth="1"/>
    <col min="2" max="2" width="36.83203125" customWidth="1"/>
    <col min="3" max="3" width="20" customWidth="1"/>
    <col min="4" max="4" width="29.33203125" customWidth="1"/>
    <col min="5" max="39" width="14" customWidth="1"/>
  </cols>
  <sheetData>
    <row r="1" spans="1:39" ht="15" x14ac:dyDescent="0.2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row>
    <row r="2" spans="1:39" ht="15.75" x14ac:dyDescent="0.25">
      <c r="A2" s="3"/>
      <c r="B2" s="2355" t="s">
        <v>2013</v>
      </c>
      <c r="C2" s="2356"/>
      <c r="D2" s="2356"/>
      <c r="E2" s="2356"/>
      <c r="F2" s="2356"/>
      <c r="G2" s="2356"/>
      <c r="H2" s="2357"/>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row>
    <row r="3" spans="1:39" ht="15"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row>
    <row r="4" spans="1:39" ht="15"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row>
    <row r="5" spans="1:39" ht="15" x14ac:dyDescent="0.25">
      <c r="A5" s="3"/>
      <c r="B5" s="2137" t="s">
        <v>2014</v>
      </c>
      <c r="C5" s="2138"/>
      <c r="D5" s="2138"/>
      <c r="E5" s="2138"/>
      <c r="F5" s="2138"/>
      <c r="G5" s="2138"/>
      <c r="H5" s="2138"/>
      <c r="I5" s="2138"/>
      <c r="J5" s="2138"/>
      <c r="K5" s="2138"/>
      <c r="L5" s="2138"/>
      <c r="M5" s="2138"/>
      <c r="N5" s="2138"/>
      <c r="O5" s="2138"/>
      <c r="P5" s="2138"/>
      <c r="Q5" s="2138"/>
      <c r="R5" s="2138"/>
      <c r="S5" s="2138"/>
      <c r="T5" s="2138"/>
      <c r="U5" s="2138"/>
      <c r="V5" s="2138"/>
      <c r="W5" s="2138"/>
      <c r="X5" s="2138"/>
      <c r="Y5" s="2138"/>
      <c r="Z5" s="2138"/>
      <c r="AA5" s="2138"/>
      <c r="AB5" s="2138"/>
      <c r="AC5" s="2138"/>
      <c r="AD5" s="2138"/>
      <c r="AE5" s="2138"/>
      <c r="AF5" s="2138"/>
      <c r="AG5" s="2138"/>
      <c r="AH5" s="2138"/>
      <c r="AI5" s="2138"/>
      <c r="AJ5" s="2138"/>
      <c r="AK5" s="2138"/>
      <c r="AL5" s="2138"/>
      <c r="AM5" s="2139"/>
    </row>
    <row r="6" spans="1:39" ht="15" x14ac:dyDescent="0.25">
      <c r="A6" s="3"/>
      <c r="B6" s="60" t="s">
        <v>2015</v>
      </c>
      <c r="C6" s="3" t="s">
        <v>2016</v>
      </c>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row>
    <row r="7" spans="1:39" ht="15" x14ac:dyDescent="0.25">
      <c r="A7" s="3"/>
      <c r="B7" s="60" t="s">
        <v>2017</v>
      </c>
      <c r="C7" s="3" t="s">
        <v>2018</v>
      </c>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row>
    <row r="8" spans="1:39" ht="15" x14ac:dyDescent="0.25">
      <c r="A8" s="3"/>
      <c r="B8" s="60" t="s">
        <v>2019</v>
      </c>
      <c r="C8" s="3" t="s">
        <v>2020</v>
      </c>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row>
    <row r="9" spans="1:39" ht="15" x14ac:dyDescent="0.25">
      <c r="A9" s="3"/>
      <c r="B9" s="60" t="s">
        <v>2021</v>
      </c>
      <c r="C9" s="3" t="s">
        <v>330</v>
      </c>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row>
    <row r="10" spans="1:39" ht="15" x14ac:dyDescent="0.25">
      <c r="A10" s="3"/>
      <c r="B10" s="60" t="s">
        <v>2022</v>
      </c>
      <c r="C10" s="3" t="s">
        <v>2023</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row>
    <row r="11" spans="1:39" ht="15" x14ac:dyDescent="0.25">
      <c r="A11" s="3"/>
      <c r="B11" s="60" t="s">
        <v>2024</v>
      </c>
      <c r="C11" s="3" t="s">
        <v>2025</v>
      </c>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row>
    <row r="12" spans="1:39" ht="15" x14ac:dyDescent="0.25">
      <c r="A12" s="3"/>
      <c r="B12" s="60" t="s">
        <v>2026</v>
      </c>
      <c r="C12" s="3" t="s">
        <v>1672</v>
      </c>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row>
    <row r="13" spans="1:39" ht="15" x14ac:dyDescent="0.25">
      <c r="A13" s="3"/>
      <c r="B13" s="60" t="s">
        <v>2027</v>
      </c>
      <c r="C13" s="3" t="s">
        <v>2028</v>
      </c>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row>
    <row r="14" spans="1:39" ht="15" x14ac:dyDescent="0.25">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row>
    <row r="15" spans="1:39" ht="15" x14ac:dyDescent="0.25">
      <c r="A15" s="3"/>
      <c r="B15" s="60" t="s">
        <v>2029</v>
      </c>
      <c r="C15" s="60" t="s">
        <v>2030</v>
      </c>
      <c r="D15" s="60" t="s">
        <v>2031</v>
      </c>
      <c r="E15" s="60" t="s">
        <v>2032</v>
      </c>
      <c r="F15" s="60" t="s">
        <v>2033</v>
      </c>
      <c r="G15" s="60" t="s">
        <v>2034</v>
      </c>
      <c r="H15" s="60" t="s">
        <v>2035</v>
      </c>
      <c r="I15" s="60" t="s">
        <v>2036</v>
      </c>
      <c r="J15" s="60" t="s">
        <v>2037</v>
      </c>
      <c r="K15" s="60" t="s">
        <v>2038</v>
      </c>
      <c r="L15" s="60" t="s">
        <v>2039</v>
      </c>
      <c r="M15" s="60" t="s">
        <v>2040</v>
      </c>
      <c r="N15" s="60" t="s">
        <v>2041</v>
      </c>
      <c r="O15" s="60" t="s">
        <v>2042</v>
      </c>
      <c r="P15" s="60" t="s">
        <v>2043</v>
      </c>
      <c r="Q15" s="60" t="s">
        <v>2044</v>
      </c>
      <c r="R15" s="60" t="s">
        <v>2045</v>
      </c>
      <c r="S15" s="60" t="s">
        <v>2046</v>
      </c>
      <c r="T15" s="60" t="s">
        <v>2047</v>
      </c>
      <c r="U15" s="60" t="s">
        <v>2048</v>
      </c>
      <c r="V15" s="60" t="s">
        <v>2049</v>
      </c>
      <c r="W15" s="60" t="s">
        <v>2050</v>
      </c>
      <c r="X15" s="60" t="s">
        <v>2051</v>
      </c>
      <c r="Y15" s="60" t="s">
        <v>2052</v>
      </c>
      <c r="Z15" s="60" t="s">
        <v>2053</v>
      </c>
      <c r="AA15" s="60" t="s">
        <v>2054</v>
      </c>
      <c r="AB15" s="60" t="s">
        <v>2055</v>
      </c>
      <c r="AC15" s="60" t="s">
        <v>2056</v>
      </c>
      <c r="AD15" s="60" t="s">
        <v>2057</v>
      </c>
      <c r="AE15" s="60" t="s">
        <v>2058</v>
      </c>
      <c r="AF15" s="60" t="s">
        <v>2059</v>
      </c>
      <c r="AG15" s="60" t="s">
        <v>2060</v>
      </c>
      <c r="AH15" s="60" t="s">
        <v>2061</v>
      </c>
      <c r="AI15" s="60" t="s">
        <v>2062</v>
      </c>
      <c r="AJ15" s="60" t="s">
        <v>2063</v>
      </c>
      <c r="AK15" s="60" t="s">
        <v>2064</v>
      </c>
      <c r="AL15" s="60" t="s">
        <v>2065</v>
      </c>
      <c r="AM15" s="60"/>
    </row>
    <row r="16" spans="1:39" ht="15" x14ac:dyDescent="0.25">
      <c r="A16" s="3"/>
      <c r="B16" s="3" t="s">
        <v>2066</v>
      </c>
      <c r="C16" s="3" t="s">
        <v>3</v>
      </c>
      <c r="D16" s="3" t="s">
        <v>2067</v>
      </c>
      <c r="E16" s="3">
        <v>1</v>
      </c>
      <c r="F16" s="572">
        <v>0</v>
      </c>
      <c r="G16" s="572">
        <v>0</v>
      </c>
      <c r="H16" s="572">
        <v>0</v>
      </c>
      <c r="I16" s="572">
        <v>0</v>
      </c>
      <c r="J16" s="572">
        <v>0</v>
      </c>
      <c r="K16" s="572">
        <v>0</v>
      </c>
      <c r="L16" s="572">
        <v>0</v>
      </c>
      <c r="M16" s="572">
        <v>0</v>
      </c>
      <c r="N16" s="572">
        <v>9.8519299213394535E-9</v>
      </c>
      <c r="O16" s="572">
        <v>3.1540939323378811E-8</v>
      </c>
      <c r="P16" s="572">
        <v>6.2501428747742371E-8</v>
      </c>
      <c r="Q16" s="572">
        <v>1.018511703728463E-7</v>
      </c>
      <c r="R16" s="572">
        <v>1.4894636659878889E-7</v>
      </c>
      <c r="S16" s="572">
        <v>2.0074600781338119E-7</v>
      </c>
      <c r="T16" s="572">
        <v>2.6107617905303778E-7</v>
      </c>
      <c r="U16" s="572">
        <v>3.2987329132971848E-7</v>
      </c>
      <c r="V16" s="572">
        <v>4.0711289923977971E-7</v>
      </c>
      <c r="W16" s="572">
        <v>4.8314336560554063E-7</v>
      </c>
      <c r="X16" s="572">
        <v>5.5882771452414812E-7</v>
      </c>
      <c r="Y16" s="572">
        <v>6.3589657153355418E-7</v>
      </c>
      <c r="Z16" s="572">
        <v>7.1660050457866461E-7</v>
      </c>
      <c r="AA16" s="572">
        <v>7.9894555566048068E-7</v>
      </c>
      <c r="AB16" s="572">
        <v>8.85221012763728E-7</v>
      </c>
      <c r="AC16" s="572">
        <v>9.7440790019803123E-7</v>
      </c>
      <c r="AD16" s="572">
        <v>1.0670013135791511E-6</v>
      </c>
      <c r="AE16" s="572">
        <v>1.1630521332887881E-6</v>
      </c>
      <c r="AF16" s="572">
        <v>1.261290134713085E-6</v>
      </c>
      <c r="AG16" s="572">
        <v>1.3659550986162041E-6</v>
      </c>
      <c r="AH16" s="572">
        <v>1.4755733918879199E-6</v>
      </c>
      <c r="AI16" s="572">
        <v>1.5902747935584759E-6</v>
      </c>
      <c r="AJ16" s="572">
        <v>1.668144611637901E-6</v>
      </c>
      <c r="AK16" s="572">
        <v>1.7298704460152931E-6</v>
      </c>
      <c r="AL16" s="572">
        <v>1.785639279141623E-6</v>
      </c>
      <c r="AM16" s="572"/>
    </row>
    <row r="17" spans="1:39" ht="15" x14ac:dyDescent="0.25">
      <c r="A17" s="3"/>
      <c r="B17" s="3" t="s">
        <v>2068</v>
      </c>
      <c r="C17" s="3" t="s">
        <v>3</v>
      </c>
      <c r="D17" s="3" t="s">
        <v>2067</v>
      </c>
      <c r="E17" s="3">
        <v>1</v>
      </c>
      <c r="F17" s="572">
        <v>2.6131014791080082E-7</v>
      </c>
      <c r="G17" s="572">
        <v>4.1898124909234098E-7</v>
      </c>
      <c r="H17" s="572">
        <v>5.8111866987456702E-7</v>
      </c>
      <c r="I17" s="572">
        <v>7.4840461171582204E-7</v>
      </c>
      <c r="J17" s="572">
        <v>9.2201719908830302E-7</v>
      </c>
      <c r="K17" s="572">
        <v>2.3052706395561522E-6</v>
      </c>
      <c r="L17" s="572">
        <v>4.4136082214367739E-6</v>
      </c>
      <c r="M17" s="572">
        <v>6.5946290152229707E-6</v>
      </c>
      <c r="N17" s="572">
        <v>8.8466612984224004E-6</v>
      </c>
      <c r="O17" s="572">
        <v>1.147830442458914E-5</v>
      </c>
      <c r="P17" s="572">
        <v>1.2507147924218111E-5</v>
      </c>
      <c r="Q17" s="572">
        <v>1.314530607109544E-5</v>
      </c>
      <c r="R17" s="572">
        <v>1.713973749358667E-5</v>
      </c>
      <c r="S17" s="572">
        <v>2.1744247344928299E-5</v>
      </c>
      <c r="T17" s="572">
        <v>2.306901239073155E-5</v>
      </c>
      <c r="U17" s="572">
        <v>2.4384035920381919E-5</v>
      </c>
      <c r="V17" s="572">
        <v>2.5685308896897321E-5</v>
      </c>
      <c r="W17" s="572">
        <v>2.69879996666842E-5</v>
      </c>
      <c r="X17" s="572">
        <v>2.8364564007057459E-5</v>
      </c>
      <c r="Y17" s="572">
        <v>3.1166396877940423E-5</v>
      </c>
      <c r="Z17" s="572">
        <v>3.4618545587236393E-5</v>
      </c>
      <c r="AA17" s="572">
        <v>3.6918482212532093E-5</v>
      </c>
      <c r="AB17" s="572">
        <v>3.867669343107176E-5</v>
      </c>
      <c r="AC17" s="572">
        <v>4.0727676739808633E-5</v>
      </c>
      <c r="AD17" s="572">
        <v>4.3031867101066257E-5</v>
      </c>
      <c r="AE17" s="572">
        <v>4.5313001867797073E-5</v>
      </c>
      <c r="AF17" s="572">
        <v>4.8376348474465388E-5</v>
      </c>
      <c r="AG17" s="572">
        <v>5.1409482806971542E-5</v>
      </c>
      <c r="AH17" s="572">
        <v>5.50670128350142E-5</v>
      </c>
      <c r="AI17" s="572">
        <v>5.8640584864915532E-5</v>
      </c>
      <c r="AJ17" s="572">
        <v>6.3052900975069188E-5</v>
      </c>
      <c r="AK17" s="572">
        <v>6.6892769382864136E-5</v>
      </c>
      <c r="AL17" s="572">
        <v>7.0764145343318397E-5</v>
      </c>
      <c r="AM17" s="572"/>
    </row>
    <row r="18" spans="1:39" ht="15" x14ac:dyDescent="0.25">
      <c r="A18" s="3"/>
      <c r="B18" s="3" t="s">
        <v>2069</v>
      </c>
      <c r="C18" s="3" t="s">
        <v>3</v>
      </c>
      <c r="D18" s="3" t="s">
        <v>2067</v>
      </c>
      <c r="E18" s="3">
        <v>1</v>
      </c>
      <c r="F18" s="572">
        <v>0</v>
      </c>
      <c r="G18" s="572">
        <v>0</v>
      </c>
      <c r="H18" s="572">
        <v>0</v>
      </c>
      <c r="I18" s="572">
        <v>0</v>
      </c>
      <c r="J18" s="572">
        <v>0</v>
      </c>
      <c r="K18" s="572">
        <v>0</v>
      </c>
      <c r="L18" s="572">
        <v>0</v>
      </c>
      <c r="M18" s="572">
        <v>0</v>
      </c>
      <c r="N18" s="572">
        <v>0</v>
      </c>
      <c r="O18" s="572">
        <v>0</v>
      </c>
      <c r="P18" s="572">
        <v>0</v>
      </c>
      <c r="Q18" s="572">
        <v>0</v>
      </c>
      <c r="R18" s="572">
        <v>0</v>
      </c>
      <c r="S18" s="572">
        <v>0</v>
      </c>
      <c r="T18" s="572">
        <v>0</v>
      </c>
      <c r="U18" s="572">
        <v>0</v>
      </c>
      <c r="V18" s="572">
        <v>0</v>
      </c>
      <c r="W18" s="572">
        <v>0</v>
      </c>
      <c r="X18" s="572">
        <v>0</v>
      </c>
      <c r="Y18" s="572">
        <v>0</v>
      </c>
      <c r="Z18" s="572">
        <v>0</v>
      </c>
      <c r="AA18" s="572">
        <v>0</v>
      </c>
      <c r="AB18" s="572">
        <v>3.70462863680154E-10</v>
      </c>
      <c r="AC18" s="572">
        <v>1.1108583319757149E-9</v>
      </c>
      <c r="AD18" s="572">
        <v>1.2944556663871841E-9</v>
      </c>
      <c r="AE18" s="572">
        <v>2.3984260362871581E-9</v>
      </c>
      <c r="AF18" s="572">
        <v>2.940498638410223E-9</v>
      </c>
      <c r="AG18" s="572">
        <v>6.4163774596117491E-9</v>
      </c>
      <c r="AH18" s="572">
        <v>1.353233746433338E-8</v>
      </c>
      <c r="AI18" s="572">
        <v>2.4263685619281551E-8</v>
      </c>
      <c r="AJ18" s="572">
        <v>3.9230959730470671E-8</v>
      </c>
      <c r="AK18" s="572">
        <v>5.8312306612808159E-8</v>
      </c>
      <c r="AL18" s="572">
        <v>8.8385301478315641E-8</v>
      </c>
      <c r="AM18" s="572"/>
    </row>
    <row r="19" spans="1:39" ht="15" x14ac:dyDescent="0.25">
      <c r="A19" s="3"/>
      <c r="B19" s="3" t="s">
        <v>2066</v>
      </c>
      <c r="C19" s="3" t="s">
        <v>2070</v>
      </c>
      <c r="D19" s="3" t="s">
        <v>2071</v>
      </c>
      <c r="E19" s="3">
        <v>3170</v>
      </c>
      <c r="F19" s="572">
        <v>0</v>
      </c>
      <c r="G19" s="572">
        <v>0</v>
      </c>
      <c r="H19" s="572">
        <v>0</v>
      </c>
      <c r="I19" s="572">
        <v>0</v>
      </c>
      <c r="J19" s="572">
        <v>0</v>
      </c>
      <c r="K19" s="572">
        <v>0</v>
      </c>
      <c r="L19" s="572">
        <v>0</v>
      </c>
      <c r="M19" s="572">
        <v>2.707762738895486E-5</v>
      </c>
      <c r="N19" s="572">
        <v>8.6931551058900983E-5</v>
      </c>
      <c r="O19" s="572">
        <v>1.863040424496161E-4</v>
      </c>
      <c r="P19" s="572">
        <v>3.1273547703796481E-4</v>
      </c>
      <c r="Q19" s="572">
        <v>5.1983172190548646E-4</v>
      </c>
      <c r="R19" s="572">
        <v>8.0178753633182497E-4</v>
      </c>
      <c r="S19" s="572">
        <v>1.0834609757761769E-3</v>
      </c>
      <c r="T19" s="572">
        <v>1.3939861319519551E-3</v>
      </c>
      <c r="U19" s="572">
        <v>1.73277048366962E-3</v>
      </c>
      <c r="V19" s="572">
        <v>2.0952357832950178E-3</v>
      </c>
      <c r="W19" s="572">
        <v>2.4518460588209851E-3</v>
      </c>
      <c r="X19" s="572">
        <v>2.8027344076029899E-3</v>
      </c>
      <c r="Y19" s="572">
        <v>2.5626719382125999E-3</v>
      </c>
      <c r="Z19" s="572">
        <v>2.752380230469018E-3</v>
      </c>
      <c r="AA19" s="572">
        <v>3.2288385920380609E-3</v>
      </c>
      <c r="AB19" s="572">
        <v>3.824497153161363E-3</v>
      </c>
      <c r="AC19" s="572">
        <v>4.270337205032915E-3</v>
      </c>
      <c r="AD19" s="572">
        <v>5.3506683554602431E-3</v>
      </c>
      <c r="AE19" s="572">
        <v>5.2407328336516431E-3</v>
      </c>
      <c r="AF19" s="572">
        <v>6.1727424067068029E-3</v>
      </c>
      <c r="AG19" s="572">
        <v>5.5345313365690032E-3</v>
      </c>
      <c r="AH19" s="572">
        <v>6.4767103186586942E-3</v>
      </c>
      <c r="AI19" s="572">
        <v>6.1203556267807966E-3</v>
      </c>
      <c r="AJ19" s="572">
        <v>6.9972372579427166E-3</v>
      </c>
      <c r="AK19" s="572">
        <v>7.2624295668966832E-3</v>
      </c>
      <c r="AL19" s="572">
        <v>7.5245276682444923E-3</v>
      </c>
      <c r="AM19" s="572"/>
    </row>
    <row r="20" spans="1:39" ht="15" x14ac:dyDescent="0.25">
      <c r="A20" s="3"/>
      <c r="B20" s="3" t="s">
        <v>2069</v>
      </c>
      <c r="C20" s="3" t="s">
        <v>2070</v>
      </c>
      <c r="D20" s="3" t="s">
        <v>2071</v>
      </c>
      <c r="E20" s="3">
        <v>3170</v>
      </c>
      <c r="F20" s="572">
        <v>2.0830797606810991E-6</v>
      </c>
      <c r="G20" s="572">
        <v>5.1310290580785562E-6</v>
      </c>
      <c r="H20" s="572">
        <v>9.8378592437783122E-6</v>
      </c>
      <c r="I20" s="572">
        <v>1.8322801458537179E-3</v>
      </c>
      <c r="J20" s="572">
        <v>4.8728700758485701E-3</v>
      </c>
      <c r="K20" s="572">
        <v>1.032790790201873E-2</v>
      </c>
      <c r="L20" s="572">
        <v>1.7579836613494621E-2</v>
      </c>
      <c r="M20" s="572">
        <v>2.713524858003856E-2</v>
      </c>
      <c r="N20" s="572">
        <v>3.548195471409131E-2</v>
      </c>
      <c r="O20" s="572">
        <v>4.6437791534360923E-2</v>
      </c>
      <c r="P20" s="572">
        <v>5.5499792791662977E-2</v>
      </c>
      <c r="Q20" s="572">
        <v>6.7528539052567685E-2</v>
      </c>
      <c r="R20" s="572">
        <v>8.1966989013505881E-2</v>
      </c>
      <c r="S20" s="572">
        <v>9.7832896017233148E-2</v>
      </c>
      <c r="T20" s="572">
        <v>0.1141723963425368</v>
      </c>
      <c r="U20" s="572">
        <v>0.14353410156192381</v>
      </c>
      <c r="V20" s="572">
        <v>0.18096797410503329</v>
      </c>
      <c r="W20" s="572">
        <v>0.22928927713897171</v>
      </c>
      <c r="X20" s="572">
        <v>0.2811016094500573</v>
      </c>
      <c r="Y20" s="572">
        <v>0.27603704284800851</v>
      </c>
      <c r="Z20" s="572">
        <v>0.31935177334421078</v>
      </c>
      <c r="AA20" s="572">
        <v>0.39418764670580742</v>
      </c>
      <c r="AB20" s="572">
        <v>0.48079928856448328</v>
      </c>
      <c r="AC20" s="572">
        <v>0.55078410886429996</v>
      </c>
      <c r="AD20" s="572">
        <v>0.70366761255527266</v>
      </c>
      <c r="AE20" s="572">
        <v>0.69749796964637756</v>
      </c>
      <c r="AF20" s="572">
        <v>0.83328892692382928</v>
      </c>
      <c r="AG20" s="572">
        <v>0.75152261346217619</v>
      </c>
      <c r="AH20" s="572">
        <v>0.89051178607043024</v>
      </c>
      <c r="AI20" s="572">
        <v>0.86712904720235651</v>
      </c>
      <c r="AJ20" s="572">
        <v>1.041814281846178</v>
      </c>
      <c r="AK20" s="572">
        <v>1.197965397985284</v>
      </c>
      <c r="AL20" s="572">
        <v>1.3027469851872151</v>
      </c>
      <c r="AM20" s="572"/>
    </row>
    <row r="21" spans="1:39" ht="15.75" customHeight="1" x14ac:dyDescent="0.25">
      <c r="A21" s="3"/>
      <c r="B21" s="3" t="s">
        <v>2068</v>
      </c>
      <c r="C21" s="3" t="s">
        <v>2070</v>
      </c>
      <c r="D21" s="3" t="s">
        <v>2072</v>
      </c>
      <c r="E21" s="3">
        <v>1300</v>
      </c>
      <c r="F21" s="572">
        <v>0</v>
      </c>
      <c r="G21" s="572">
        <v>0</v>
      </c>
      <c r="H21" s="572">
        <v>0</v>
      </c>
      <c r="I21" s="572">
        <v>0</v>
      </c>
      <c r="J21" s="572">
        <v>0</v>
      </c>
      <c r="K21" s="572">
        <v>0</v>
      </c>
      <c r="L21" s="572">
        <v>4.7083012191387092E-4</v>
      </c>
      <c r="M21" s="572">
        <v>9.7398562366991608E-4</v>
      </c>
      <c r="N21" s="572">
        <v>1.5172377292203411E-3</v>
      </c>
      <c r="O21" s="572">
        <v>2.0890454138388749E-3</v>
      </c>
      <c r="P21" s="572">
        <v>2.2597233969434368E-3</v>
      </c>
      <c r="Q21" s="572">
        <v>2.449931277654476E-3</v>
      </c>
      <c r="R21" s="572">
        <v>9.6719329994966411E-3</v>
      </c>
      <c r="S21" s="572">
        <v>1.798711497273375E-2</v>
      </c>
      <c r="T21" s="572">
        <v>2.0047647530325102E-2</v>
      </c>
      <c r="U21" s="572">
        <v>2.2196067947018928E-2</v>
      </c>
      <c r="V21" s="572">
        <v>2.4372083845772899E-2</v>
      </c>
      <c r="W21" s="572">
        <v>2.6622561246531871E-2</v>
      </c>
      <c r="X21" s="572">
        <v>2.8829089321157471E-2</v>
      </c>
      <c r="Y21" s="572">
        <v>4.9818769159364368E-2</v>
      </c>
      <c r="Z21" s="572">
        <v>6.4518060128460356E-2</v>
      </c>
      <c r="AA21" s="572">
        <v>6.9924118282950087E-2</v>
      </c>
      <c r="AB21" s="572">
        <v>7.5492315634510768E-2</v>
      </c>
      <c r="AC21" s="572">
        <v>0.102910838314077</v>
      </c>
      <c r="AD21" s="572">
        <v>0.12581848736913631</v>
      </c>
      <c r="AE21" s="572">
        <v>0.12643396100004839</v>
      </c>
      <c r="AF21" s="572">
        <v>0.1224032452974238</v>
      </c>
      <c r="AG21" s="572">
        <v>0.10682381967856761</v>
      </c>
      <c r="AH21" s="572">
        <v>0.12017952117463469</v>
      </c>
      <c r="AI21" s="572">
        <v>0.1172780049648126</v>
      </c>
      <c r="AJ21" s="572">
        <v>0.12873840644907619</v>
      </c>
      <c r="AK21" s="572">
        <v>6.8501506529416265E-2</v>
      </c>
      <c r="AL21" s="572">
        <v>7.3144160071592967E-2</v>
      </c>
      <c r="AM21" s="572"/>
    </row>
    <row r="22" spans="1:39" ht="15.75" customHeight="1" x14ac:dyDescent="0.25">
      <c r="A22" s="3"/>
      <c r="B22" s="3" t="s">
        <v>2073</v>
      </c>
      <c r="C22" s="3" t="s">
        <v>2070</v>
      </c>
      <c r="D22" s="3" t="s">
        <v>2072</v>
      </c>
      <c r="E22" s="3">
        <v>1300</v>
      </c>
      <c r="F22" s="572">
        <v>0</v>
      </c>
      <c r="G22" s="572">
        <v>0</v>
      </c>
      <c r="H22" s="572">
        <v>0</v>
      </c>
      <c r="I22" s="572">
        <v>0</v>
      </c>
      <c r="J22" s="572">
        <v>0</v>
      </c>
      <c r="K22" s="572">
        <v>0</v>
      </c>
      <c r="L22" s="572">
        <v>0</v>
      </c>
      <c r="M22" s="572">
        <v>3.2235782254365608E-4</v>
      </c>
      <c r="N22" s="572">
        <v>6.5270642478647929E-4</v>
      </c>
      <c r="O22" s="572">
        <v>9.9047932329365059E-4</v>
      </c>
      <c r="P22" s="572">
        <v>1.371567092698403E-3</v>
      </c>
      <c r="Q22" s="572">
        <v>3.1367205233573548E-3</v>
      </c>
      <c r="R22" s="572">
        <v>4.9577196476018647E-3</v>
      </c>
      <c r="S22" s="572">
        <v>6.8239834112029498E-3</v>
      </c>
      <c r="T22" s="572">
        <v>8.7482454746959041E-3</v>
      </c>
      <c r="U22" s="572">
        <v>1.0728317244315449E-2</v>
      </c>
      <c r="V22" s="572">
        <v>1.274075218509407E-2</v>
      </c>
      <c r="W22" s="572">
        <v>1.4772572226350729E-2</v>
      </c>
      <c r="X22" s="572">
        <v>1.645456790318444E-2</v>
      </c>
      <c r="Y22" s="572">
        <v>1.786536512200915E-2</v>
      </c>
      <c r="Z22" s="572">
        <v>1.703998626796414E-2</v>
      </c>
      <c r="AA22" s="572">
        <v>1.8568296455186279E-2</v>
      </c>
      <c r="AB22" s="572">
        <v>1.74196565713742E-2</v>
      </c>
      <c r="AC22" s="572">
        <v>2.0422720773557269E-2</v>
      </c>
      <c r="AD22" s="572">
        <v>2.129631658524931E-2</v>
      </c>
      <c r="AE22" s="572">
        <v>1.798754599747918E-2</v>
      </c>
      <c r="AF22" s="572">
        <v>2.099184022573827E-2</v>
      </c>
      <c r="AG22" s="572">
        <v>2.2168836397245231E-2</v>
      </c>
      <c r="AH22" s="572">
        <v>2.8629317304927598E-2</v>
      </c>
      <c r="AI22" s="572">
        <v>2.8196490746310279E-2</v>
      </c>
      <c r="AJ22" s="572">
        <v>3.1926112310129477E-2</v>
      </c>
      <c r="AK22" s="572">
        <v>3.2440100519578331E-2</v>
      </c>
      <c r="AL22" s="572">
        <v>1.975537229646375E-2</v>
      </c>
      <c r="AM22" s="572"/>
    </row>
    <row r="23" spans="1:39" ht="15.75" customHeight="1" x14ac:dyDescent="0.25">
      <c r="A23" s="3"/>
      <c r="B23" s="3" t="s">
        <v>2074</v>
      </c>
      <c r="C23" s="3" t="s">
        <v>2070</v>
      </c>
      <c r="D23" s="3" t="s">
        <v>2072</v>
      </c>
      <c r="E23" s="3">
        <v>1300</v>
      </c>
      <c r="F23" s="572">
        <v>0</v>
      </c>
      <c r="G23" s="572">
        <v>0</v>
      </c>
      <c r="H23" s="572">
        <v>0</v>
      </c>
      <c r="I23" s="572">
        <v>0</v>
      </c>
      <c r="J23" s="572">
        <v>1.222873263624181E-2</v>
      </c>
      <c r="K23" s="572">
        <v>0.13197604969973659</v>
      </c>
      <c r="L23" s="572">
        <v>0.15222651599904941</v>
      </c>
      <c r="M23" s="572">
        <v>0.16412746947062409</v>
      </c>
      <c r="N23" s="572">
        <v>0.16401129709142079</v>
      </c>
      <c r="O23" s="572">
        <v>0.16914019928520899</v>
      </c>
      <c r="P23" s="572">
        <v>0.1717795795987524</v>
      </c>
      <c r="Q23" s="572">
        <v>0.16325329296739999</v>
      </c>
      <c r="R23" s="572">
        <v>0.15334835742854641</v>
      </c>
      <c r="S23" s="572">
        <v>0.14300346441334841</v>
      </c>
      <c r="T23" s="572">
        <v>0.13129686926390791</v>
      </c>
      <c r="U23" s="572">
        <v>0.1192059926181875</v>
      </c>
      <c r="V23" s="572">
        <v>0.1287991576377196</v>
      </c>
      <c r="W23" s="572">
        <v>0.1393822644522251</v>
      </c>
      <c r="X23" s="572">
        <v>0.1489015613021788</v>
      </c>
      <c r="Y23" s="572">
        <v>0.16524918594278379</v>
      </c>
      <c r="Z23" s="572">
        <v>0.16121869065066899</v>
      </c>
      <c r="AA23" s="572">
        <v>0.17243090704340541</v>
      </c>
      <c r="AB23" s="572">
        <v>0.18256598943272859</v>
      </c>
      <c r="AC23" s="572">
        <v>0.24235495711430399</v>
      </c>
      <c r="AD23" s="572">
        <v>0.28728773716654388</v>
      </c>
      <c r="AE23" s="572">
        <v>0.28008391855201847</v>
      </c>
      <c r="AF23" s="572">
        <v>0.2362523918154053</v>
      </c>
      <c r="AG23" s="572">
        <v>0.1853181969290654</v>
      </c>
      <c r="AH23" s="572">
        <v>0.1791298630823423</v>
      </c>
      <c r="AI23" s="572">
        <v>0.1775373336035154</v>
      </c>
      <c r="AJ23" s="572">
        <v>0.20229140631843751</v>
      </c>
      <c r="AK23" s="572">
        <v>0.20684833898446839</v>
      </c>
      <c r="AL23" s="572">
        <v>0.211239346129798</v>
      </c>
      <c r="AM23" s="572"/>
    </row>
    <row r="24" spans="1:39" ht="15.75" customHeight="1" x14ac:dyDescent="0.25">
      <c r="A24" s="3"/>
      <c r="B24" s="3" t="s">
        <v>2069</v>
      </c>
      <c r="C24" s="3" t="s">
        <v>2070</v>
      </c>
      <c r="D24" s="3" t="s">
        <v>2072</v>
      </c>
      <c r="E24" s="3">
        <v>1300</v>
      </c>
      <c r="F24" s="572">
        <v>7.3244025391447861E-8</v>
      </c>
      <c r="G24" s="572">
        <v>1.8041422594940989E-7</v>
      </c>
      <c r="H24" s="572">
        <v>1.7305468372907699E-2</v>
      </c>
      <c r="I24" s="572">
        <v>7.4925704686498354E-2</v>
      </c>
      <c r="J24" s="572">
        <v>0.18214369648970391</v>
      </c>
      <c r="K24" s="572">
        <v>0.28846385509273298</v>
      </c>
      <c r="L24" s="572">
        <v>0.41808160418705281</v>
      </c>
      <c r="M24" s="572">
        <v>0.55318848799204057</v>
      </c>
      <c r="N24" s="572">
        <v>0.64919731239558043</v>
      </c>
      <c r="O24" s="572">
        <v>0.74618482084339144</v>
      </c>
      <c r="P24" s="572">
        <v>0.83848119982811664</v>
      </c>
      <c r="Q24" s="572">
        <v>0.93108188460690711</v>
      </c>
      <c r="R24" s="572">
        <v>0.97507844714428238</v>
      </c>
      <c r="S24" s="572">
        <v>1.007503342012952</v>
      </c>
      <c r="T24" s="572">
        <v>1.0436906705291049</v>
      </c>
      <c r="U24" s="572">
        <v>1.067829337330426</v>
      </c>
      <c r="V24" s="572">
        <v>1.0892686279706909</v>
      </c>
      <c r="W24" s="572">
        <v>1.1057765409659921</v>
      </c>
      <c r="X24" s="572">
        <v>1.1283151092445349</v>
      </c>
      <c r="Y24" s="572">
        <v>1.109075708793021</v>
      </c>
      <c r="Z24" s="572">
        <v>0.92797689062879785</v>
      </c>
      <c r="AA24" s="572">
        <v>0.85749332780679755</v>
      </c>
      <c r="AB24" s="572">
        <v>0.79206010936168336</v>
      </c>
      <c r="AC24" s="572">
        <v>0.90959075700779468</v>
      </c>
      <c r="AD24" s="572">
        <v>0.97963122701388372</v>
      </c>
      <c r="AE24" s="572">
        <v>0.87464999343577809</v>
      </c>
      <c r="AF24" s="572">
        <v>0.77006584444478243</v>
      </c>
      <c r="AG24" s="572">
        <v>0.62989015503701173</v>
      </c>
      <c r="AH24" s="572">
        <v>0.67060516400370496</v>
      </c>
      <c r="AI24" s="572">
        <v>0.62800888337323146</v>
      </c>
      <c r="AJ24" s="572">
        <v>0.67523393384518882</v>
      </c>
      <c r="AK24" s="572">
        <v>0.65433657486838559</v>
      </c>
      <c r="AL24" s="572">
        <v>0.62706311493157862</v>
      </c>
      <c r="AM24" s="572"/>
    </row>
    <row r="25" spans="1:39" ht="15.75" customHeight="1" x14ac:dyDescent="0.25">
      <c r="A25" s="3"/>
      <c r="B25" s="3" t="s">
        <v>2069</v>
      </c>
      <c r="C25" s="3" t="s">
        <v>2070</v>
      </c>
      <c r="D25" s="3" t="s">
        <v>2075</v>
      </c>
      <c r="E25" s="3">
        <v>4800</v>
      </c>
      <c r="F25" s="572">
        <v>3.7240846201553312E-6</v>
      </c>
      <c r="G25" s="572">
        <v>9.1731419801768085E-6</v>
      </c>
      <c r="H25" s="572">
        <v>1.7587910456692571E-5</v>
      </c>
      <c r="I25" s="572">
        <v>1.318694796414364E-3</v>
      </c>
      <c r="J25" s="572">
        <v>3.6741288239772992E-3</v>
      </c>
      <c r="K25" s="572">
        <v>9.1767881134462714E-3</v>
      </c>
      <c r="L25" s="572">
        <v>1.7068477805663181E-2</v>
      </c>
      <c r="M25" s="572">
        <v>2.8260174203529932E-2</v>
      </c>
      <c r="N25" s="572">
        <v>4.0974398710055072E-2</v>
      </c>
      <c r="O25" s="572">
        <v>5.8511730201415091E-2</v>
      </c>
      <c r="P25" s="572">
        <v>7.2150615314809471E-2</v>
      </c>
      <c r="Q25" s="572">
        <v>8.9370065998305867E-2</v>
      </c>
      <c r="R25" s="572">
        <v>0.1087828117007227</v>
      </c>
      <c r="S25" s="572">
        <v>0.1288072809836224</v>
      </c>
      <c r="T25" s="572">
        <v>0.1472520743030476</v>
      </c>
      <c r="U25" s="572">
        <v>0.17825234594206199</v>
      </c>
      <c r="V25" s="572">
        <v>0.2118619930356147</v>
      </c>
      <c r="W25" s="572">
        <v>0.2496507682504136</v>
      </c>
      <c r="X25" s="572">
        <v>0.29254300276961481</v>
      </c>
      <c r="Y25" s="572">
        <v>0.32544677330981392</v>
      </c>
      <c r="Z25" s="572">
        <v>0.33349639492362038</v>
      </c>
      <c r="AA25" s="572">
        <v>0.41388764324358202</v>
      </c>
      <c r="AB25" s="572">
        <v>0.49996887401693491</v>
      </c>
      <c r="AC25" s="572">
        <v>0.56678410628142217</v>
      </c>
      <c r="AD25" s="572">
        <v>0.65334285974531225</v>
      </c>
      <c r="AE25" s="572">
        <v>0.65542007120561996</v>
      </c>
      <c r="AF25" s="572">
        <v>0.6741416043585654</v>
      </c>
      <c r="AG25" s="572">
        <v>0.50404953133319441</v>
      </c>
      <c r="AH25" s="572">
        <v>0.632093783017319</v>
      </c>
      <c r="AI25" s="572">
        <v>0.55417967019470238</v>
      </c>
      <c r="AJ25" s="572">
        <v>0.60943851858890463</v>
      </c>
      <c r="AK25" s="572">
        <v>0.61154888168151578</v>
      </c>
      <c r="AL25" s="572">
        <v>0.60870672771026657</v>
      </c>
      <c r="AM25" s="572"/>
    </row>
    <row r="26" spans="1:39" ht="15.75" customHeight="1" x14ac:dyDescent="0.25">
      <c r="A26" s="3"/>
      <c r="B26" s="3" t="s">
        <v>2066</v>
      </c>
      <c r="C26" s="3" t="s">
        <v>2070</v>
      </c>
      <c r="D26" s="3" t="s">
        <v>2076</v>
      </c>
      <c r="E26" s="3">
        <v>12400</v>
      </c>
      <c r="F26" s="572">
        <v>0</v>
      </c>
      <c r="G26" s="572">
        <v>0</v>
      </c>
      <c r="H26" s="572">
        <v>0</v>
      </c>
      <c r="I26" s="572">
        <v>0</v>
      </c>
      <c r="J26" s="572">
        <v>0</v>
      </c>
      <c r="K26" s="572">
        <v>9.3036146234324768E-6</v>
      </c>
      <c r="L26" s="572">
        <v>2.0863174107854798E-5</v>
      </c>
      <c r="M26" s="572">
        <v>3.9285248301842602E-5</v>
      </c>
      <c r="N26" s="572">
        <v>5.762449576632511E-5</v>
      </c>
      <c r="O26" s="572">
        <v>8.2822795964448826E-5</v>
      </c>
      <c r="P26" s="572">
        <v>1.080885242557396E-4</v>
      </c>
      <c r="Q26" s="572">
        <v>1.313657066049777E-4</v>
      </c>
      <c r="R26" s="572">
        <v>1.5256283657628139E-4</v>
      </c>
      <c r="S26" s="572">
        <v>1.6903747560248619E-4</v>
      </c>
      <c r="T26" s="572">
        <v>1.852557722608108E-4</v>
      </c>
      <c r="U26" s="572">
        <v>2.0359600424150949E-4</v>
      </c>
      <c r="V26" s="572">
        <v>2.1908588182021951E-4</v>
      </c>
      <c r="W26" s="572">
        <v>2.3642555806566921E-4</v>
      </c>
      <c r="X26" s="572">
        <v>2.5156468733034262E-4</v>
      </c>
      <c r="Y26" s="572">
        <v>2.6969387346895552E-4</v>
      </c>
      <c r="Z26" s="572">
        <v>2.9085115325012397E-4</v>
      </c>
      <c r="AA26" s="572">
        <v>3.0973479855850972E-4</v>
      </c>
      <c r="AB26" s="572">
        <v>3.330461144484584E-4</v>
      </c>
      <c r="AC26" s="572">
        <v>3.5354917845680422E-4</v>
      </c>
      <c r="AD26" s="572">
        <v>3.7605786330928268E-4</v>
      </c>
      <c r="AE26" s="572">
        <v>4.0035265374947169E-4</v>
      </c>
      <c r="AF26" s="572">
        <v>4.2387287872683359E-4</v>
      </c>
      <c r="AG26" s="572">
        <v>4.5009971253825049E-4</v>
      </c>
      <c r="AH26" s="572">
        <v>4.7619198320438021E-4</v>
      </c>
      <c r="AI26" s="572">
        <v>5.0446574040930326E-4</v>
      </c>
      <c r="AJ26" s="572">
        <v>5.3214126222195246E-4</v>
      </c>
      <c r="AK26" s="572">
        <v>5.5199864253537782E-4</v>
      </c>
      <c r="AL26" s="572">
        <v>5.6954536712445038E-4</v>
      </c>
      <c r="AM26" s="572"/>
    </row>
    <row r="27" spans="1:39" ht="15.75" customHeight="1" x14ac:dyDescent="0.25">
      <c r="A27" s="3"/>
      <c r="B27" s="3" t="s">
        <v>2066</v>
      </c>
      <c r="C27" s="3" t="s">
        <v>2070</v>
      </c>
      <c r="D27" s="3" t="s">
        <v>2077</v>
      </c>
      <c r="E27" s="3">
        <v>8060</v>
      </c>
      <c r="F27" s="572">
        <v>0</v>
      </c>
      <c r="G27" s="572">
        <v>0</v>
      </c>
      <c r="H27" s="572">
        <v>0</v>
      </c>
      <c r="I27" s="572">
        <v>0</v>
      </c>
      <c r="J27" s="572">
        <v>0</v>
      </c>
      <c r="K27" s="572">
        <v>0</v>
      </c>
      <c r="L27" s="572">
        <v>0</v>
      </c>
      <c r="M27" s="572">
        <v>1.9677287605305281E-4</v>
      </c>
      <c r="N27" s="572">
        <v>5.9929475596978113E-4</v>
      </c>
      <c r="O27" s="572">
        <v>1.22025586054288E-3</v>
      </c>
      <c r="P27" s="572">
        <v>1.859582568365767E-3</v>
      </c>
      <c r="Q27" s="572">
        <v>2.5241805291070498E-3</v>
      </c>
      <c r="R27" s="572">
        <v>3.215377358751628E-3</v>
      </c>
      <c r="S27" s="572">
        <v>3.7282025697778481E-3</v>
      </c>
      <c r="T27" s="572">
        <v>4.0489964724753462E-3</v>
      </c>
      <c r="U27" s="572">
        <v>4.1671243527226683E-3</v>
      </c>
      <c r="V27" s="572">
        <v>4.2781707301546229E-3</v>
      </c>
      <c r="W27" s="572">
        <v>4.3864974899368312E-3</v>
      </c>
      <c r="X27" s="572">
        <v>4.5011783418507298E-3</v>
      </c>
      <c r="Y27" s="572">
        <v>4.6335921557397212E-3</v>
      </c>
      <c r="Z27" s="572">
        <v>4.7814097461071556E-3</v>
      </c>
      <c r="AA27" s="572">
        <v>4.9347636405894114E-3</v>
      </c>
      <c r="AB27" s="572">
        <v>5.0880258808705184E-3</v>
      </c>
      <c r="AC27" s="572">
        <v>5.2378081210986936E-3</v>
      </c>
      <c r="AD27" s="572">
        <v>5.3880607579938232E-3</v>
      </c>
      <c r="AE27" s="572">
        <v>5.5376779066626941E-3</v>
      </c>
      <c r="AF27" s="572">
        <v>5.6821754613843372E-3</v>
      </c>
      <c r="AG27" s="572">
        <v>5.8379978623995356E-3</v>
      </c>
      <c r="AH27" s="572">
        <v>5.9974112703719273E-3</v>
      </c>
      <c r="AI27" s="572">
        <v>6.1625127656323034E-3</v>
      </c>
      <c r="AJ27" s="572">
        <v>6.408648020849398E-3</v>
      </c>
      <c r="AK27" s="572">
        <v>6.5918218060454052E-3</v>
      </c>
      <c r="AL27" s="572">
        <v>6.7551257288027454E-3</v>
      </c>
      <c r="AM27" s="572"/>
    </row>
    <row r="28" spans="1:39" ht="15.75" customHeight="1" x14ac:dyDescent="0.25">
      <c r="A28" s="3"/>
      <c r="B28" s="3" t="s">
        <v>2069</v>
      </c>
      <c r="C28" s="3" t="s">
        <v>2070</v>
      </c>
      <c r="D28" s="3" t="s">
        <v>2077</v>
      </c>
      <c r="E28" s="3">
        <v>8060</v>
      </c>
      <c r="F28" s="572">
        <v>0</v>
      </c>
      <c r="G28" s="572">
        <v>0</v>
      </c>
      <c r="H28" s="572">
        <v>0</v>
      </c>
      <c r="I28" s="572">
        <v>1.094958153041211E-3</v>
      </c>
      <c r="J28" s="572">
        <v>3.3027020891527839E-3</v>
      </c>
      <c r="K28" s="572">
        <v>5.4743631396104624E-3</v>
      </c>
      <c r="L28" s="572">
        <v>6.8121740657830568E-3</v>
      </c>
      <c r="M28" s="572">
        <v>8.1442941523637569E-3</v>
      </c>
      <c r="N28" s="572">
        <v>9.3579876144681325E-3</v>
      </c>
      <c r="O28" s="572">
        <v>1.046189951024263E-2</v>
      </c>
      <c r="P28" s="572">
        <v>1.14699172404104E-2</v>
      </c>
      <c r="Q28" s="572">
        <v>1.2396198147395159E-2</v>
      </c>
      <c r="R28" s="572">
        <v>1.3223615016062191E-2</v>
      </c>
      <c r="S28" s="572">
        <v>1.392845643145911E-2</v>
      </c>
      <c r="T28" s="572">
        <v>1.4498116737131051E-2</v>
      </c>
      <c r="U28" s="572">
        <v>1.493758433619425E-2</v>
      </c>
      <c r="V28" s="572">
        <v>1.5229928037270831E-2</v>
      </c>
      <c r="W28" s="572">
        <v>1.5381089327809121E-2</v>
      </c>
      <c r="X28" s="572">
        <v>1.543303617737592E-2</v>
      </c>
      <c r="Y28" s="572">
        <v>1.5419061553197361E-2</v>
      </c>
      <c r="Z28" s="572">
        <v>1.54502651789683E-2</v>
      </c>
      <c r="AA28" s="572">
        <v>1.54783656167052E-2</v>
      </c>
      <c r="AB28" s="572">
        <v>1.549548727040936E-2</v>
      </c>
      <c r="AC28" s="572">
        <v>1.5743269423815161E-2</v>
      </c>
      <c r="AD28" s="572">
        <v>1.49479561111812E-2</v>
      </c>
      <c r="AE28" s="572">
        <v>1.2775024408200639E-2</v>
      </c>
      <c r="AF28" s="572">
        <v>1.139990155130706E-2</v>
      </c>
      <c r="AG28" s="572">
        <v>1.004472525147862E-2</v>
      </c>
      <c r="AH28" s="572">
        <v>8.5856280781313535E-3</v>
      </c>
      <c r="AI28" s="572">
        <v>7.2388571570526916E-3</v>
      </c>
      <c r="AJ28" s="572">
        <v>6.0805703714151343E-3</v>
      </c>
      <c r="AK28" s="572">
        <v>4.9549861618991779E-3</v>
      </c>
      <c r="AL28" s="572">
        <v>3.9247575468000229E-3</v>
      </c>
      <c r="AM28" s="572"/>
    </row>
    <row r="29" spans="1:39" ht="15.75" customHeight="1" x14ac:dyDescent="0.25">
      <c r="A29" s="3"/>
      <c r="B29" s="3" t="s">
        <v>2069</v>
      </c>
      <c r="C29" s="3" t="s">
        <v>2070</v>
      </c>
      <c r="D29" s="3" t="s">
        <v>2078</v>
      </c>
      <c r="E29" s="3">
        <v>677</v>
      </c>
      <c r="F29" s="572">
        <v>0</v>
      </c>
      <c r="G29" s="572">
        <v>0</v>
      </c>
      <c r="H29" s="572">
        <v>0</v>
      </c>
      <c r="I29" s="572">
        <v>0</v>
      </c>
      <c r="J29" s="572">
        <v>0</v>
      </c>
      <c r="K29" s="572">
        <v>0</v>
      </c>
      <c r="L29" s="572">
        <v>3.0469016963371702E-6</v>
      </c>
      <c r="M29" s="572">
        <v>8.6518110182798053E-6</v>
      </c>
      <c r="N29" s="572">
        <v>1.844517591183488E-5</v>
      </c>
      <c r="O29" s="572">
        <v>3.5786809654347221E-5</v>
      </c>
      <c r="P29" s="572">
        <v>1.651955955267768E-4</v>
      </c>
      <c r="Q29" s="572">
        <v>4.1358921209775327E-4</v>
      </c>
      <c r="R29" s="572">
        <v>8.1173569754559188E-4</v>
      </c>
      <c r="S29" s="572">
        <v>1.3502779681188589E-3</v>
      </c>
      <c r="T29" s="572">
        <v>2.0675901294666841E-3</v>
      </c>
      <c r="U29" s="572">
        <v>3.080495081027423E-3</v>
      </c>
      <c r="V29" s="572">
        <v>5.012036933085804E-3</v>
      </c>
      <c r="W29" s="572">
        <v>7.1895367644093308E-3</v>
      </c>
      <c r="X29" s="572">
        <v>9.4723877763723281E-3</v>
      </c>
      <c r="Y29" s="572">
        <v>1.2203848200017841E-2</v>
      </c>
      <c r="Z29" s="572">
        <v>1.7058702289811462E-2</v>
      </c>
      <c r="AA29" s="572">
        <v>3.0748644235615671E-2</v>
      </c>
      <c r="AB29" s="572">
        <v>3.2645818495296318E-2</v>
      </c>
      <c r="AC29" s="572">
        <v>4.8837634649829952E-2</v>
      </c>
      <c r="AD29" s="572">
        <v>6.0687208721937488E-2</v>
      </c>
      <c r="AE29" s="572">
        <v>7.3553730118908534E-2</v>
      </c>
      <c r="AF29" s="572">
        <v>8.4213997171858915E-2</v>
      </c>
      <c r="AG29" s="572">
        <v>8.0964713183116183E-2</v>
      </c>
      <c r="AH29" s="572">
        <v>9.7705256137823007E-2</v>
      </c>
      <c r="AI29" s="572">
        <v>0.1037901447480068</v>
      </c>
      <c r="AJ29" s="572">
        <v>0.1381303149748907</v>
      </c>
      <c r="AK29" s="572">
        <v>0.16864826115628431</v>
      </c>
      <c r="AL29" s="572">
        <v>0.1885012873241986</v>
      </c>
      <c r="AM29" s="572"/>
    </row>
    <row r="30" spans="1:39" ht="15.75" customHeight="1" x14ac:dyDescent="0.25">
      <c r="A30" s="3"/>
      <c r="B30" s="3" t="s">
        <v>2066</v>
      </c>
      <c r="C30" s="3" t="s">
        <v>2070</v>
      </c>
      <c r="D30" s="3" t="s">
        <v>2079</v>
      </c>
      <c r="E30" s="3">
        <v>1</v>
      </c>
      <c r="F30" s="572">
        <v>0</v>
      </c>
      <c r="G30" s="572">
        <v>0</v>
      </c>
      <c r="H30" s="572">
        <v>0</v>
      </c>
      <c r="I30" s="572">
        <v>0</v>
      </c>
      <c r="J30" s="572">
        <v>6.9927002953494894E-5</v>
      </c>
      <c r="K30" s="572">
        <v>5.8312655526868715E-4</v>
      </c>
      <c r="L30" s="572">
        <v>1.4260147754122849E-3</v>
      </c>
      <c r="M30" s="572">
        <v>2.6570842323925571E-3</v>
      </c>
      <c r="N30" s="572">
        <v>4.1734448116025847E-3</v>
      </c>
      <c r="O30" s="572">
        <v>6.2098265177211193E-3</v>
      </c>
      <c r="P30" s="572">
        <v>8.1490364307879922E-3</v>
      </c>
      <c r="Q30" s="572">
        <v>9.9471421494280784E-3</v>
      </c>
      <c r="R30" s="572">
        <v>1.160995916122351E-2</v>
      </c>
      <c r="S30" s="572">
        <v>1.2933878542943769E-2</v>
      </c>
      <c r="T30" s="572">
        <v>1.423454371364744E-2</v>
      </c>
      <c r="U30" s="572">
        <v>1.5499809328405599E-2</v>
      </c>
      <c r="V30" s="572">
        <v>1.6701755546475371E-2</v>
      </c>
      <c r="W30" s="572">
        <v>1.78460016274243E-2</v>
      </c>
      <c r="X30" s="572">
        <v>1.8972191686515379E-2</v>
      </c>
      <c r="Y30" s="572">
        <v>2.012317740348785E-2</v>
      </c>
      <c r="Z30" s="572">
        <v>2.132646503976254E-2</v>
      </c>
      <c r="AA30" s="572">
        <v>2.252497290424995E-2</v>
      </c>
      <c r="AB30" s="572">
        <v>2.370096370609133E-2</v>
      </c>
      <c r="AC30" s="572">
        <v>2.4827776291184891E-2</v>
      </c>
      <c r="AD30" s="572">
        <v>2.591758210629231E-2</v>
      </c>
      <c r="AE30" s="572">
        <v>2.695280149269972E-2</v>
      </c>
      <c r="AF30" s="572">
        <v>2.7913106021788311E-2</v>
      </c>
      <c r="AG30" s="572">
        <v>2.8873744399520441E-2</v>
      </c>
      <c r="AH30" s="572">
        <v>2.9791962105591738E-2</v>
      </c>
      <c r="AI30" s="572">
        <v>3.0665212107299149E-2</v>
      </c>
      <c r="AJ30" s="572">
        <v>3.1563287069441143E-2</v>
      </c>
      <c r="AK30" s="572">
        <v>3.2139076122816183E-2</v>
      </c>
      <c r="AL30" s="572">
        <v>3.2596343641711593E-2</v>
      </c>
      <c r="AM30" s="572"/>
    </row>
    <row r="31" spans="1:39" ht="15.75" customHeight="1" x14ac:dyDescent="0.25">
      <c r="A31" s="3"/>
      <c r="B31" s="3" t="s">
        <v>2068</v>
      </c>
      <c r="C31" s="3" t="s">
        <v>2070</v>
      </c>
      <c r="D31" s="3" t="s">
        <v>2079</v>
      </c>
      <c r="E31" s="3">
        <v>1</v>
      </c>
      <c r="F31" s="572">
        <v>0</v>
      </c>
      <c r="G31" s="572">
        <v>0</v>
      </c>
      <c r="H31" s="572">
        <v>0</v>
      </c>
      <c r="I31" s="572">
        <v>0</v>
      </c>
      <c r="J31" s="572">
        <v>0</v>
      </c>
      <c r="K31" s="572">
        <v>0</v>
      </c>
      <c r="L31" s="572">
        <v>0</v>
      </c>
      <c r="M31" s="572">
        <v>0</v>
      </c>
      <c r="N31" s="572">
        <v>0</v>
      </c>
      <c r="O31" s="572">
        <v>0</v>
      </c>
      <c r="P31" s="572">
        <v>0</v>
      </c>
      <c r="Q31" s="572">
        <v>0</v>
      </c>
      <c r="R31" s="572">
        <v>0</v>
      </c>
      <c r="S31" s="572">
        <v>0</v>
      </c>
      <c r="T31" s="572">
        <v>0</v>
      </c>
      <c r="U31" s="572">
        <v>0</v>
      </c>
      <c r="V31" s="572">
        <v>0</v>
      </c>
      <c r="W31" s="572">
        <v>0</v>
      </c>
      <c r="X31" s="572">
        <v>0</v>
      </c>
      <c r="Y31" s="572">
        <v>0</v>
      </c>
      <c r="Z31" s="572">
        <v>0</v>
      </c>
      <c r="AA31" s="572">
        <v>0</v>
      </c>
      <c r="AB31" s="572">
        <v>0</v>
      </c>
      <c r="AC31" s="572">
        <v>0</v>
      </c>
      <c r="AD31" s="572">
        <v>0</v>
      </c>
      <c r="AE31" s="572">
        <v>0</v>
      </c>
      <c r="AF31" s="572">
        <v>0</v>
      </c>
      <c r="AG31" s="572">
        <v>4.9187949605383671E-6</v>
      </c>
      <c r="AH31" s="572">
        <v>1.134467053074122E-5</v>
      </c>
      <c r="AI31" s="572">
        <v>1.9157730483097699E-5</v>
      </c>
      <c r="AJ31" s="572">
        <v>2.882333606150492E-5</v>
      </c>
      <c r="AK31" s="572">
        <v>3.9761083238691162E-5</v>
      </c>
      <c r="AL31" s="572">
        <v>4.5162144170280212E-5</v>
      </c>
      <c r="AM31" s="572"/>
    </row>
    <row r="32" spans="1:39" ht="15.75" customHeight="1" x14ac:dyDescent="0.25">
      <c r="A32" s="3"/>
      <c r="B32" s="3" t="s">
        <v>2068</v>
      </c>
      <c r="C32" s="3" t="s">
        <v>2070</v>
      </c>
      <c r="D32" s="3" t="s">
        <v>2079</v>
      </c>
      <c r="E32" s="3">
        <v>1</v>
      </c>
      <c r="F32" s="572">
        <v>0</v>
      </c>
      <c r="G32" s="572">
        <v>0</v>
      </c>
      <c r="H32" s="572">
        <v>0</v>
      </c>
      <c r="I32" s="572">
        <v>0</v>
      </c>
      <c r="J32" s="572">
        <v>0</v>
      </c>
      <c r="K32" s="572">
        <v>0</v>
      </c>
      <c r="L32" s="572">
        <v>0</v>
      </c>
      <c r="M32" s="572">
        <v>0</v>
      </c>
      <c r="N32" s="572">
        <v>0</v>
      </c>
      <c r="O32" s="572">
        <v>0</v>
      </c>
      <c r="P32" s="572">
        <v>0</v>
      </c>
      <c r="Q32" s="572">
        <v>0</v>
      </c>
      <c r="R32" s="572">
        <v>0</v>
      </c>
      <c r="S32" s="572">
        <v>0</v>
      </c>
      <c r="T32" s="572">
        <v>0</v>
      </c>
      <c r="U32" s="572">
        <v>0</v>
      </c>
      <c r="V32" s="572">
        <v>0</v>
      </c>
      <c r="W32" s="572">
        <v>0</v>
      </c>
      <c r="X32" s="572">
        <v>0</v>
      </c>
      <c r="Y32" s="572">
        <v>0</v>
      </c>
      <c r="Z32" s="572">
        <v>0</v>
      </c>
      <c r="AA32" s="572">
        <v>0</v>
      </c>
      <c r="AB32" s="572">
        <v>0</v>
      </c>
      <c r="AC32" s="572">
        <v>0</v>
      </c>
      <c r="AD32" s="572">
        <v>0</v>
      </c>
      <c r="AE32" s="572">
        <v>3.4795626957212149E-7</v>
      </c>
      <c r="AF32" s="572">
        <v>2.9998599546731291E-6</v>
      </c>
      <c r="AG32" s="572">
        <v>8.4622852438765243E-6</v>
      </c>
      <c r="AH32" s="572">
        <v>1.3635658689567821E-5</v>
      </c>
      <c r="AI32" s="572">
        <v>1.984696510166646E-5</v>
      </c>
      <c r="AJ32" s="572">
        <v>2.836877264077815E-5</v>
      </c>
      <c r="AK32" s="572">
        <v>3.3408352926787908E-5</v>
      </c>
      <c r="AL32" s="572">
        <v>3.7369598252780032E-5</v>
      </c>
      <c r="AM32" s="572"/>
    </row>
    <row r="33" spans="1:39" ht="15.75" customHeight="1" x14ac:dyDescent="0.25">
      <c r="A33" s="3"/>
      <c r="B33" s="3" t="s">
        <v>2068</v>
      </c>
      <c r="C33" s="3" t="s">
        <v>2070</v>
      </c>
      <c r="D33" s="3" t="s">
        <v>2079</v>
      </c>
      <c r="E33" s="3">
        <v>1</v>
      </c>
      <c r="F33" s="572">
        <v>1.247233335978252E-4</v>
      </c>
      <c r="G33" s="572">
        <v>1.9717701008844989E-4</v>
      </c>
      <c r="H33" s="572">
        <v>2.7588013366345129E-4</v>
      </c>
      <c r="I33" s="572">
        <v>3.6106339589210849E-4</v>
      </c>
      <c r="J33" s="572">
        <v>3.8887763135033132E-4</v>
      </c>
      <c r="K33" s="572">
        <v>7.0829280963418631E-4</v>
      </c>
      <c r="L33" s="572">
        <v>1.134207391881062E-3</v>
      </c>
      <c r="M33" s="572">
        <v>1.573995900315812E-3</v>
      </c>
      <c r="N33" s="572">
        <v>2.028986006981899E-3</v>
      </c>
      <c r="O33" s="572">
        <v>2.500597210496796E-3</v>
      </c>
      <c r="P33" s="572">
        <v>2.674604537591573E-3</v>
      </c>
      <c r="Q33" s="572">
        <v>2.7549730508543199E-3</v>
      </c>
      <c r="R33" s="572">
        <v>2.8395959287016862E-3</v>
      </c>
      <c r="S33" s="572">
        <v>2.9225967022920448E-3</v>
      </c>
      <c r="T33" s="572">
        <v>3.002376059109935E-3</v>
      </c>
      <c r="U33" s="572">
        <v>3.014141448079443E-3</v>
      </c>
      <c r="V33" s="572">
        <v>3.0132729980100899E-3</v>
      </c>
      <c r="W33" s="572">
        <v>3.0020573951777801E-3</v>
      </c>
      <c r="X33" s="572">
        <v>2.9877839948934618E-3</v>
      </c>
      <c r="Y33" s="572">
        <v>3.2291845336988329E-3</v>
      </c>
      <c r="Z33" s="572">
        <v>3.4898536918406822E-3</v>
      </c>
      <c r="AA33" s="572">
        <v>3.5635077387002E-3</v>
      </c>
      <c r="AB33" s="572">
        <v>3.631456664281755E-3</v>
      </c>
      <c r="AC33" s="572">
        <v>3.6907112787227872E-3</v>
      </c>
      <c r="AD33" s="572">
        <v>3.7486785172294928E-3</v>
      </c>
      <c r="AE33" s="572">
        <v>3.8036287970288122E-3</v>
      </c>
      <c r="AF33" s="572">
        <v>3.8538017103202562E-3</v>
      </c>
      <c r="AG33" s="572">
        <v>3.9104194446443578E-3</v>
      </c>
      <c r="AH33" s="572">
        <v>3.9682822534737342E-3</v>
      </c>
      <c r="AI33" s="572">
        <v>4.0277338665856326E-3</v>
      </c>
      <c r="AJ33" s="572">
        <v>4.137621911827853E-3</v>
      </c>
      <c r="AK33" s="572">
        <v>4.2051292642641914E-3</v>
      </c>
      <c r="AL33" s="572">
        <v>4.2573179486642279E-3</v>
      </c>
      <c r="AM33" s="572"/>
    </row>
    <row r="34" spans="1:39" ht="15.75" customHeight="1" x14ac:dyDescent="0.25">
      <c r="A34" s="3"/>
      <c r="B34" s="3" t="s">
        <v>2068</v>
      </c>
      <c r="C34" s="3" t="s">
        <v>2070</v>
      </c>
      <c r="D34" s="3" t="s">
        <v>2079</v>
      </c>
      <c r="E34" s="3">
        <v>1</v>
      </c>
      <c r="F34" s="572">
        <v>0</v>
      </c>
      <c r="G34" s="572">
        <v>0</v>
      </c>
      <c r="H34" s="572">
        <v>0</v>
      </c>
      <c r="I34" s="572">
        <v>0</v>
      </c>
      <c r="J34" s="572">
        <v>0</v>
      </c>
      <c r="K34" s="572">
        <v>0</v>
      </c>
      <c r="L34" s="572">
        <v>0</v>
      </c>
      <c r="M34" s="572">
        <v>0</v>
      </c>
      <c r="N34" s="572">
        <v>0</v>
      </c>
      <c r="O34" s="572">
        <v>0</v>
      </c>
      <c r="P34" s="572">
        <v>0</v>
      </c>
      <c r="Q34" s="572">
        <v>0</v>
      </c>
      <c r="R34" s="572">
        <v>0</v>
      </c>
      <c r="S34" s="572">
        <v>0</v>
      </c>
      <c r="T34" s="572">
        <v>0</v>
      </c>
      <c r="U34" s="572">
        <v>0</v>
      </c>
      <c r="V34" s="572">
        <v>0</v>
      </c>
      <c r="W34" s="572">
        <v>0</v>
      </c>
      <c r="X34" s="572">
        <v>0</v>
      </c>
      <c r="Y34" s="572">
        <v>0</v>
      </c>
      <c r="Z34" s="572">
        <v>0</v>
      </c>
      <c r="AA34" s="572">
        <v>0</v>
      </c>
      <c r="AB34" s="572">
        <v>0</v>
      </c>
      <c r="AC34" s="572">
        <v>0</v>
      </c>
      <c r="AD34" s="572">
        <v>0</v>
      </c>
      <c r="AE34" s="572">
        <v>0</v>
      </c>
      <c r="AF34" s="572">
        <v>1.3101575464601649E-5</v>
      </c>
      <c r="AG34" s="572">
        <v>2.9165918730270622E-5</v>
      </c>
      <c r="AH34" s="572">
        <v>4.873451894469435E-5</v>
      </c>
      <c r="AI34" s="572">
        <v>7.2264005822099514E-5</v>
      </c>
      <c r="AJ34" s="572">
        <v>1.0163783915035379E-4</v>
      </c>
      <c r="AK34" s="572">
        <v>1.166726243045625E-4</v>
      </c>
      <c r="AL34" s="572">
        <v>1.3209942724156081E-4</v>
      </c>
      <c r="AM34" s="572"/>
    </row>
    <row r="35" spans="1:39" ht="15.75" customHeight="1" x14ac:dyDescent="0.25">
      <c r="A35" s="3"/>
      <c r="B35" s="3" t="s">
        <v>2068</v>
      </c>
      <c r="C35" s="3" t="s">
        <v>2070</v>
      </c>
      <c r="D35" s="3" t="s">
        <v>2079</v>
      </c>
      <c r="E35" s="3">
        <v>1</v>
      </c>
      <c r="F35" s="572">
        <v>0</v>
      </c>
      <c r="G35" s="572">
        <v>0</v>
      </c>
      <c r="H35" s="572">
        <v>0</v>
      </c>
      <c r="I35" s="572">
        <v>0</v>
      </c>
      <c r="J35" s="572">
        <v>0</v>
      </c>
      <c r="K35" s="572">
        <v>0</v>
      </c>
      <c r="L35" s="572">
        <v>0</v>
      </c>
      <c r="M35" s="572">
        <v>0</v>
      </c>
      <c r="N35" s="572">
        <v>0</v>
      </c>
      <c r="O35" s="572">
        <v>0</v>
      </c>
      <c r="P35" s="572">
        <v>0</v>
      </c>
      <c r="Q35" s="572">
        <v>0</v>
      </c>
      <c r="R35" s="572">
        <v>1.7077087743705959E-3</v>
      </c>
      <c r="S35" s="572">
        <v>3.713565197960695E-3</v>
      </c>
      <c r="T35" s="572">
        <v>4.179280302189432E-3</v>
      </c>
      <c r="U35" s="572">
        <v>4.6591121751991434E-3</v>
      </c>
      <c r="V35" s="572">
        <v>5.1455201124543746E-3</v>
      </c>
      <c r="W35" s="572">
        <v>5.6404105734369284E-3</v>
      </c>
      <c r="X35" s="572">
        <v>6.1574082226982189E-3</v>
      </c>
      <c r="Y35" s="572">
        <v>6.7123732527916528E-3</v>
      </c>
      <c r="Z35" s="572">
        <v>7.3082106297578248E-3</v>
      </c>
      <c r="AA35" s="572">
        <v>7.9281830194383521E-3</v>
      </c>
      <c r="AB35" s="572">
        <v>8.5685049432295077E-3</v>
      </c>
      <c r="AC35" s="572">
        <v>9.2208239961475771E-3</v>
      </c>
      <c r="AD35" s="572">
        <v>9.8917047459914312E-3</v>
      </c>
      <c r="AE35" s="572">
        <v>1.057619178901425E-2</v>
      </c>
      <c r="AF35" s="572">
        <v>1.016017850385739E-2</v>
      </c>
      <c r="AG35" s="572">
        <v>9.5721053373326297E-3</v>
      </c>
      <c r="AH35" s="572">
        <v>8.8541753035473719E-3</v>
      </c>
      <c r="AI35" s="572">
        <v>7.8486160733754994E-3</v>
      </c>
      <c r="AJ35" s="572">
        <v>6.601339167796534E-3</v>
      </c>
      <c r="AK35" s="572">
        <v>6.5930091145092297E-3</v>
      </c>
      <c r="AL35" s="572">
        <v>6.5586678031707632E-3</v>
      </c>
      <c r="AM35" s="572"/>
    </row>
    <row r="36" spans="1:39" ht="15.75" customHeight="1" x14ac:dyDescent="0.25">
      <c r="A36" s="3"/>
      <c r="B36" s="3" t="s">
        <v>2068</v>
      </c>
      <c r="C36" s="3" t="s">
        <v>2070</v>
      </c>
      <c r="D36" s="3" t="s">
        <v>2079</v>
      </c>
      <c r="E36" s="3">
        <v>1</v>
      </c>
      <c r="F36" s="572">
        <v>0</v>
      </c>
      <c r="G36" s="572">
        <v>0</v>
      </c>
      <c r="H36" s="572">
        <v>0</v>
      </c>
      <c r="I36" s="572">
        <v>0</v>
      </c>
      <c r="J36" s="572">
        <v>0</v>
      </c>
      <c r="K36" s="572">
        <v>0</v>
      </c>
      <c r="L36" s="572">
        <v>0</v>
      </c>
      <c r="M36" s="572">
        <v>0</v>
      </c>
      <c r="N36" s="572">
        <v>0</v>
      </c>
      <c r="O36" s="572">
        <v>0</v>
      </c>
      <c r="P36" s="572">
        <v>0</v>
      </c>
      <c r="Q36" s="572">
        <v>0</v>
      </c>
      <c r="R36" s="572">
        <v>2.7428430160660031E-3</v>
      </c>
      <c r="S36" s="572">
        <v>5.9645570256476399E-3</v>
      </c>
      <c r="T36" s="572">
        <v>6.7125671315165641E-3</v>
      </c>
      <c r="U36" s="572">
        <v>7.4832509398583148E-3</v>
      </c>
      <c r="V36" s="572">
        <v>8.2644969190805665E-3</v>
      </c>
      <c r="W36" s="572">
        <v>9.0593671364125432E-3</v>
      </c>
      <c r="X36" s="572">
        <v>9.8897448992260623E-3</v>
      </c>
      <c r="Y36" s="572">
        <v>1.078110411679151E-2</v>
      </c>
      <c r="Z36" s="572">
        <v>1.173811061148795E-2</v>
      </c>
      <c r="AA36" s="572">
        <v>1.273388164968252E-2</v>
      </c>
      <c r="AB36" s="572">
        <v>1.376233717035631E-2</v>
      </c>
      <c r="AC36" s="572">
        <v>1.4810061926120111E-2</v>
      </c>
      <c r="AD36" s="572">
        <v>1.5887599622792389E-2</v>
      </c>
      <c r="AE36" s="572">
        <v>1.6986991119585959E-2</v>
      </c>
      <c r="AF36" s="572">
        <v>1.6318809781580179E-2</v>
      </c>
      <c r="AG36" s="572">
        <v>1.537427380334656E-2</v>
      </c>
      <c r="AH36" s="572">
        <v>1.422116771831301E-2</v>
      </c>
      <c r="AI36" s="572">
        <v>1.260608489323695E-2</v>
      </c>
      <c r="AJ36" s="572">
        <v>1.0602766294122431E-2</v>
      </c>
      <c r="AK36" s="572">
        <v>1.0589386946996361E-2</v>
      </c>
      <c r="AL36" s="572">
        <v>1.053422951770812E-2</v>
      </c>
      <c r="AM36" s="572"/>
    </row>
    <row r="37" spans="1:39" ht="15.75" customHeight="1" x14ac:dyDescent="0.25">
      <c r="A37" s="3"/>
      <c r="B37" s="3" t="s">
        <v>2068</v>
      </c>
      <c r="C37" s="3" t="s">
        <v>2070</v>
      </c>
      <c r="D37" s="3" t="s">
        <v>2079</v>
      </c>
      <c r="E37" s="3">
        <v>1</v>
      </c>
      <c r="F37" s="572">
        <v>0</v>
      </c>
      <c r="G37" s="572">
        <v>0</v>
      </c>
      <c r="H37" s="572">
        <v>0</v>
      </c>
      <c r="I37" s="572">
        <v>0</v>
      </c>
      <c r="J37" s="572">
        <v>0</v>
      </c>
      <c r="K37" s="572">
        <v>0</v>
      </c>
      <c r="L37" s="572">
        <v>0</v>
      </c>
      <c r="M37" s="572">
        <v>0</v>
      </c>
      <c r="N37" s="572">
        <v>0</v>
      </c>
      <c r="O37" s="572">
        <v>0</v>
      </c>
      <c r="P37" s="572">
        <v>0</v>
      </c>
      <c r="Q37" s="572">
        <v>7.1648841365018316E-4</v>
      </c>
      <c r="R37" s="572">
        <v>9.2823228395742478E-3</v>
      </c>
      <c r="S37" s="572">
        <v>1.9540836754311942E-2</v>
      </c>
      <c r="T37" s="572">
        <v>2.233143670245033E-2</v>
      </c>
      <c r="U37" s="572">
        <v>2.5188263459625378E-2</v>
      </c>
      <c r="V37" s="572">
        <v>2.8125503071033751E-2</v>
      </c>
      <c r="W37" s="572">
        <v>3.1072407602247169E-2</v>
      </c>
      <c r="X37" s="572">
        <v>3.3848424286055903E-2</v>
      </c>
      <c r="Y37" s="572">
        <v>3.7038994059294048E-2</v>
      </c>
      <c r="Z37" s="572">
        <v>4.0858789031735163E-2</v>
      </c>
      <c r="AA37" s="572">
        <v>4.5026864275097403E-2</v>
      </c>
      <c r="AB37" s="572">
        <v>4.8976540174728737E-2</v>
      </c>
      <c r="AC37" s="572">
        <v>5.2899313158654079E-2</v>
      </c>
      <c r="AD37" s="572">
        <v>5.6954802390384911E-2</v>
      </c>
      <c r="AE37" s="572">
        <v>7.3259364445124778E-2</v>
      </c>
      <c r="AF37" s="572">
        <v>8.6693927605397375E-2</v>
      </c>
      <c r="AG37" s="572">
        <v>0.10228506287868031</v>
      </c>
      <c r="AH37" s="572">
        <v>0.1077841199083152</v>
      </c>
      <c r="AI37" s="572">
        <v>0.10876803725713551</v>
      </c>
      <c r="AJ37" s="572">
        <v>0.1072739927375284</v>
      </c>
      <c r="AK37" s="572">
        <v>0.11119263570673329</v>
      </c>
      <c r="AL37" s="572">
        <v>0.1227798102250202</v>
      </c>
      <c r="AM37" s="572"/>
    </row>
    <row r="38" spans="1:39" ht="15.75" customHeight="1" x14ac:dyDescent="0.25">
      <c r="A38" s="3"/>
      <c r="B38" s="3" t="s">
        <v>2073</v>
      </c>
      <c r="C38" s="3" t="s">
        <v>2070</v>
      </c>
      <c r="D38" s="3" t="s">
        <v>2079</v>
      </c>
      <c r="E38" s="3">
        <v>1</v>
      </c>
      <c r="F38" s="572">
        <v>0</v>
      </c>
      <c r="G38" s="572">
        <v>0</v>
      </c>
      <c r="H38" s="572">
        <v>0</v>
      </c>
      <c r="I38" s="572">
        <v>0</v>
      </c>
      <c r="J38" s="572">
        <v>0</v>
      </c>
      <c r="K38" s="572">
        <v>0</v>
      </c>
      <c r="L38" s="572">
        <v>0</v>
      </c>
      <c r="M38" s="572">
        <v>0</v>
      </c>
      <c r="N38" s="572">
        <v>0</v>
      </c>
      <c r="O38" s="572">
        <v>0</v>
      </c>
      <c r="P38" s="572">
        <v>0</v>
      </c>
      <c r="Q38" s="572">
        <v>0</v>
      </c>
      <c r="R38" s="572">
        <v>0</v>
      </c>
      <c r="S38" s="572">
        <v>0</v>
      </c>
      <c r="T38" s="572">
        <v>0</v>
      </c>
      <c r="U38" s="572">
        <v>0</v>
      </c>
      <c r="V38" s="572">
        <v>0</v>
      </c>
      <c r="W38" s="572">
        <v>1.1007246121578339E-3</v>
      </c>
      <c r="X38" s="572">
        <v>2.2149772754146489E-3</v>
      </c>
      <c r="Y38" s="572">
        <v>3.3491290038821149E-3</v>
      </c>
      <c r="Z38" s="572">
        <v>4.5122837777419791E-3</v>
      </c>
      <c r="AA38" s="572">
        <v>5.6913676721745462E-3</v>
      </c>
      <c r="AB38" s="572">
        <v>6.8872102676765983E-3</v>
      </c>
      <c r="AC38" s="572">
        <v>8.086548770533818E-3</v>
      </c>
      <c r="AD38" s="572">
        <v>8.1357555704743862E-3</v>
      </c>
      <c r="AE38" s="572">
        <v>7.6360811401844806E-3</v>
      </c>
      <c r="AF38" s="572">
        <v>9.3365885751559349E-3</v>
      </c>
      <c r="AG38" s="572">
        <v>1.1005370618726071E-2</v>
      </c>
      <c r="AH38" s="572">
        <v>1.25395667853706E-2</v>
      </c>
      <c r="AI38" s="572">
        <v>1.2679590951652889E-2</v>
      </c>
      <c r="AJ38" s="572">
        <v>1.2975161055288391E-2</v>
      </c>
      <c r="AK38" s="572">
        <v>1.3135031015029089E-2</v>
      </c>
      <c r="AL38" s="572">
        <v>7.947860668286363E-3</v>
      </c>
      <c r="AM38" s="572"/>
    </row>
    <row r="39" spans="1:39" ht="15.75" customHeight="1" x14ac:dyDescent="0.25">
      <c r="A39" s="3"/>
      <c r="B39" s="3" t="s">
        <v>2074</v>
      </c>
      <c r="C39" s="3" t="s">
        <v>2070</v>
      </c>
      <c r="D39" s="3" t="s">
        <v>2079</v>
      </c>
      <c r="E39" s="3">
        <v>1</v>
      </c>
      <c r="F39" s="572">
        <v>0</v>
      </c>
      <c r="G39" s="572">
        <v>0</v>
      </c>
      <c r="H39" s="572">
        <v>0</v>
      </c>
      <c r="I39" s="572">
        <v>0</v>
      </c>
      <c r="J39" s="572">
        <v>0</v>
      </c>
      <c r="K39" s="572">
        <v>0</v>
      </c>
      <c r="L39" s="572">
        <v>0</v>
      </c>
      <c r="M39" s="572">
        <v>0</v>
      </c>
      <c r="N39" s="572">
        <v>0</v>
      </c>
      <c r="O39" s="572">
        <v>0</v>
      </c>
      <c r="P39" s="572">
        <v>0</v>
      </c>
      <c r="Q39" s="572">
        <v>0</v>
      </c>
      <c r="R39" s="572">
        <v>0</v>
      </c>
      <c r="S39" s="572">
        <v>0</v>
      </c>
      <c r="T39" s="572">
        <v>0</v>
      </c>
      <c r="U39" s="572">
        <v>0</v>
      </c>
      <c r="V39" s="572">
        <v>0</v>
      </c>
      <c r="W39" s="572">
        <v>0</v>
      </c>
      <c r="X39" s="572">
        <v>0</v>
      </c>
      <c r="Y39" s="572">
        <v>0</v>
      </c>
      <c r="Z39" s="572">
        <v>0</v>
      </c>
      <c r="AA39" s="572">
        <v>0</v>
      </c>
      <c r="AB39" s="572">
        <v>1.523528526884633E-6</v>
      </c>
      <c r="AC39" s="572">
        <v>3.2237108793935251E-6</v>
      </c>
      <c r="AD39" s="572">
        <v>5.0962719585663457E-6</v>
      </c>
      <c r="AE39" s="572">
        <v>7.1340259977809101E-6</v>
      </c>
      <c r="AF39" s="572">
        <v>3.0981277435455008E-5</v>
      </c>
      <c r="AG39" s="572">
        <v>5.3825890558261311E-5</v>
      </c>
      <c r="AH39" s="572">
        <v>7.7459099645844288E-5</v>
      </c>
      <c r="AI39" s="572">
        <v>7.8820126649919956E-5</v>
      </c>
      <c r="AJ39" s="572">
        <v>8.1167198036158033E-5</v>
      </c>
      <c r="AK39" s="572">
        <v>8.2686298925479829E-5</v>
      </c>
      <c r="AL39" s="572">
        <v>8.3900525145747193E-5</v>
      </c>
      <c r="AM39" s="572"/>
    </row>
    <row r="40" spans="1:39" ht="15.75" customHeight="1" x14ac:dyDescent="0.25">
      <c r="A40" s="3"/>
      <c r="B40" s="3" t="s">
        <v>2074</v>
      </c>
      <c r="C40" s="3" t="s">
        <v>2070</v>
      </c>
      <c r="D40" s="3" t="s">
        <v>2079</v>
      </c>
      <c r="E40" s="3">
        <v>1</v>
      </c>
      <c r="F40" s="572">
        <v>4.3648724486724348E-3</v>
      </c>
      <c r="G40" s="572">
        <v>9.5683674503027998E-3</v>
      </c>
      <c r="H40" s="572">
        <v>9.5453743608877092E-3</v>
      </c>
      <c r="I40" s="572">
        <v>9.5139138736681089E-3</v>
      </c>
      <c r="J40" s="572">
        <v>1.0107704279922631E-2</v>
      </c>
      <c r="K40" s="572">
        <v>1.0520308331058889E-2</v>
      </c>
      <c r="L40" s="572">
        <v>1.2057932046140149E-2</v>
      </c>
      <c r="M40" s="572">
        <v>1.9444489336563741E-2</v>
      </c>
      <c r="N40" s="572">
        <v>3.008402199180911E-2</v>
      </c>
      <c r="O40" s="572">
        <v>3.0885198370937401E-2</v>
      </c>
      <c r="P40" s="572">
        <v>3.1240976020694079E-2</v>
      </c>
      <c r="Q40" s="572">
        <v>3.3911006680485682E-2</v>
      </c>
      <c r="R40" s="572">
        <v>3.6580625513052897E-2</v>
      </c>
      <c r="S40" s="572">
        <v>3.9440624177236733E-2</v>
      </c>
      <c r="T40" s="572">
        <v>4.2182533172040071E-2</v>
      </c>
      <c r="U40" s="572">
        <v>4.5118501889945067E-2</v>
      </c>
      <c r="V40" s="572">
        <v>4.6050005937018718E-2</v>
      </c>
      <c r="W40" s="572">
        <v>4.7224581709256683E-2</v>
      </c>
      <c r="X40" s="572">
        <v>4.7999630120141003E-2</v>
      </c>
      <c r="Y40" s="572">
        <v>5.178273658692617E-2</v>
      </c>
      <c r="Z40" s="572">
        <v>5.5729975068369832E-2</v>
      </c>
      <c r="AA40" s="572">
        <v>5.9524885764521099E-2</v>
      </c>
      <c r="AB40" s="572">
        <v>6.3288341173936155E-2</v>
      </c>
      <c r="AC40" s="572">
        <v>6.6954017746373162E-2</v>
      </c>
      <c r="AD40" s="572">
        <v>7.0565652555116085E-2</v>
      </c>
      <c r="AE40" s="572">
        <v>7.4085253410499041E-2</v>
      </c>
      <c r="AF40" s="572">
        <v>7.5274864478494311E-2</v>
      </c>
      <c r="AG40" s="572">
        <v>7.6589818447135055E-2</v>
      </c>
      <c r="AH40" s="572">
        <v>7.7927421294727184E-2</v>
      </c>
      <c r="AI40" s="572">
        <v>7.9296614718906686E-2</v>
      </c>
      <c r="AJ40" s="572">
        <v>8.1658048068623479E-2</v>
      </c>
      <c r="AK40" s="572">
        <v>8.3186104558537352E-2</v>
      </c>
      <c r="AL40" s="572">
        <v>8.4407861900018297E-2</v>
      </c>
      <c r="AM40" s="572"/>
    </row>
    <row r="41" spans="1:39" ht="15.75" customHeight="1" x14ac:dyDescent="0.25">
      <c r="A41" s="3"/>
      <c r="B41" s="3" t="s">
        <v>2069</v>
      </c>
      <c r="C41" s="3" t="s">
        <v>2070</v>
      </c>
      <c r="D41" s="3" t="s">
        <v>2079</v>
      </c>
      <c r="E41" s="3">
        <v>1</v>
      </c>
      <c r="F41" s="572">
        <v>0</v>
      </c>
      <c r="G41" s="572">
        <v>0</v>
      </c>
      <c r="H41" s="572">
        <v>0</v>
      </c>
      <c r="I41" s="572">
        <v>0</v>
      </c>
      <c r="J41" s="572">
        <v>0</v>
      </c>
      <c r="K41" s="572">
        <v>0</v>
      </c>
      <c r="L41" s="572">
        <v>0</v>
      </c>
      <c r="M41" s="572">
        <v>0</v>
      </c>
      <c r="N41" s="572">
        <v>0</v>
      </c>
      <c r="O41" s="572">
        <v>0</v>
      </c>
      <c r="P41" s="572">
        <v>0</v>
      </c>
      <c r="Q41" s="572">
        <v>0</v>
      </c>
      <c r="R41" s="572">
        <v>0</v>
      </c>
      <c r="S41" s="572">
        <v>0</v>
      </c>
      <c r="T41" s="572">
        <v>0</v>
      </c>
      <c r="U41" s="572">
        <v>0</v>
      </c>
      <c r="V41" s="572">
        <v>0</v>
      </c>
      <c r="W41" s="572">
        <v>0</v>
      </c>
      <c r="X41" s="572">
        <v>0</v>
      </c>
      <c r="Y41" s="572">
        <v>0</v>
      </c>
      <c r="Z41" s="572">
        <v>0</v>
      </c>
      <c r="AA41" s="572">
        <v>0</v>
      </c>
      <c r="AB41" s="572">
        <v>0</v>
      </c>
      <c r="AC41" s="572">
        <v>0</v>
      </c>
      <c r="AD41" s="572">
        <v>0</v>
      </c>
      <c r="AE41" s="572">
        <v>0</v>
      </c>
      <c r="AF41" s="572">
        <v>1.837811649006389E-9</v>
      </c>
      <c r="AG41" s="572">
        <v>3.3548487860255717E-8</v>
      </c>
      <c r="AH41" s="572">
        <v>1.5287883946192849E-7</v>
      </c>
      <c r="AI41" s="572">
        <v>3.4863085126651911E-7</v>
      </c>
      <c r="AJ41" s="572">
        <v>6.3045809933052166E-7</v>
      </c>
      <c r="AK41" s="572">
        <v>8.94183351561074E-7</v>
      </c>
      <c r="AL41" s="572">
        <v>1.157060582292733E-6</v>
      </c>
      <c r="AM41" s="572"/>
    </row>
    <row r="42" spans="1:39" ht="15.75" customHeight="1" x14ac:dyDescent="0.25">
      <c r="A42" s="3"/>
      <c r="B42" s="3" t="s">
        <v>2069</v>
      </c>
      <c r="C42" s="3" t="s">
        <v>2070</v>
      </c>
      <c r="D42" s="3" t="s">
        <v>2079</v>
      </c>
      <c r="E42" s="3">
        <v>1</v>
      </c>
      <c r="F42" s="572">
        <v>0</v>
      </c>
      <c r="G42" s="572">
        <v>0</v>
      </c>
      <c r="H42" s="572">
        <v>0</v>
      </c>
      <c r="I42" s="572">
        <v>0</v>
      </c>
      <c r="J42" s="572">
        <v>0</v>
      </c>
      <c r="K42" s="572">
        <v>0</v>
      </c>
      <c r="L42" s="572">
        <v>0</v>
      </c>
      <c r="M42" s="572">
        <v>0</v>
      </c>
      <c r="N42" s="572">
        <v>0</v>
      </c>
      <c r="O42" s="572">
        <v>0</v>
      </c>
      <c r="P42" s="572">
        <v>0</v>
      </c>
      <c r="Q42" s="572">
        <v>0</v>
      </c>
      <c r="R42" s="572">
        <v>0</v>
      </c>
      <c r="S42" s="572">
        <v>0</v>
      </c>
      <c r="T42" s="572">
        <v>0</v>
      </c>
      <c r="U42" s="572">
        <v>0</v>
      </c>
      <c r="V42" s="572">
        <v>0</v>
      </c>
      <c r="W42" s="572">
        <v>0</v>
      </c>
      <c r="X42" s="572">
        <v>0</v>
      </c>
      <c r="Y42" s="572">
        <v>0</v>
      </c>
      <c r="Z42" s="572">
        <v>0</v>
      </c>
      <c r="AA42" s="572">
        <v>0</v>
      </c>
      <c r="AB42" s="572">
        <v>0</v>
      </c>
      <c r="AC42" s="572">
        <v>0</v>
      </c>
      <c r="AD42" s="572">
        <v>0</v>
      </c>
      <c r="AE42" s="572">
        <v>0</v>
      </c>
      <c r="AF42" s="572">
        <v>2.8780130423440061E-9</v>
      </c>
      <c r="AG42" s="572">
        <v>1.329106759491005E-8</v>
      </c>
      <c r="AH42" s="572">
        <v>1.081855519445896E-7</v>
      </c>
      <c r="AI42" s="572">
        <v>2.7675743605277213E-7</v>
      </c>
      <c r="AJ42" s="572">
        <v>5.2428770295947707E-7</v>
      </c>
      <c r="AK42" s="572">
        <v>8.5171286149556869E-7</v>
      </c>
      <c r="AL42" s="572">
        <v>1.245244592194182E-6</v>
      </c>
      <c r="AM42" s="572"/>
    </row>
    <row r="43" spans="1:39" ht="15.75" customHeight="1" x14ac:dyDescent="0.25">
      <c r="A43" s="3"/>
      <c r="B43" s="3" t="s">
        <v>2069</v>
      </c>
      <c r="C43" s="3" t="s">
        <v>2070</v>
      </c>
      <c r="D43" s="3" t="s">
        <v>2079</v>
      </c>
      <c r="E43" s="3">
        <v>1</v>
      </c>
      <c r="F43" s="572">
        <v>0</v>
      </c>
      <c r="G43" s="572">
        <v>0</v>
      </c>
      <c r="H43" s="572">
        <v>0</v>
      </c>
      <c r="I43" s="572">
        <v>0</v>
      </c>
      <c r="J43" s="572">
        <v>0</v>
      </c>
      <c r="K43" s="572">
        <v>0</v>
      </c>
      <c r="L43" s="572">
        <v>0</v>
      </c>
      <c r="M43" s="572">
        <v>0</v>
      </c>
      <c r="N43" s="572">
        <v>0</v>
      </c>
      <c r="O43" s="572">
        <v>0</v>
      </c>
      <c r="P43" s="572">
        <v>0</v>
      </c>
      <c r="Q43" s="572">
        <v>0</v>
      </c>
      <c r="R43" s="572">
        <v>0</v>
      </c>
      <c r="S43" s="572">
        <v>0</v>
      </c>
      <c r="T43" s="572">
        <v>0</v>
      </c>
      <c r="U43" s="572">
        <v>0</v>
      </c>
      <c r="V43" s="572">
        <v>0</v>
      </c>
      <c r="W43" s="572">
        <v>0</v>
      </c>
      <c r="X43" s="572">
        <v>0</v>
      </c>
      <c r="Y43" s="572">
        <v>0</v>
      </c>
      <c r="Z43" s="572">
        <v>0</v>
      </c>
      <c r="AA43" s="572">
        <v>0</v>
      </c>
      <c r="AB43" s="572">
        <v>3.5934897776974939E-8</v>
      </c>
      <c r="AC43" s="572">
        <v>1.081235443123029E-7</v>
      </c>
      <c r="AD43" s="572">
        <v>2.1728362971499169E-7</v>
      </c>
      <c r="AE43" s="572">
        <v>3.6382278027371352E-7</v>
      </c>
      <c r="AF43" s="572">
        <v>2.9783796121195421E-6</v>
      </c>
      <c r="AG43" s="572">
        <v>8.0795574946641974E-6</v>
      </c>
      <c r="AH43" s="572">
        <v>1.579157949094636E-5</v>
      </c>
      <c r="AI43" s="572">
        <v>2.6157024609814709E-5</v>
      </c>
      <c r="AJ43" s="572">
        <v>3.9695991371043653E-5</v>
      </c>
      <c r="AK43" s="572">
        <v>5.5681906155286187E-5</v>
      </c>
      <c r="AL43" s="572">
        <v>7.1690241774407298E-5</v>
      </c>
      <c r="AM43" s="572"/>
    </row>
    <row r="44" spans="1:39" ht="15.75" customHeight="1" x14ac:dyDescent="0.25">
      <c r="A44" s="3"/>
      <c r="B44" s="3" t="s">
        <v>2069</v>
      </c>
      <c r="C44" s="3" t="s">
        <v>2070</v>
      </c>
      <c r="D44" s="3" t="s">
        <v>2079</v>
      </c>
      <c r="E44" s="3">
        <v>1</v>
      </c>
      <c r="F44" s="572">
        <v>2.9031034812594149E-4</v>
      </c>
      <c r="G44" s="572">
        <v>2.975197106017375E-4</v>
      </c>
      <c r="H44" s="572">
        <v>3.0069812787212409E-4</v>
      </c>
      <c r="I44" s="572">
        <v>4.0259192689320043E-4</v>
      </c>
      <c r="J44" s="572">
        <v>4.8785626605673231E-4</v>
      </c>
      <c r="K44" s="572">
        <v>5.5906053893379094E-4</v>
      </c>
      <c r="L44" s="572">
        <v>6.0869327819823148E-4</v>
      </c>
      <c r="M44" s="572">
        <v>6.4399197937944983E-4</v>
      </c>
      <c r="N44" s="572">
        <v>5.9664645311106163E-4</v>
      </c>
      <c r="O44" s="572">
        <v>5.4598996820866687E-4</v>
      </c>
      <c r="P44" s="572">
        <v>4.965886885352341E-4</v>
      </c>
      <c r="Q44" s="572">
        <v>4.4894016121761591E-4</v>
      </c>
      <c r="R44" s="572">
        <v>4.019718012339951E-4</v>
      </c>
      <c r="S44" s="572">
        <v>3.5480494049047669E-4</v>
      </c>
      <c r="T44" s="572">
        <v>3.066052203031383E-4</v>
      </c>
      <c r="U44" s="572">
        <v>2.6444229335435311E-4</v>
      </c>
      <c r="V44" s="572">
        <v>2.2512721406746909E-4</v>
      </c>
      <c r="W44" s="572">
        <v>1.846163882354533E-4</v>
      </c>
      <c r="X44" s="572">
        <v>1.496261537615266E-4</v>
      </c>
      <c r="Y44" s="572">
        <v>1.2706510728246339E-4</v>
      </c>
      <c r="Z44" s="572">
        <v>1.109045810518742E-4</v>
      </c>
      <c r="AA44" s="572">
        <v>1.011116372031662E-4</v>
      </c>
      <c r="AB44" s="572">
        <v>9.4949561573279362E-5</v>
      </c>
      <c r="AC44" s="572">
        <v>8.6786595895018434E-5</v>
      </c>
      <c r="AD44" s="572">
        <v>7.8163734143732477E-5</v>
      </c>
      <c r="AE44" s="572">
        <v>6.802027379099758E-5</v>
      </c>
      <c r="AF44" s="572">
        <v>5.7444225094985153E-5</v>
      </c>
      <c r="AG44" s="572">
        <v>4.6441875713221852E-5</v>
      </c>
      <c r="AH44" s="572">
        <v>3.4686603080358377E-5</v>
      </c>
      <c r="AI44" s="572">
        <v>2.2091812105766158E-5</v>
      </c>
      <c r="AJ44" s="572">
        <v>1.13368522331657E-5</v>
      </c>
      <c r="AK44" s="572">
        <v>4.5970001054348693E-6</v>
      </c>
      <c r="AL44" s="572">
        <v>3.4404609924016349E-6</v>
      </c>
      <c r="AM44" s="572"/>
    </row>
    <row r="45" spans="1:39" ht="15.75" customHeight="1" x14ac:dyDescent="0.25">
      <c r="A45" s="3"/>
      <c r="B45" s="3" t="s">
        <v>2069</v>
      </c>
      <c r="C45" s="3" t="s">
        <v>2070</v>
      </c>
      <c r="D45" s="3" t="s">
        <v>2079</v>
      </c>
      <c r="E45" s="3">
        <v>1</v>
      </c>
      <c r="F45" s="572">
        <v>0</v>
      </c>
      <c r="G45" s="572">
        <v>0</v>
      </c>
      <c r="H45" s="572">
        <v>0</v>
      </c>
      <c r="I45" s="572">
        <v>0</v>
      </c>
      <c r="J45" s="572">
        <v>0</v>
      </c>
      <c r="K45" s="572">
        <v>0</v>
      </c>
      <c r="L45" s="572">
        <v>0</v>
      </c>
      <c r="M45" s="572">
        <v>0</v>
      </c>
      <c r="N45" s="572">
        <v>0</v>
      </c>
      <c r="O45" s="572">
        <v>0</v>
      </c>
      <c r="P45" s="572">
        <v>0</v>
      </c>
      <c r="Q45" s="572">
        <v>0</v>
      </c>
      <c r="R45" s="572">
        <v>0</v>
      </c>
      <c r="S45" s="572">
        <v>0</v>
      </c>
      <c r="T45" s="572">
        <v>0</v>
      </c>
      <c r="U45" s="572">
        <v>0</v>
      </c>
      <c r="V45" s="572">
        <v>0</v>
      </c>
      <c r="W45" s="572">
        <v>0</v>
      </c>
      <c r="X45" s="572">
        <v>0</v>
      </c>
      <c r="Y45" s="572">
        <v>0</v>
      </c>
      <c r="Z45" s="572">
        <v>0</v>
      </c>
      <c r="AA45" s="572">
        <v>0</v>
      </c>
      <c r="AB45" s="572">
        <v>0</v>
      </c>
      <c r="AC45" s="572">
        <v>0</v>
      </c>
      <c r="AD45" s="572">
        <v>0</v>
      </c>
      <c r="AE45" s="572">
        <v>0</v>
      </c>
      <c r="AF45" s="572">
        <v>0</v>
      </c>
      <c r="AG45" s="572">
        <v>8.4905173046988157E-9</v>
      </c>
      <c r="AH45" s="572">
        <v>1.685686704046971E-7</v>
      </c>
      <c r="AI45" s="572">
        <v>4.5217038298441959E-7</v>
      </c>
      <c r="AJ45" s="572">
        <v>8.7586377635774505E-7</v>
      </c>
      <c r="AK45" s="572">
        <v>1.269677816048749E-6</v>
      </c>
      <c r="AL45" s="572">
        <v>1.662761385020966E-6</v>
      </c>
      <c r="AM45" s="572"/>
    </row>
    <row r="46" spans="1:39" ht="15.75" customHeight="1" x14ac:dyDescent="0.25">
      <c r="A46" s="3"/>
      <c r="B46" s="3" t="s">
        <v>2080</v>
      </c>
      <c r="C46" s="3" t="s">
        <v>2070</v>
      </c>
      <c r="D46" s="3" t="s">
        <v>2079</v>
      </c>
      <c r="E46" s="3">
        <v>1</v>
      </c>
      <c r="F46" s="572">
        <v>0</v>
      </c>
      <c r="G46" s="572">
        <v>0</v>
      </c>
      <c r="H46" s="572">
        <v>0</v>
      </c>
      <c r="I46" s="572">
        <v>0</v>
      </c>
      <c r="J46" s="572">
        <v>0</v>
      </c>
      <c r="K46" s="572">
        <v>1.170882409104034E-2</v>
      </c>
      <c r="L46" s="572">
        <v>2.3805778997884171E-2</v>
      </c>
      <c r="M46" s="572">
        <v>2.4205965421110219E-2</v>
      </c>
      <c r="N46" s="572">
        <v>2.4627055109842449E-2</v>
      </c>
      <c r="O46" s="572">
        <v>2.5071957605381841E-2</v>
      </c>
      <c r="P46" s="572">
        <v>2.5563650023576429E-2</v>
      </c>
      <c r="Q46" s="572">
        <v>2.6130624026393531E-2</v>
      </c>
      <c r="R46" s="572">
        <v>2.67332536599886E-2</v>
      </c>
      <c r="S46" s="572">
        <v>2.731530386864716E-2</v>
      </c>
      <c r="T46" s="572">
        <v>2.7862991047383129E-2</v>
      </c>
      <c r="U46" s="572">
        <v>2.8394561883881779E-2</v>
      </c>
      <c r="V46" s="572">
        <v>2.8869316750085989E-2</v>
      </c>
      <c r="W46" s="572">
        <v>2.9308975968077071E-2</v>
      </c>
      <c r="X46" s="572">
        <v>2.9785157542538639E-2</v>
      </c>
      <c r="Y46" s="572">
        <v>3.0362264191720709E-2</v>
      </c>
      <c r="Z46" s="572">
        <v>3.103227403626806E-2</v>
      </c>
      <c r="AA46" s="572">
        <v>3.1710293425038373E-2</v>
      </c>
      <c r="AB46" s="572">
        <v>3.2380473308252521E-2</v>
      </c>
      <c r="AC46" s="572">
        <v>3.3012349052362798E-2</v>
      </c>
      <c r="AD46" s="572">
        <v>3.3632343709609977E-2</v>
      </c>
      <c r="AE46" s="572">
        <v>3.42254472906625E-2</v>
      </c>
      <c r="AF46" s="572">
        <v>3.4775136345906607E-2</v>
      </c>
      <c r="AG46" s="572">
        <v>3.5382737684634943E-2</v>
      </c>
      <c r="AH46" s="572">
        <v>3.6000552816871603E-2</v>
      </c>
      <c r="AI46" s="572">
        <v>3.6633303426304963E-2</v>
      </c>
      <c r="AJ46" s="572">
        <v>3.7724242229892728E-2</v>
      </c>
      <c r="AK46" s="572">
        <v>3.8430274994460813E-2</v>
      </c>
      <c r="AL46" s="572">
        <v>3.8994606853582803E-2</v>
      </c>
      <c r="AM46" s="572"/>
    </row>
    <row r="47" spans="1:39" ht="15.75" customHeight="1" x14ac:dyDescent="0.25">
      <c r="A47" s="3"/>
      <c r="B47" s="3" t="s">
        <v>2066</v>
      </c>
      <c r="C47" s="3" t="s">
        <v>2081</v>
      </c>
      <c r="D47" s="3" t="s">
        <v>2082</v>
      </c>
      <c r="E47" s="3">
        <v>1</v>
      </c>
      <c r="F47" s="572">
        <v>0</v>
      </c>
      <c r="G47" s="572">
        <v>0</v>
      </c>
      <c r="H47" s="572">
        <v>0</v>
      </c>
      <c r="I47" s="572">
        <v>0</v>
      </c>
      <c r="J47" s="572">
        <v>1.730075103327022E-6</v>
      </c>
      <c r="K47" s="572">
        <v>1.8982374997809811E-5</v>
      </c>
      <c r="L47" s="572">
        <v>4.6437387530386493E-5</v>
      </c>
      <c r="M47" s="572">
        <v>8.7441359123456103E-5</v>
      </c>
      <c r="N47" s="572">
        <v>1.4194214505537371E-4</v>
      </c>
      <c r="O47" s="572">
        <v>2.1507209919800421E-4</v>
      </c>
      <c r="P47" s="572">
        <v>2.8324089609362658E-4</v>
      </c>
      <c r="Q47" s="572">
        <v>3.5053158270654779E-4</v>
      </c>
      <c r="R47" s="572">
        <v>4.1332150691218369E-4</v>
      </c>
      <c r="S47" s="572">
        <v>4.140409753710037E-4</v>
      </c>
      <c r="T47" s="572">
        <v>4.140615909845461E-4</v>
      </c>
      <c r="U47" s="572">
        <v>4.1368498955670361E-4</v>
      </c>
      <c r="V47" s="572">
        <v>4.1235756975534021E-4</v>
      </c>
      <c r="W47" s="572">
        <v>4.1043121464390991E-4</v>
      </c>
      <c r="X47" s="572">
        <v>4.08921719024073E-4</v>
      </c>
      <c r="Y47" s="572">
        <v>4.0866952997223088E-4</v>
      </c>
      <c r="Z47" s="572">
        <v>4.0949655637933401E-4</v>
      </c>
      <c r="AA47" s="572">
        <v>4.102413353428481E-4</v>
      </c>
      <c r="AB47" s="572">
        <v>4.1069513067581867E-4</v>
      </c>
      <c r="AC47" s="572">
        <v>4.1049918227609259E-4</v>
      </c>
      <c r="AD47" s="572">
        <v>4.1000958621623801E-4</v>
      </c>
      <c r="AE47" s="572">
        <v>4.0906078520429898E-4</v>
      </c>
      <c r="AF47" s="572">
        <v>4.0747959881769658E-4</v>
      </c>
      <c r="AG47" s="572">
        <v>4.0646834581289058E-4</v>
      </c>
      <c r="AH47" s="572">
        <v>4.0545808953945921E-4</v>
      </c>
      <c r="AI47" s="572">
        <v>4.0449205830880489E-4</v>
      </c>
      <c r="AJ47" s="572">
        <v>4.0837034701596048E-4</v>
      </c>
      <c r="AK47" s="572">
        <v>4.0785503540037322E-4</v>
      </c>
      <c r="AL47" s="572">
        <v>4.0573062202426801E-4</v>
      </c>
      <c r="AM47" s="572"/>
    </row>
    <row r="48" spans="1:39" ht="15.75" customHeight="1" x14ac:dyDescent="0.25">
      <c r="A48" s="3"/>
      <c r="B48" s="3" t="s">
        <v>2080</v>
      </c>
      <c r="C48" s="3" t="s">
        <v>2081</v>
      </c>
      <c r="D48" s="3" t="s">
        <v>2082</v>
      </c>
      <c r="E48" s="3">
        <v>1</v>
      </c>
      <c r="F48" s="572">
        <v>0</v>
      </c>
      <c r="G48" s="572">
        <v>0</v>
      </c>
      <c r="H48" s="572">
        <v>0</v>
      </c>
      <c r="I48" s="572">
        <v>0</v>
      </c>
      <c r="J48" s="572">
        <v>0</v>
      </c>
      <c r="K48" s="572">
        <v>8.4467123263104963E-3</v>
      </c>
      <c r="L48" s="572">
        <v>2.0301661219126362E-2</v>
      </c>
      <c r="M48" s="572">
        <v>2.3824866830930491E-2</v>
      </c>
      <c r="N48" s="572">
        <v>2.4238786833933049E-2</v>
      </c>
      <c r="O48" s="572">
        <v>2.4677380454446372E-2</v>
      </c>
      <c r="P48" s="572">
        <v>1.9499651982604109E-2</v>
      </c>
      <c r="Q48" s="572">
        <v>1.414579309142471E-2</v>
      </c>
      <c r="R48" s="572">
        <v>8.5523922488350921E-3</v>
      </c>
      <c r="S48" s="572">
        <v>2.6883531885423242E-3</v>
      </c>
      <c r="T48" s="572">
        <v>2.743143100290983E-3</v>
      </c>
      <c r="U48" s="572">
        <v>2.2359084093005548E-3</v>
      </c>
      <c r="V48" s="572">
        <v>1.70354709556809E-3</v>
      </c>
      <c r="W48" s="572">
        <v>1.1538204020262769E-3</v>
      </c>
      <c r="X48" s="572">
        <v>5.8645925518091644E-4</v>
      </c>
      <c r="Y48" s="572">
        <v>0</v>
      </c>
      <c r="Z48" s="572">
        <v>0</v>
      </c>
      <c r="AA48" s="572">
        <v>0</v>
      </c>
      <c r="AB48" s="572">
        <v>0</v>
      </c>
      <c r="AC48" s="572">
        <v>0</v>
      </c>
      <c r="AD48" s="572">
        <v>0</v>
      </c>
      <c r="AE48" s="572">
        <v>0</v>
      </c>
      <c r="AF48" s="572">
        <v>0</v>
      </c>
      <c r="AG48" s="572">
        <v>0</v>
      </c>
      <c r="AH48" s="572">
        <v>0</v>
      </c>
      <c r="AI48" s="572">
        <v>0</v>
      </c>
      <c r="AJ48" s="572">
        <v>0</v>
      </c>
      <c r="AK48" s="572">
        <v>0</v>
      </c>
      <c r="AL48" s="572">
        <v>0</v>
      </c>
      <c r="AM48" s="572"/>
    </row>
    <row r="49" spans="1:39" ht="15.75" customHeight="1" x14ac:dyDescent="0.25">
      <c r="A49" s="3"/>
      <c r="B49" s="3" t="s">
        <v>2066</v>
      </c>
      <c r="C49" s="3" t="s">
        <v>2081</v>
      </c>
      <c r="D49" s="3" t="s">
        <v>2083</v>
      </c>
      <c r="E49" s="3">
        <v>6630</v>
      </c>
      <c r="F49" s="572">
        <v>0</v>
      </c>
      <c r="G49" s="572">
        <v>0</v>
      </c>
      <c r="H49" s="572">
        <v>0</v>
      </c>
      <c r="I49" s="572">
        <v>0</v>
      </c>
      <c r="J49" s="572">
        <v>4.4884165832836251E-7</v>
      </c>
      <c r="K49" s="572">
        <v>1.4425854706833569E-6</v>
      </c>
      <c r="L49" s="572">
        <v>1.303903514699833E-5</v>
      </c>
      <c r="M49" s="572">
        <v>3.5782524872607343E-5</v>
      </c>
      <c r="N49" s="572">
        <v>7.034657170195606E-5</v>
      </c>
      <c r="O49" s="572">
        <v>1.1730201498121869E-4</v>
      </c>
      <c r="P49" s="572">
        <v>1.77164732379384E-4</v>
      </c>
      <c r="Q49" s="572">
        <v>2.3890872183542661E-4</v>
      </c>
      <c r="R49" s="572">
        <v>2.9247235308203383E-4</v>
      </c>
      <c r="S49" s="572">
        <v>3.3651268041300341E-4</v>
      </c>
      <c r="T49" s="572">
        <v>3.7015761635671358E-4</v>
      </c>
      <c r="U49" s="572">
        <v>3.9282960897999531E-4</v>
      </c>
      <c r="V49" s="572">
        <v>4.033571200107217E-4</v>
      </c>
      <c r="W49" s="572">
        <v>4.1350030420114872E-4</v>
      </c>
      <c r="X49" s="572">
        <v>4.2435406911593812E-4</v>
      </c>
      <c r="Y49" s="572">
        <v>4.3680144684259792E-4</v>
      </c>
      <c r="Z49" s="572">
        <v>4.508120476563058E-4</v>
      </c>
      <c r="AA49" s="572">
        <v>4.6517504069101248E-4</v>
      </c>
      <c r="AB49" s="572">
        <v>4.7968976394474697E-4</v>
      </c>
      <c r="AC49" s="572">
        <v>4.9384717915311894E-4</v>
      </c>
      <c r="AD49" s="572">
        <v>5.0801962985677228E-4</v>
      </c>
      <c r="AE49" s="572">
        <v>5.2206059846655298E-4</v>
      </c>
      <c r="AF49" s="572">
        <v>5.3563902659882739E-4</v>
      </c>
      <c r="AG49" s="572">
        <v>5.5035359376891116E-4</v>
      </c>
      <c r="AH49" s="572">
        <v>5.6542619143398667E-4</v>
      </c>
      <c r="AI49" s="572">
        <v>5.8101252390705045E-4</v>
      </c>
      <c r="AJ49" s="572">
        <v>5.4511363290616125E-4</v>
      </c>
      <c r="AK49" s="572">
        <v>5.0178884012394391E-4</v>
      </c>
      <c r="AL49" s="572">
        <v>4.5545000749478819E-4</v>
      </c>
      <c r="AM49" s="572"/>
    </row>
    <row r="50" spans="1:39" ht="15.75" customHeight="1" x14ac:dyDescent="0.25">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row>
    <row r="51" spans="1:39" ht="15.75" customHeight="1" x14ac:dyDescent="0.25">
      <c r="A51" s="3"/>
      <c r="B51" s="2140" t="s">
        <v>2084</v>
      </c>
      <c r="C51" s="2138"/>
      <c r="D51" s="2138"/>
      <c r="E51" s="2138"/>
      <c r="F51" s="2138"/>
      <c r="G51" s="2138"/>
      <c r="H51" s="2138"/>
      <c r="I51" s="2138"/>
      <c r="J51" s="2138"/>
      <c r="K51" s="2138"/>
      <c r="L51" s="2138"/>
      <c r="M51" s="2138"/>
      <c r="N51" s="2138"/>
      <c r="O51" s="2138"/>
      <c r="P51" s="2138"/>
      <c r="Q51" s="2138"/>
      <c r="R51" s="2138"/>
      <c r="S51" s="2138"/>
      <c r="T51" s="2138"/>
      <c r="U51" s="2138"/>
      <c r="V51" s="2138"/>
      <c r="W51" s="2138"/>
      <c r="X51" s="2138"/>
      <c r="Y51" s="2138"/>
      <c r="Z51" s="2138"/>
      <c r="AA51" s="2138"/>
      <c r="AB51" s="2138"/>
      <c r="AC51" s="2138"/>
      <c r="AD51" s="2138"/>
      <c r="AE51" s="2138"/>
      <c r="AF51" s="2138"/>
      <c r="AG51" s="2138"/>
      <c r="AH51" s="2138"/>
      <c r="AI51" s="2138"/>
      <c r="AJ51" s="2138"/>
      <c r="AK51" s="2138"/>
      <c r="AL51" s="2138"/>
      <c r="AM51" s="2139"/>
    </row>
    <row r="52" spans="1:39" ht="15.75" customHeight="1" x14ac:dyDescent="0.25">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row>
    <row r="53" spans="1:39" ht="15.75" customHeight="1" x14ac:dyDescent="0.25">
      <c r="A53" s="3"/>
      <c r="B53" s="60" t="s">
        <v>2015</v>
      </c>
      <c r="C53" s="3" t="s">
        <v>2016</v>
      </c>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row>
    <row r="54" spans="1:39" ht="15.75" customHeight="1" x14ac:dyDescent="0.25">
      <c r="A54" s="3"/>
      <c r="B54" s="60" t="s">
        <v>2017</v>
      </c>
      <c r="C54" s="3" t="s">
        <v>2085</v>
      </c>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row>
    <row r="55" spans="1:39" ht="15.75" customHeight="1" x14ac:dyDescent="0.25">
      <c r="A55" s="3"/>
      <c r="B55" s="60" t="s">
        <v>2019</v>
      </c>
      <c r="C55" s="3" t="s">
        <v>2086</v>
      </c>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row>
    <row r="56" spans="1:39" ht="15.75" customHeight="1" x14ac:dyDescent="0.25">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row>
    <row r="57" spans="1:39" ht="15.75" customHeight="1" x14ac:dyDescent="0.25">
      <c r="A57" s="3"/>
      <c r="B57" s="3" t="s">
        <v>2087</v>
      </c>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row>
    <row r="58" spans="1:39" ht="15.75" customHeight="1" x14ac:dyDescent="0.25">
      <c r="A58" s="3"/>
      <c r="B58" s="3" t="s">
        <v>2088</v>
      </c>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row>
    <row r="59" spans="1:39" ht="15.75" customHeight="1" x14ac:dyDescent="0.25">
      <c r="A59" s="3"/>
      <c r="B59" s="3" t="s">
        <v>2089</v>
      </c>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row>
    <row r="60" spans="1:39" ht="15.75" customHeight="1" x14ac:dyDescent="0.25">
      <c r="A60" s="3"/>
      <c r="B60" s="3" t="s">
        <v>2090</v>
      </c>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row>
    <row r="61" spans="1:39" ht="15.75" customHeight="1" x14ac:dyDescent="0.25">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row>
    <row r="62" spans="1:39" ht="15.75" customHeight="1" x14ac:dyDescent="0.25">
      <c r="A62" s="3"/>
      <c r="B62" s="60" t="s">
        <v>2019</v>
      </c>
      <c r="C62" s="3" t="s">
        <v>2091</v>
      </c>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row>
    <row r="63" spans="1:39" ht="15.75" customHeight="1" x14ac:dyDescent="0.25">
      <c r="A63" s="3"/>
      <c r="B63" s="60"/>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row>
    <row r="64" spans="1:39" ht="15.75" customHeight="1" x14ac:dyDescent="0.25">
      <c r="A64" s="3"/>
      <c r="B64" s="3" t="s">
        <v>2092</v>
      </c>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row>
    <row r="65" spans="1:39" ht="15.75" customHeight="1" x14ac:dyDescent="0.25">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row>
    <row r="66" spans="1:39" ht="15.75" customHeight="1" x14ac:dyDescent="0.25">
      <c r="A66" s="3"/>
      <c r="B66" s="2140" t="s">
        <v>2093</v>
      </c>
      <c r="C66" s="2138"/>
      <c r="D66" s="2138"/>
      <c r="E66" s="2138"/>
      <c r="F66" s="2138"/>
      <c r="G66" s="2138"/>
      <c r="H66" s="2138"/>
      <c r="I66" s="2138"/>
      <c r="J66" s="2138"/>
      <c r="K66" s="2138"/>
      <c r="L66" s="2138"/>
      <c r="M66" s="2138"/>
      <c r="N66" s="2138"/>
      <c r="O66" s="2138"/>
      <c r="P66" s="2138"/>
      <c r="Q66" s="2138"/>
      <c r="R66" s="2138"/>
      <c r="S66" s="2138"/>
      <c r="T66" s="2138"/>
      <c r="U66" s="2138"/>
      <c r="V66" s="2138"/>
      <c r="W66" s="2138"/>
      <c r="X66" s="2138"/>
      <c r="Y66" s="2138"/>
      <c r="Z66" s="2138"/>
      <c r="AA66" s="2138"/>
      <c r="AB66" s="2138"/>
      <c r="AC66" s="2138"/>
      <c r="AD66" s="2138"/>
      <c r="AE66" s="2138"/>
      <c r="AF66" s="2138"/>
      <c r="AG66" s="2138"/>
      <c r="AH66" s="2138"/>
      <c r="AI66" s="2138"/>
      <c r="AJ66" s="2138"/>
      <c r="AK66" s="2138"/>
      <c r="AL66" s="2138"/>
      <c r="AM66" s="2139"/>
    </row>
    <row r="67" spans="1:39" ht="15.75" customHeight="1" x14ac:dyDescent="0.25">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row>
    <row r="68" spans="1:39" ht="15.75" customHeight="1" x14ac:dyDescent="0.25">
      <c r="A68" s="3"/>
      <c r="B68" s="60" t="s">
        <v>2015</v>
      </c>
      <c r="C68" s="3" t="s">
        <v>2094</v>
      </c>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row>
    <row r="69" spans="1:39" ht="15.75" customHeight="1" x14ac:dyDescent="0.25">
      <c r="A69" s="3"/>
      <c r="B69" s="60" t="s">
        <v>2017</v>
      </c>
      <c r="C69" s="3" t="s">
        <v>2095</v>
      </c>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row>
    <row r="70" spans="1:39" ht="15.75" customHeight="1" x14ac:dyDescent="0.25">
      <c r="A70" s="3"/>
      <c r="B70" s="60" t="s">
        <v>2019</v>
      </c>
      <c r="C70" s="3" t="s">
        <v>2096</v>
      </c>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row>
    <row r="71" spans="1:39" ht="15.75" customHeight="1" x14ac:dyDescent="0.25">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row>
    <row r="72" spans="1:39" ht="15.75" customHeight="1" x14ac:dyDescent="0.25">
      <c r="A72" s="3"/>
      <c r="B72" s="60" t="s">
        <v>189</v>
      </c>
      <c r="C72" s="60" t="s">
        <v>2</v>
      </c>
      <c r="D72" s="60" t="s">
        <v>2097</v>
      </c>
      <c r="E72" s="60" t="s">
        <v>2098</v>
      </c>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row>
    <row r="73" spans="1:39" ht="15.75" customHeight="1" x14ac:dyDescent="0.25">
      <c r="A73" s="3"/>
      <c r="B73" s="3" t="s">
        <v>2067</v>
      </c>
      <c r="C73" s="3">
        <v>1</v>
      </c>
      <c r="D73" s="3">
        <v>1</v>
      </c>
      <c r="E73" s="1052">
        <f t="shared" ref="E73:E80" si="0">D73/C73</f>
        <v>1</v>
      </c>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row>
    <row r="74" spans="1:39" ht="15.75" customHeight="1" x14ac:dyDescent="0.25">
      <c r="A74" s="3"/>
      <c r="B74" s="3" t="s">
        <v>2071</v>
      </c>
      <c r="C74" s="3">
        <v>3170</v>
      </c>
      <c r="D74" s="3">
        <v>3740</v>
      </c>
      <c r="E74" s="1052">
        <f t="shared" si="0"/>
        <v>1.1798107255520505</v>
      </c>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row>
    <row r="75" spans="1:39" ht="15.75" customHeight="1" x14ac:dyDescent="0.25">
      <c r="A75" s="3"/>
      <c r="B75" s="3" t="s">
        <v>2072</v>
      </c>
      <c r="C75" s="3">
        <v>1300</v>
      </c>
      <c r="D75" s="3">
        <v>1530</v>
      </c>
      <c r="E75" s="1052">
        <f t="shared" si="0"/>
        <v>1.176923076923077</v>
      </c>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row>
    <row r="76" spans="1:39" ht="15.75" customHeight="1" x14ac:dyDescent="0.25">
      <c r="A76" s="3"/>
      <c r="B76" s="3" t="s">
        <v>2075</v>
      </c>
      <c r="C76" s="3">
        <v>4800</v>
      </c>
      <c r="D76" s="3">
        <v>5810</v>
      </c>
      <c r="E76" s="1052">
        <f t="shared" si="0"/>
        <v>1.2104166666666667</v>
      </c>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row>
    <row r="77" spans="1:39" ht="15.75" customHeight="1" x14ac:dyDescent="0.25">
      <c r="A77" s="3"/>
      <c r="B77" s="3" t="s">
        <v>2076</v>
      </c>
      <c r="C77" s="3">
        <v>12400</v>
      </c>
      <c r="D77" s="3">
        <v>14600</v>
      </c>
      <c r="E77" s="1052">
        <f t="shared" si="0"/>
        <v>1.1774193548387097</v>
      </c>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row>
    <row r="78" spans="1:39" ht="15.75" customHeight="1" x14ac:dyDescent="0.25">
      <c r="A78" s="3"/>
      <c r="B78" s="3" t="s">
        <v>2077</v>
      </c>
      <c r="C78" s="3">
        <v>8060</v>
      </c>
      <c r="D78" s="3">
        <v>8690</v>
      </c>
      <c r="E78" s="1052">
        <f t="shared" si="0"/>
        <v>1.0781637717121588</v>
      </c>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row>
    <row r="79" spans="1:39" ht="15.75" customHeight="1" x14ac:dyDescent="0.25">
      <c r="A79" s="3"/>
      <c r="B79" s="3" t="s">
        <v>2078</v>
      </c>
      <c r="C79" s="3">
        <v>677</v>
      </c>
      <c r="D79" s="3">
        <v>771</v>
      </c>
      <c r="E79" s="1052">
        <f t="shared" si="0"/>
        <v>1.138847858197932</v>
      </c>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row>
    <row r="80" spans="1:39" ht="15.75" customHeight="1" x14ac:dyDescent="0.25">
      <c r="A80" s="3"/>
      <c r="B80" s="3" t="s">
        <v>2083</v>
      </c>
      <c r="C80" s="3">
        <v>6630</v>
      </c>
      <c r="D80" s="3">
        <v>7380</v>
      </c>
      <c r="E80" s="1052">
        <f t="shared" si="0"/>
        <v>1.1131221719457014</v>
      </c>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row>
    <row r="81" spans="1:39" ht="15.75" customHeight="1" x14ac:dyDescent="0.25">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row>
    <row r="82" spans="1:39" ht="15.75" customHeight="1" x14ac:dyDescent="0.25">
      <c r="A82" s="3"/>
      <c r="B82" s="60" t="s">
        <v>189</v>
      </c>
      <c r="C82" s="60" t="s">
        <v>2</v>
      </c>
      <c r="D82" s="60" t="s">
        <v>2097</v>
      </c>
      <c r="E82" s="60" t="s">
        <v>2098</v>
      </c>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row>
    <row r="83" spans="1:39" ht="15.75" customHeight="1" x14ac:dyDescent="0.25">
      <c r="A83" s="3"/>
      <c r="B83" s="3" t="s">
        <v>2099</v>
      </c>
      <c r="C83" s="3">
        <v>138</v>
      </c>
      <c r="D83" s="3">
        <v>164</v>
      </c>
      <c r="E83" s="1052">
        <f t="shared" ref="E83:E87" si="1">D83/C83</f>
        <v>1.1884057971014492</v>
      </c>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row>
    <row r="84" spans="1:39" ht="15.75" customHeight="1" x14ac:dyDescent="0.25">
      <c r="A84" s="3"/>
      <c r="B84" s="3" t="s">
        <v>2100</v>
      </c>
      <c r="C84" s="3">
        <v>3350</v>
      </c>
      <c r="D84" s="3">
        <v>3600</v>
      </c>
      <c r="E84" s="1052">
        <f t="shared" si="1"/>
        <v>1.0746268656716418</v>
      </c>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row>
    <row r="85" spans="1:39" ht="15.75" customHeight="1" x14ac:dyDescent="0.25">
      <c r="A85" s="3"/>
      <c r="B85" s="3" t="s">
        <v>2101</v>
      </c>
      <c r="C85" s="3">
        <v>858</v>
      </c>
      <c r="D85" s="3">
        <v>962</v>
      </c>
      <c r="E85" s="1052">
        <f t="shared" si="1"/>
        <v>1.1212121212121211</v>
      </c>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row>
    <row r="86" spans="1:39" ht="15.75" customHeight="1" x14ac:dyDescent="0.25">
      <c r="A86" s="3"/>
      <c r="B86" s="3" t="s">
        <v>2102</v>
      </c>
      <c r="C86" s="3">
        <v>804</v>
      </c>
      <c r="D86" s="3">
        <v>914</v>
      </c>
      <c r="E86" s="1052">
        <f t="shared" si="1"/>
        <v>1.1368159203980099</v>
      </c>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row>
    <row r="87" spans="1:39" ht="15.75" customHeight="1" x14ac:dyDescent="0.25">
      <c r="A87" s="3"/>
      <c r="B87" s="3" t="s">
        <v>2103</v>
      </c>
      <c r="C87" s="3">
        <v>1650</v>
      </c>
      <c r="D87" s="3">
        <v>1600</v>
      </c>
      <c r="E87" s="1052">
        <f t="shared" si="1"/>
        <v>0.96969696969696972</v>
      </c>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row>
    <row r="88" spans="1:39" ht="15.75" customHeight="1" x14ac:dyDescent="0.25">
      <c r="A88" s="3"/>
      <c r="B88" s="2141" t="s">
        <v>2079</v>
      </c>
      <c r="C88" s="2142"/>
      <c r="D88" s="2142"/>
      <c r="E88" s="2143">
        <f>AVERAGE(E83:E87)</f>
        <v>1.0981515348160384</v>
      </c>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row>
    <row r="89" spans="1:39" ht="15.7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row>
    <row r="90" spans="1:39" ht="15.75" customHeight="1" x14ac:dyDescent="0.25">
      <c r="A90" s="3"/>
      <c r="B90" s="60" t="s">
        <v>189</v>
      </c>
      <c r="C90" s="60" t="s">
        <v>2</v>
      </c>
      <c r="D90" s="60" t="s">
        <v>2097</v>
      </c>
      <c r="E90" s="60" t="s">
        <v>2098</v>
      </c>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row>
    <row r="91" spans="1:39" ht="15.75" customHeight="1" x14ac:dyDescent="0.25">
      <c r="A91" s="3"/>
      <c r="B91" s="3" t="s">
        <v>2104</v>
      </c>
      <c r="C91" s="3">
        <v>9200</v>
      </c>
      <c r="D91" s="3">
        <v>10000</v>
      </c>
      <c r="E91" s="1052">
        <f t="shared" ref="E91:E92" si="2">D91/C91</f>
        <v>1.0869565217391304</v>
      </c>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row>
    <row r="92" spans="1:39" ht="15.75" customHeight="1" x14ac:dyDescent="0.25">
      <c r="A92" s="3"/>
      <c r="B92" s="3" t="s">
        <v>2105</v>
      </c>
      <c r="C92" s="3">
        <v>7910</v>
      </c>
      <c r="D92" s="3">
        <v>8620</v>
      </c>
      <c r="E92" s="1052">
        <f t="shared" si="2"/>
        <v>1.0897597977243996</v>
      </c>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row>
    <row r="93" spans="1:39" ht="15.75" customHeight="1" x14ac:dyDescent="0.25">
      <c r="A93" s="3"/>
      <c r="B93" s="60" t="s">
        <v>2015</v>
      </c>
      <c r="C93" s="3" t="s">
        <v>2094</v>
      </c>
      <c r="D93" s="3"/>
      <c r="E93" s="1052"/>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row>
    <row r="94" spans="1:39" ht="15.75" customHeight="1" x14ac:dyDescent="0.25">
      <c r="A94" s="3"/>
      <c r="B94" s="60" t="s">
        <v>2017</v>
      </c>
      <c r="C94" s="3" t="s">
        <v>2106</v>
      </c>
      <c r="D94" s="3"/>
      <c r="E94" s="1052"/>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row>
    <row r="95" spans="1:39" ht="15.75" customHeight="1" x14ac:dyDescent="0.25">
      <c r="A95" s="3"/>
      <c r="B95" s="60" t="s">
        <v>2019</v>
      </c>
      <c r="C95" s="3" t="s">
        <v>2107</v>
      </c>
      <c r="D95" s="3"/>
      <c r="E95" s="1052"/>
      <c r="F95" s="3"/>
      <c r="G95" s="3"/>
      <c r="H95" s="4" t="s">
        <v>2108</v>
      </c>
      <c r="I95" s="4"/>
      <c r="J95" s="4"/>
      <c r="K95" s="4"/>
      <c r="L95" s="4"/>
      <c r="M95" s="4" t="s">
        <v>2109</v>
      </c>
      <c r="N95" s="4"/>
      <c r="O95" s="4"/>
      <c r="P95" s="4"/>
      <c r="Q95" s="4"/>
      <c r="R95" s="4"/>
      <c r="S95" s="3"/>
      <c r="T95" s="3"/>
      <c r="U95" s="3"/>
      <c r="V95" s="3"/>
      <c r="W95" s="3"/>
      <c r="X95" s="3"/>
      <c r="Y95" s="3"/>
      <c r="Z95" s="3"/>
      <c r="AA95" s="3"/>
      <c r="AB95" s="3"/>
      <c r="AC95" s="3"/>
      <c r="AD95" s="3"/>
      <c r="AE95" s="3"/>
      <c r="AF95" s="3"/>
      <c r="AG95" s="3"/>
      <c r="AH95" s="3"/>
      <c r="AI95" s="3"/>
      <c r="AJ95" s="3"/>
      <c r="AK95" s="3"/>
      <c r="AL95" s="3"/>
      <c r="AM95" s="3"/>
    </row>
    <row r="96" spans="1:39" ht="15.75" customHeight="1" x14ac:dyDescent="0.25">
      <c r="A96" s="3"/>
      <c r="B96" s="60" t="s">
        <v>189</v>
      </c>
      <c r="C96" s="60" t="s">
        <v>2</v>
      </c>
      <c r="D96" s="60" t="s">
        <v>2097</v>
      </c>
      <c r="E96" s="2144" t="s">
        <v>2098</v>
      </c>
      <c r="F96" s="3"/>
      <c r="G96" s="3"/>
      <c r="H96" s="4" t="s">
        <v>2110</v>
      </c>
      <c r="I96" s="4" t="s">
        <v>2111</v>
      </c>
      <c r="J96" s="4" t="s">
        <v>2112</v>
      </c>
      <c r="K96" s="4" t="s">
        <v>2113</v>
      </c>
      <c r="L96" s="4"/>
      <c r="M96" s="4" t="s">
        <v>2110</v>
      </c>
      <c r="N96" s="4" t="s">
        <v>2111</v>
      </c>
      <c r="O96" s="4" t="s">
        <v>2113</v>
      </c>
      <c r="P96" s="4" t="s">
        <v>2114</v>
      </c>
      <c r="Q96" s="4" t="s">
        <v>2115</v>
      </c>
      <c r="R96" s="4" t="s">
        <v>2116</v>
      </c>
      <c r="S96" s="3"/>
      <c r="T96" s="3"/>
      <c r="U96" s="3"/>
      <c r="V96" s="3"/>
      <c r="W96" s="3"/>
      <c r="X96" s="3"/>
      <c r="Y96" s="3"/>
      <c r="Z96" s="3"/>
      <c r="AA96" s="3"/>
      <c r="AB96" s="3"/>
      <c r="AC96" s="3"/>
      <c r="AD96" s="3"/>
      <c r="AE96" s="3"/>
      <c r="AF96" s="3"/>
      <c r="AG96" s="3"/>
      <c r="AH96" s="3"/>
      <c r="AI96" s="3"/>
      <c r="AJ96" s="3"/>
      <c r="AK96" s="3"/>
      <c r="AL96" s="3"/>
      <c r="AM96" s="3"/>
    </row>
    <row r="97" spans="1:39" ht="15.75" customHeight="1" x14ac:dyDescent="0.25">
      <c r="A97" s="3"/>
      <c r="B97" s="3" t="s">
        <v>2117</v>
      </c>
      <c r="C97" s="3">
        <v>1</v>
      </c>
      <c r="D97" s="3">
        <v>3.88</v>
      </c>
      <c r="E97" s="1052">
        <f t="shared" ref="E97:E100" si="3">D97/C97</f>
        <v>3.88</v>
      </c>
      <c r="F97" s="3"/>
      <c r="G97" s="3"/>
      <c r="H97" s="4" t="s">
        <v>2117</v>
      </c>
      <c r="I97" s="4" t="s">
        <v>2118</v>
      </c>
      <c r="J97" s="4">
        <v>0.11600000000000001</v>
      </c>
      <c r="K97" s="4">
        <v>42</v>
      </c>
      <c r="L97" s="4"/>
      <c r="M97" s="4" t="s">
        <v>2119</v>
      </c>
      <c r="N97" s="4" t="s">
        <v>2120</v>
      </c>
      <c r="O97" s="4">
        <v>26</v>
      </c>
      <c r="P97" s="4">
        <v>5</v>
      </c>
      <c r="Q97" s="4">
        <v>1</v>
      </c>
      <c r="R97" s="4">
        <f t="shared" ref="R97:R100" si="4">P97/Q97</f>
        <v>5</v>
      </c>
      <c r="S97" s="3"/>
      <c r="T97" s="3"/>
      <c r="U97" s="3"/>
      <c r="V97" s="3"/>
      <c r="W97" s="3"/>
      <c r="X97" s="3"/>
      <c r="Y97" s="3"/>
      <c r="Z97" s="3"/>
      <c r="AA97" s="3"/>
      <c r="AB97" s="3"/>
      <c r="AC97" s="3"/>
      <c r="AD97" s="3"/>
      <c r="AE97" s="3"/>
      <c r="AF97" s="3"/>
      <c r="AG97" s="3"/>
      <c r="AH97" s="3"/>
      <c r="AI97" s="3"/>
      <c r="AJ97" s="3"/>
      <c r="AK97" s="3"/>
      <c r="AL97" s="3"/>
      <c r="AM97" s="3"/>
    </row>
    <row r="98" spans="1:39" ht="15.75" customHeight="1" x14ac:dyDescent="0.25">
      <c r="A98" s="3"/>
      <c r="B98" s="3" t="s">
        <v>2121</v>
      </c>
      <c r="C98" s="3">
        <v>0.5</v>
      </c>
      <c r="D98" s="3">
        <v>0.501</v>
      </c>
      <c r="E98" s="1052">
        <f t="shared" si="3"/>
        <v>1.002</v>
      </c>
      <c r="F98" s="3"/>
      <c r="G98" s="3"/>
      <c r="H98" s="4" t="s">
        <v>2121</v>
      </c>
      <c r="I98" s="4" t="s">
        <v>2122</v>
      </c>
      <c r="J98" s="4">
        <v>3.3000000000000002E-2</v>
      </c>
      <c r="K98" s="4">
        <v>12</v>
      </c>
      <c r="L98" s="4"/>
      <c r="M98" s="4" t="s">
        <v>2123</v>
      </c>
      <c r="N98" s="4" t="s">
        <v>2124</v>
      </c>
      <c r="O98" s="4">
        <v>10.5</v>
      </c>
      <c r="P98" s="4">
        <v>1</v>
      </c>
      <c r="Q98" s="4" t="s">
        <v>2125</v>
      </c>
      <c r="R98" s="4" t="e">
        <f t="shared" si="4"/>
        <v>#VALUE!</v>
      </c>
      <c r="S98" s="3"/>
      <c r="T98" s="3"/>
      <c r="U98" s="3"/>
      <c r="V98" s="3"/>
      <c r="W98" s="3"/>
      <c r="X98" s="3"/>
      <c r="Y98" s="3"/>
      <c r="Z98" s="3"/>
      <c r="AA98" s="3"/>
      <c r="AB98" s="3"/>
      <c r="AC98" s="3"/>
      <c r="AD98" s="3"/>
      <c r="AE98" s="3"/>
      <c r="AF98" s="3"/>
      <c r="AG98" s="3"/>
      <c r="AH98" s="3"/>
      <c r="AI98" s="3"/>
      <c r="AJ98" s="3"/>
      <c r="AK98" s="3"/>
      <c r="AL98" s="3"/>
      <c r="AM98" s="3"/>
    </row>
    <row r="99" spans="1:39" ht="15.75" customHeight="1" x14ac:dyDescent="0.25">
      <c r="A99" s="3"/>
      <c r="B99" s="3" t="s">
        <v>2126</v>
      </c>
      <c r="C99" s="3">
        <v>0.5</v>
      </c>
      <c r="D99" s="3">
        <v>1.37</v>
      </c>
      <c r="E99" s="1052">
        <f t="shared" si="3"/>
        <v>2.74</v>
      </c>
      <c r="F99" s="3"/>
      <c r="G99" s="3"/>
      <c r="H99" s="4" t="s">
        <v>2126</v>
      </c>
      <c r="I99" s="4" t="s">
        <v>2127</v>
      </c>
      <c r="J99" s="4">
        <v>5.1999999999999998E-2</v>
      </c>
      <c r="K99" s="4">
        <v>19</v>
      </c>
      <c r="L99" s="4"/>
      <c r="M99" s="4" t="s">
        <v>2128</v>
      </c>
      <c r="N99" s="4" t="s">
        <v>2129</v>
      </c>
      <c r="O99" s="4">
        <v>16.399999999999999</v>
      </c>
      <c r="P99" s="4">
        <v>4</v>
      </c>
      <c r="Q99" s="4" t="s">
        <v>2125</v>
      </c>
      <c r="R99" s="4" t="e">
        <f t="shared" si="4"/>
        <v>#VALUE!</v>
      </c>
      <c r="S99" s="3"/>
      <c r="T99" s="3"/>
      <c r="U99" s="3"/>
      <c r="V99" s="3"/>
      <c r="W99" s="3"/>
      <c r="X99" s="3"/>
      <c r="Y99" s="3"/>
      <c r="Z99" s="3"/>
      <c r="AA99" s="3"/>
      <c r="AB99" s="3"/>
      <c r="AC99" s="3"/>
      <c r="AD99" s="3"/>
      <c r="AE99" s="3"/>
      <c r="AF99" s="3"/>
      <c r="AG99" s="3"/>
      <c r="AH99" s="3"/>
      <c r="AI99" s="3"/>
      <c r="AJ99" s="3"/>
      <c r="AK99" s="3"/>
      <c r="AL99" s="3"/>
      <c r="AM99" s="3"/>
    </row>
    <row r="100" spans="1:39" ht="15.75" customHeight="1" x14ac:dyDescent="0.25">
      <c r="A100" s="3"/>
      <c r="B100" s="3" t="s">
        <v>2130</v>
      </c>
      <c r="C100" s="3">
        <v>2</v>
      </c>
      <c r="D100" s="3">
        <v>2.08</v>
      </c>
      <c r="E100" s="1052">
        <f t="shared" si="3"/>
        <v>1.04</v>
      </c>
      <c r="F100" s="3"/>
      <c r="G100" s="3"/>
      <c r="H100" s="4" t="s">
        <v>2130</v>
      </c>
      <c r="I100" s="4" t="s">
        <v>2131</v>
      </c>
      <c r="J100" s="4">
        <v>7.3999999999999996E-2</v>
      </c>
      <c r="K100" s="4">
        <v>27</v>
      </c>
      <c r="L100" s="4"/>
      <c r="M100" s="4" t="s">
        <v>2132</v>
      </c>
      <c r="N100" s="4" t="s">
        <v>2133</v>
      </c>
      <c r="O100" s="4">
        <v>22</v>
      </c>
      <c r="P100" s="4">
        <v>6</v>
      </c>
      <c r="Q100" s="4">
        <v>2</v>
      </c>
      <c r="R100" s="4">
        <f t="shared" si="4"/>
        <v>3</v>
      </c>
      <c r="S100" s="3"/>
      <c r="T100" s="3"/>
      <c r="U100" s="3"/>
      <c r="V100" s="3"/>
      <c r="W100" s="3"/>
      <c r="X100" s="3"/>
      <c r="Y100" s="3"/>
      <c r="Z100" s="3"/>
      <c r="AA100" s="3"/>
      <c r="AB100" s="3"/>
      <c r="AC100" s="3"/>
      <c r="AD100" s="3"/>
      <c r="AE100" s="3"/>
      <c r="AF100" s="3"/>
      <c r="AG100" s="3"/>
      <c r="AH100" s="3"/>
      <c r="AI100" s="3"/>
      <c r="AJ100" s="3"/>
      <c r="AK100" s="3"/>
      <c r="AL100" s="3"/>
      <c r="AM100" s="3"/>
    </row>
    <row r="101" spans="1:39" ht="15.75" customHeight="1" x14ac:dyDescent="0.25">
      <c r="A101" s="3"/>
      <c r="B101" s="2141" t="s">
        <v>2082</v>
      </c>
      <c r="C101" s="2142"/>
      <c r="D101" s="2142"/>
      <c r="E101" s="2143">
        <f>AVERAGE(E91:E100)</f>
        <v>1.8064527199105882</v>
      </c>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row>
    <row r="102" spans="1:39" ht="15.75"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row>
    <row r="103" spans="1:39" ht="15.75" customHeight="1" x14ac:dyDescent="0.25">
      <c r="A103" s="3"/>
      <c r="B103" s="2140" t="s">
        <v>2134</v>
      </c>
      <c r="C103" s="2138"/>
      <c r="D103" s="2138"/>
      <c r="E103" s="2138"/>
      <c r="F103" s="2138"/>
      <c r="G103" s="2138"/>
      <c r="H103" s="2138"/>
      <c r="I103" s="2138"/>
      <c r="J103" s="2138"/>
      <c r="K103" s="2138"/>
      <c r="L103" s="2138"/>
      <c r="M103" s="2138"/>
      <c r="N103" s="2138"/>
      <c r="O103" s="2138"/>
      <c r="P103" s="2138"/>
      <c r="Q103" s="2138"/>
      <c r="R103" s="2138"/>
      <c r="S103" s="2138"/>
      <c r="T103" s="2138"/>
      <c r="U103" s="2138"/>
      <c r="V103" s="2138"/>
      <c r="W103" s="2138"/>
      <c r="X103" s="2138"/>
      <c r="Y103" s="2138"/>
      <c r="Z103" s="2138"/>
      <c r="AA103" s="2138"/>
      <c r="AB103" s="2138"/>
      <c r="AC103" s="2138"/>
      <c r="AD103" s="2138"/>
      <c r="AE103" s="2138"/>
      <c r="AF103" s="2138"/>
      <c r="AG103" s="2138"/>
      <c r="AH103" s="2138"/>
      <c r="AI103" s="2138"/>
      <c r="AJ103" s="2138"/>
      <c r="AK103" s="2138"/>
      <c r="AL103" s="2138"/>
      <c r="AM103" s="2139"/>
    </row>
    <row r="104" spans="1:39" ht="15.75"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row>
    <row r="105" spans="1:39" ht="15.75" customHeight="1" x14ac:dyDescent="0.25">
      <c r="A105" s="3"/>
      <c r="B105" s="60" t="str">
        <f t="shared" ref="B105:D120" si="5">B15</f>
        <v>sub_category_1</v>
      </c>
      <c r="C105" s="60" t="str">
        <f t="shared" si="5"/>
        <v>ghg_category</v>
      </c>
      <c r="D105" s="60" t="str">
        <f t="shared" si="5"/>
        <v>ghg</v>
      </c>
      <c r="E105" s="60" t="s">
        <v>2135</v>
      </c>
      <c r="F105" s="60" t="str">
        <f t="shared" ref="F105:AL105" si="6">F15</f>
        <v>Y1990</v>
      </c>
      <c r="G105" s="60" t="str">
        <f t="shared" si="6"/>
        <v>Y1991</v>
      </c>
      <c r="H105" s="60" t="str">
        <f t="shared" si="6"/>
        <v>Y1992</v>
      </c>
      <c r="I105" s="60" t="str">
        <f t="shared" si="6"/>
        <v>Y1993</v>
      </c>
      <c r="J105" s="60" t="str">
        <f t="shared" si="6"/>
        <v>Y1994</v>
      </c>
      <c r="K105" s="60" t="str">
        <f t="shared" si="6"/>
        <v>Y1995</v>
      </c>
      <c r="L105" s="60" t="str">
        <f t="shared" si="6"/>
        <v>Y1996</v>
      </c>
      <c r="M105" s="60" t="str">
        <f t="shared" si="6"/>
        <v>Y1997</v>
      </c>
      <c r="N105" s="60" t="str">
        <f t="shared" si="6"/>
        <v>Y1998</v>
      </c>
      <c r="O105" s="60" t="str">
        <f t="shared" si="6"/>
        <v>Y1999</v>
      </c>
      <c r="P105" s="60" t="str">
        <f t="shared" si="6"/>
        <v>Y2000</v>
      </c>
      <c r="Q105" s="60" t="str">
        <f t="shared" si="6"/>
        <v>Y2001</v>
      </c>
      <c r="R105" s="60" t="str">
        <f t="shared" si="6"/>
        <v>Y2002</v>
      </c>
      <c r="S105" s="60" t="str">
        <f t="shared" si="6"/>
        <v>Y2003</v>
      </c>
      <c r="T105" s="60" t="str">
        <f t="shared" si="6"/>
        <v>Y2004</v>
      </c>
      <c r="U105" s="60" t="str">
        <f t="shared" si="6"/>
        <v>Y2005</v>
      </c>
      <c r="V105" s="60" t="str">
        <f t="shared" si="6"/>
        <v>Y2006</v>
      </c>
      <c r="W105" s="60" t="str">
        <f t="shared" si="6"/>
        <v>Y2007</v>
      </c>
      <c r="X105" s="60" t="str">
        <f t="shared" si="6"/>
        <v>Y2008</v>
      </c>
      <c r="Y105" s="60" t="str">
        <f t="shared" si="6"/>
        <v>Y2009</v>
      </c>
      <c r="Z105" s="60" t="str">
        <f t="shared" si="6"/>
        <v>Y2010</v>
      </c>
      <c r="AA105" s="60" t="str">
        <f t="shared" si="6"/>
        <v>Y2011</v>
      </c>
      <c r="AB105" s="60" t="str">
        <f t="shared" si="6"/>
        <v>Y2012</v>
      </c>
      <c r="AC105" s="60" t="str">
        <f t="shared" si="6"/>
        <v>Y2013</v>
      </c>
      <c r="AD105" s="60" t="str">
        <f t="shared" si="6"/>
        <v>Y2014</v>
      </c>
      <c r="AE105" s="60" t="str">
        <f t="shared" si="6"/>
        <v>Y2015</v>
      </c>
      <c r="AF105" s="60" t="str">
        <f t="shared" si="6"/>
        <v>Y2016</v>
      </c>
      <c r="AG105" s="60" t="str">
        <f t="shared" si="6"/>
        <v>Y2017</v>
      </c>
      <c r="AH105" s="60" t="str">
        <f t="shared" si="6"/>
        <v>Y2018</v>
      </c>
      <c r="AI105" s="60" t="str">
        <f t="shared" si="6"/>
        <v>Y2019</v>
      </c>
      <c r="AJ105" s="60" t="str">
        <f t="shared" si="6"/>
        <v>Y2020</v>
      </c>
      <c r="AK105" s="60" t="str">
        <f t="shared" si="6"/>
        <v>Y2021</v>
      </c>
      <c r="AL105" s="60" t="str">
        <f t="shared" si="6"/>
        <v>Y2022</v>
      </c>
      <c r="AM105" s="60"/>
    </row>
    <row r="106" spans="1:39" ht="15.75" customHeight="1" x14ac:dyDescent="0.25">
      <c r="A106" s="3"/>
      <c r="B106" s="3" t="str">
        <f t="shared" si="5"/>
        <v>Fire protection</v>
      </c>
      <c r="C106" s="3" t="str">
        <f t="shared" si="5"/>
        <v>CO2</v>
      </c>
      <c r="D106" s="3" t="str">
        <f t="shared" si="5"/>
        <v>Carbon Dioxide</v>
      </c>
      <c r="E106" s="1052">
        <f t="shared" ref="E106:E139" si="7">_xlfn.XLOOKUP(D106,B$73:B$101,E$73:E$101)</f>
        <v>1</v>
      </c>
      <c r="F106" s="572">
        <f t="shared" ref="F106:AL113" si="8">F16*$E106</f>
        <v>0</v>
      </c>
      <c r="G106" s="572">
        <f t="shared" si="8"/>
        <v>0</v>
      </c>
      <c r="H106" s="572">
        <f t="shared" si="8"/>
        <v>0</v>
      </c>
      <c r="I106" s="572">
        <f t="shared" si="8"/>
        <v>0</v>
      </c>
      <c r="J106" s="572">
        <f t="shared" si="8"/>
        <v>0</v>
      </c>
      <c r="K106" s="572">
        <f t="shared" si="8"/>
        <v>0</v>
      </c>
      <c r="L106" s="572">
        <f t="shared" si="8"/>
        <v>0</v>
      </c>
      <c r="M106" s="572">
        <f t="shared" si="8"/>
        <v>0</v>
      </c>
      <c r="N106" s="572">
        <f t="shared" si="8"/>
        <v>9.8519299213394535E-9</v>
      </c>
      <c r="O106" s="572">
        <f t="shared" si="8"/>
        <v>3.1540939323378811E-8</v>
      </c>
      <c r="P106" s="572">
        <f t="shared" si="8"/>
        <v>6.2501428747742371E-8</v>
      </c>
      <c r="Q106" s="572">
        <f t="shared" si="8"/>
        <v>1.018511703728463E-7</v>
      </c>
      <c r="R106" s="572">
        <f t="shared" si="8"/>
        <v>1.4894636659878889E-7</v>
      </c>
      <c r="S106" s="572">
        <f t="shared" si="8"/>
        <v>2.0074600781338119E-7</v>
      </c>
      <c r="T106" s="572">
        <f t="shared" si="8"/>
        <v>2.6107617905303778E-7</v>
      </c>
      <c r="U106" s="572">
        <f t="shared" si="8"/>
        <v>3.2987329132971848E-7</v>
      </c>
      <c r="V106" s="572">
        <f t="shared" si="8"/>
        <v>4.0711289923977971E-7</v>
      </c>
      <c r="W106" s="572">
        <f t="shared" si="8"/>
        <v>4.8314336560554063E-7</v>
      </c>
      <c r="X106" s="572">
        <f t="shared" si="8"/>
        <v>5.5882771452414812E-7</v>
      </c>
      <c r="Y106" s="572">
        <f t="shared" si="8"/>
        <v>6.3589657153355418E-7</v>
      </c>
      <c r="Z106" s="572">
        <f t="shared" si="8"/>
        <v>7.1660050457866461E-7</v>
      </c>
      <c r="AA106" s="572">
        <f t="shared" si="8"/>
        <v>7.9894555566048068E-7</v>
      </c>
      <c r="AB106" s="572">
        <f t="shared" si="8"/>
        <v>8.85221012763728E-7</v>
      </c>
      <c r="AC106" s="572">
        <f t="shared" si="8"/>
        <v>9.7440790019803123E-7</v>
      </c>
      <c r="AD106" s="572">
        <f t="shared" si="8"/>
        <v>1.0670013135791511E-6</v>
      </c>
      <c r="AE106" s="572">
        <f t="shared" si="8"/>
        <v>1.1630521332887881E-6</v>
      </c>
      <c r="AF106" s="572">
        <f t="shared" si="8"/>
        <v>1.261290134713085E-6</v>
      </c>
      <c r="AG106" s="572">
        <f t="shared" si="8"/>
        <v>1.3659550986162041E-6</v>
      </c>
      <c r="AH106" s="572">
        <f t="shared" si="8"/>
        <v>1.4755733918879199E-6</v>
      </c>
      <c r="AI106" s="572">
        <f t="shared" si="8"/>
        <v>1.5902747935584759E-6</v>
      </c>
      <c r="AJ106" s="572">
        <f t="shared" si="8"/>
        <v>1.668144611637901E-6</v>
      </c>
      <c r="AK106" s="572">
        <f t="shared" si="8"/>
        <v>1.7298704460152931E-6</v>
      </c>
      <c r="AL106" s="572">
        <f t="shared" si="8"/>
        <v>1.785639279141623E-6</v>
      </c>
      <c r="AM106" s="572"/>
    </row>
    <row r="107" spans="1:39" ht="15.75" customHeight="1" x14ac:dyDescent="0.25">
      <c r="A107" s="3"/>
      <c r="B107" s="3" t="str">
        <f t="shared" si="5"/>
        <v>Foam blowing agents</v>
      </c>
      <c r="C107" s="3" t="str">
        <f t="shared" si="5"/>
        <v>CO2</v>
      </c>
      <c r="D107" s="3" t="str">
        <f t="shared" si="5"/>
        <v>Carbon Dioxide</v>
      </c>
      <c r="E107" s="1052">
        <f t="shared" si="7"/>
        <v>1</v>
      </c>
      <c r="F107" s="572">
        <f t="shared" si="8"/>
        <v>2.6131014791080082E-7</v>
      </c>
      <c r="G107" s="572">
        <f t="shared" si="8"/>
        <v>4.1898124909234098E-7</v>
      </c>
      <c r="H107" s="572">
        <f t="shared" si="8"/>
        <v>5.8111866987456702E-7</v>
      </c>
      <c r="I107" s="572">
        <f t="shared" si="8"/>
        <v>7.4840461171582204E-7</v>
      </c>
      <c r="J107" s="572">
        <f t="shared" si="8"/>
        <v>9.2201719908830302E-7</v>
      </c>
      <c r="K107" s="572">
        <f t="shared" si="8"/>
        <v>2.3052706395561522E-6</v>
      </c>
      <c r="L107" s="572">
        <f t="shared" si="8"/>
        <v>4.4136082214367739E-6</v>
      </c>
      <c r="M107" s="572">
        <f t="shared" si="8"/>
        <v>6.5946290152229707E-6</v>
      </c>
      <c r="N107" s="572">
        <f t="shared" si="8"/>
        <v>8.8466612984224004E-6</v>
      </c>
      <c r="O107" s="572">
        <f t="shared" si="8"/>
        <v>1.147830442458914E-5</v>
      </c>
      <c r="P107" s="572">
        <f t="shared" si="8"/>
        <v>1.2507147924218111E-5</v>
      </c>
      <c r="Q107" s="572">
        <f t="shared" si="8"/>
        <v>1.314530607109544E-5</v>
      </c>
      <c r="R107" s="572">
        <f t="shared" si="8"/>
        <v>1.713973749358667E-5</v>
      </c>
      <c r="S107" s="572">
        <f t="shared" si="8"/>
        <v>2.1744247344928299E-5</v>
      </c>
      <c r="T107" s="572">
        <f t="shared" si="8"/>
        <v>2.306901239073155E-5</v>
      </c>
      <c r="U107" s="572">
        <f t="shared" si="8"/>
        <v>2.4384035920381919E-5</v>
      </c>
      <c r="V107" s="572">
        <f t="shared" si="8"/>
        <v>2.5685308896897321E-5</v>
      </c>
      <c r="W107" s="572">
        <f t="shared" si="8"/>
        <v>2.69879996666842E-5</v>
      </c>
      <c r="X107" s="572">
        <f t="shared" si="8"/>
        <v>2.8364564007057459E-5</v>
      </c>
      <c r="Y107" s="572">
        <f t="shared" si="8"/>
        <v>3.1166396877940423E-5</v>
      </c>
      <c r="Z107" s="572">
        <f t="shared" si="8"/>
        <v>3.4618545587236393E-5</v>
      </c>
      <c r="AA107" s="572">
        <f t="shared" si="8"/>
        <v>3.6918482212532093E-5</v>
      </c>
      <c r="AB107" s="572">
        <f t="shared" si="8"/>
        <v>3.867669343107176E-5</v>
      </c>
      <c r="AC107" s="572">
        <f t="shared" si="8"/>
        <v>4.0727676739808633E-5</v>
      </c>
      <c r="AD107" s="572">
        <f t="shared" si="8"/>
        <v>4.3031867101066257E-5</v>
      </c>
      <c r="AE107" s="572">
        <f t="shared" si="8"/>
        <v>4.5313001867797073E-5</v>
      </c>
      <c r="AF107" s="572">
        <f t="shared" si="8"/>
        <v>4.8376348474465388E-5</v>
      </c>
      <c r="AG107" s="572">
        <f t="shared" si="8"/>
        <v>5.1409482806971542E-5</v>
      </c>
      <c r="AH107" s="572">
        <f t="shared" si="8"/>
        <v>5.50670128350142E-5</v>
      </c>
      <c r="AI107" s="572">
        <f t="shared" si="8"/>
        <v>5.8640584864915532E-5</v>
      </c>
      <c r="AJ107" s="572">
        <f t="shared" si="8"/>
        <v>6.3052900975069188E-5</v>
      </c>
      <c r="AK107" s="572">
        <f t="shared" si="8"/>
        <v>6.6892769382864136E-5</v>
      </c>
      <c r="AL107" s="572">
        <f t="shared" si="8"/>
        <v>7.0764145343318397E-5</v>
      </c>
      <c r="AM107" s="572"/>
    </row>
    <row r="108" spans="1:39" ht="15.75" customHeight="1" x14ac:dyDescent="0.25">
      <c r="A108" s="3"/>
      <c r="B108" s="3" t="str">
        <f t="shared" si="5"/>
        <v>Refrigeration and air-conditioning</v>
      </c>
      <c r="C108" s="3" t="str">
        <f t="shared" si="5"/>
        <v>CO2</v>
      </c>
      <c r="D108" s="3" t="str">
        <f t="shared" si="5"/>
        <v>Carbon Dioxide</v>
      </c>
      <c r="E108" s="1052">
        <f t="shared" si="7"/>
        <v>1</v>
      </c>
      <c r="F108" s="572">
        <f t="shared" si="8"/>
        <v>0</v>
      </c>
      <c r="G108" s="572">
        <f t="shared" si="8"/>
        <v>0</v>
      </c>
      <c r="H108" s="572">
        <f t="shared" si="8"/>
        <v>0</v>
      </c>
      <c r="I108" s="572">
        <f t="shared" si="8"/>
        <v>0</v>
      </c>
      <c r="J108" s="572">
        <f t="shared" si="8"/>
        <v>0</v>
      </c>
      <c r="K108" s="572">
        <f t="shared" si="8"/>
        <v>0</v>
      </c>
      <c r="L108" s="572">
        <f t="shared" si="8"/>
        <v>0</v>
      </c>
      <c r="M108" s="572">
        <f t="shared" si="8"/>
        <v>0</v>
      </c>
      <c r="N108" s="572">
        <f t="shared" si="8"/>
        <v>0</v>
      </c>
      <c r="O108" s="572">
        <f t="shared" si="8"/>
        <v>0</v>
      </c>
      <c r="P108" s="572">
        <f t="shared" si="8"/>
        <v>0</v>
      </c>
      <c r="Q108" s="572">
        <f t="shared" si="8"/>
        <v>0</v>
      </c>
      <c r="R108" s="572">
        <f t="shared" si="8"/>
        <v>0</v>
      </c>
      <c r="S108" s="572">
        <f t="shared" si="8"/>
        <v>0</v>
      </c>
      <c r="T108" s="572">
        <f t="shared" si="8"/>
        <v>0</v>
      </c>
      <c r="U108" s="572">
        <f t="shared" si="8"/>
        <v>0</v>
      </c>
      <c r="V108" s="572">
        <f t="shared" si="8"/>
        <v>0</v>
      </c>
      <c r="W108" s="572">
        <f t="shared" si="8"/>
        <v>0</v>
      </c>
      <c r="X108" s="572">
        <f t="shared" si="8"/>
        <v>0</v>
      </c>
      <c r="Y108" s="572">
        <f t="shared" si="8"/>
        <v>0</v>
      </c>
      <c r="Z108" s="572">
        <f t="shared" si="8"/>
        <v>0</v>
      </c>
      <c r="AA108" s="572">
        <f t="shared" si="8"/>
        <v>0</v>
      </c>
      <c r="AB108" s="572">
        <f t="shared" si="8"/>
        <v>3.70462863680154E-10</v>
      </c>
      <c r="AC108" s="572">
        <f t="shared" si="8"/>
        <v>1.1108583319757149E-9</v>
      </c>
      <c r="AD108" s="572">
        <f t="shared" si="8"/>
        <v>1.2944556663871841E-9</v>
      </c>
      <c r="AE108" s="572">
        <f t="shared" si="8"/>
        <v>2.3984260362871581E-9</v>
      </c>
      <c r="AF108" s="572">
        <f t="shared" si="8"/>
        <v>2.940498638410223E-9</v>
      </c>
      <c r="AG108" s="572">
        <f t="shared" si="8"/>
        <v>6.4163774596117491E-9</v>
      </c>
      <c r="AH108" s="572">
        <f t="shared" si="8"/>
        <v>1.353233746433338E-8</v>
      </c>
      <c r="AI108" s="572">
        <f t="shared" si="8"/>
        <v>2.4263685619281551E-8</v>
      </c>
      <c r="AJ108" s="572">
        <f t="shared" si="8"/>
        <v>3.9230959730470671E-8</v>
      </c>
      <c r="AK108" s="572">
        <f t="shared" si="8"/>
        <v>5.8312306612808159E-8</v>
      </c>
      <c r="AL108" s="572">
        <f t="shared" si="8"/>
        <v>8.8385301478315641E-8</v>
      </c>
      <c r="AM108" s="572"/>
    </row>
    <row r="109" spans="1:39" ht="15.75" customHeight="1" x14ac:dyDescent="0.25">
      <c r="A109" s="3"/>
      <c r="B109" s="3" t="str">
        <f t="shared" si="5"/>
        <v>Fire protection</v>
      </c>
      <c r="C109" s="3" t="str">
        <f t="shared" si="5"/>
        <v>HFC</v>
      </c>
      <c r="D109" s="3" t="str">
        <f t="shared" si="5"/>
        <v>HFC-125</v>
      </c>
      <c r="E109" s="1052">
        <f t="shared" si="7"/>
        <v>1.1798107255520505</v>
      </c>
      <c r="F109" s="572">
        <f t="shared" si="8"/>
        <v>0</v>
      </c>
      <c r="G109" s="572">
        <f t="shared" si="8"/>
        <v>0</v>
      </c>
      <c r="H109" s="572">
        <f t="shared" si="8"/>
        <v>0</v>
      </c>
      <c r="I109" s="572">
        <f t="shared" si="8"/>
        <v>0</v>
      </c>
      <c r="J109" s="572">
        <f t="shared" si="8"/>
        <v>0</v>
      </c>
      <c r="K109" s="572">
        <f t="shared" si="8"/>
        <v>0</v>
      </c>
      <c r="L109" s="572">
        <f t="shared" si="8"/>
        <v>0</v>
      </c>
      <c r="M109" s="572">
        <f t="shared" si="8"/>
        <v>3.1946475215990909E-5</v>
      </c>
      <c r="N109" s="572">
        <f t="shared" si="8"/>
        <v>1.0256277632816709E-4</v>
      </c>
      <c r="O109" s="572">
        <f t="shared" si="8"/>
        <v>2.1980350749576158E-4</v>
      </c>
      <c r="P109" s="572">
        <f t="shared" si="8"/>
        <v>3.689686700700279E-4</v>
      </c>
      <c r="Q109" s="572">
        <f t="shared" si="8"/>
        <v>6.1330304098628375E-4</v>
      </c>
      <c r="R109" s="572">
        <f t="shared" si="8"/>
        <v>9.4595753497824149E-4</v>
      </c>
      <c r="S109" s="572">
        <f t="shared" si="8"/>
        <v>1.2782788799378239E-3</v>
      </c>
      <c r="T109" s="572">
        <f t="shared" si="8"/>
        <v>1.6446397897477325E-3</v>
      </c>
      <c r="U109" s="572">
        <f t="shared" si="8"/>
        <v>2.0443412015534318E-3</v>
      </c>
      <c r="V109" s="572">
        <f t="shared" si="8"/>
        <v>2.4719816496919138E-3</v>
      </c>
      <c r="W109" s="572">
        <f t="shared" si="8"/>
        <v>2.8927142775995217E-3</v>
      </c>
      <c r="X109" s="572">
        <f t="shared" si="8"/>
        <v>3.3066961149637798E-3</v>
      </c>
      <c r="Y109" s="572">
        <f t="shared" si="8"/>
        <v>3.0234678387744871E-3</v>
      </c>
      <c r="Z109" s="572">
        <f t="shared" si="8"/>
        <v>3.2472877167047721E-3</v>
      </c>
      <c r="AA109" s="572">
        <f t="shared" si="8"/>
        <v>3.8094184019628855E-3</v>
      </c>
      <c r="AB109" s="572">
        <f t="shared" si="8"/>
        <v>4.5121827611430592E-3</v>
      </c>
      <c r="AC109" s="572">
        <f t="shared" si="8"/>
        <v>5.0381896362217985E-3</v>
      </c>
      <c r="AD109" s="572">
        <f t="shared" si="8"/>
        <v>6.3127759146439462E-3</v>
      </c>
      <c r="AE109" s="572">
        <f t="shared" si="8"/>
        <v>6.1830728068949983E-3</v>
      </c>
      <c r="AF109" s="572">
        <f t="shared" si="8"/>
        <v>7.2826676975026637E-3</v>
      </c>
      <c r="AG109" s="572">
        <f t="shared" si="8"/>
        <v>6.5296994317880349E-3</v>
      </c>
      <c r="AH109" s="572">
        <f t="shared" si="8"/>
        <v>7.6412923002471657E-3</v>
      </c>
      <c r="AI109" s="572">
        <f t="shared" si="8"/>
        <v>7.2208612126688264E-3</v>
      </c>
      <c r="AJ109" s="572">
        <f t="shared" si="8"/>
        <v>8.2554155661532357E-3</v>
      </c>
      <c r="AK109" s="572">
        <f t="shared" si="8"/>
        <v>8.5682922965910398E-3</v>
      </c>
      <c r="AL109" s="572">
        <f t="shared" si="8"/>
        <v>8.8775184477080122E-3</v>
      </c>
      <c r="AM109" s="572"/>
    </row>
    <row r="110" spans="1:39" ht="15.75" customHeight="1" x14ac:dyDescent="0.25">
      <c r="A110" s="3"/>
      <c r="B110" s="3" t="str">
        <f t="shared" si="5"/>
        <v>Refrigeration and air-conditioning</v>
      </c>
      <c r="C110" s="3" t="str">
        <f t="shared" si="5"/>
        <v>HFC</v>
      </c>
      <c r="D110" s="3" t="str">
        <f t="shared" si="5"/>
        <v>HFC-125</v>
      </c>
      <c r="E110" s="1052">
        <f t="shared" si="7"/>
        <v>1.1798107255520505</v>
      </c>
      <c r="F110" s="572">
        <f t="shared" si="8"/>
        <v>2.4576398438319589E-6</v>
      </c>
      <c r="G110" s="572">
        <f t="shared" si="8"/>
        <v>6.0536431158403157E-6</v>
      </c>
      <c r="H110" s="572">
        <f t="shared" si="8"/>
        <v>1.1606811852281037E-5</v>
      </c>
      <c r="I110" s="572">
        <f t="shared" si="8"/>
        <v>2.1617437682942917E-3</v>
      </c>
      <c r="J110" s="572">
        <f t="shared" si="8"/>
        <v>5.7490643797077764E-3</v>
      </c>
      <c r="K110" s="572">
        <f t="shared" si="8"/>
        <v>1.2184976515315473E-2</v>
      </c>
      <c r="L110" s="572">
        <f t="shared" si="8"/>
        <v>2.0740879790053592E-2</v>
      </c>
      <c r="M110" s="572">
        <f t="shared" si="8"/>
        <v>3.2014457315250537E-2</v>
      </c>
      <c r="N110" s="572">
        <f t="shared" si="8"/>
        <v>4.1861990735237067E-2</v>
      </c>
      <c r="O110" s="572">
        <f t="shared" si="8"/>
        <v>5.4787804523189224E-2</v>
      </c>
      <c r="P110" s="572">
        <f t="shared" si="8"/>
        <v>6.5479250801520353E-2</v>
      </c>
      <c r="Q110" s="572">
        <f t="shared" si="8"/>
        <v>7.9670894655079857E-2</v>
      </c>
      <c r="R110" s="572">
        <f t="shared" si="8"/>
        <v>9.6705532779341324E-2</v>
      </c>
      <c r="S110" s="572">
        <f t="shared" si="8"/>
        <v>0.11542430003295015</v>
      </c>
      <c r="T110" s="572">
        <f t="shared" si="8"/>
        <v>0.13470181776690462</v>
      </c>
      <c r="U110" s="572">
        <f t="shared" si="8"/>
        <v>0.16934307250523503</v>
      </c>
      <c r="V110" s="572">
        <f t="shared" si="8"/>
        <v>0.21350795683054402</v>
      </c>
      <c r="W110" s="572">
        <f t="shared" si="8"/>
        <v>0.27051794842263538</v>
      </c>
      <c r="X110" s="572">
        <f t="shared" si="8"/>
        <v>0.33164669379912121</v>
      </c>
      <c r="Y110" s="572">
        <f t="shared" si="8"/>
        <v>0.32567146380175138</v>
      </c>
      <c r="Z110" s="572">
        <f t="shared" si="8"/>
        <v>0.37677464741556727</v>
      </c>
      <c r="AA110" s="572">
        <f t="shared" si="8"/>
        <v>0.46506681346363399</v>
      </c>
      <c r="AB110" s="572">
        <f t="shared" si="8"/>
        <v>0.56725215748617275</v>
      </c>
      <c r="AC110" s="572">
        <f t="shared" si="8"/>
        <v>0.6498209991017293</v>
      </c>
      <c r="AD110" s="572">
        <f t="shared" si="8"/>
        <v>0.83019459651631533</v>
      </c>
      <c r="AE110" s="572">
        <f t="shared" si="8"/>
        <v>0.82291558563957479</v>
      </c>
      <c r="AF110" s="572">
        <f t="shared" si="8"/>
        <v>0.98312321346849263</v>
      </c>
      <c r="AG110" s="572">
        <f t="shared" si="8"/>
        <v>0.8866544398575833</v>
      </c>
      <c r="AH110" s="572">
        <f t="shared" si="8"/>
        <v>1.0506353564364066</v>
      </c>
      <c r="AI110" s="572">
        <f t="shared" si="8"/>
        <v>1.0230481503270705</v>
      </c>
      <c r="AJ110" s="572">
        <f t="shared" si="8"/>
        <v>1.2291436637554276</v>
      </c>
      <c r="AK110" s="572">
        <f t="shared" si="8"/>
        <v>1.4133724253832689</v>
      </c>
      <c r="AL110" s="572">
        <f t="shared" si="8"/>
        <v>1.5369948658044745</v>
      </c>
      <c r="AM110" s="572"/>
    </row>
    <row r="111" spans="1:39" ht="15.75" customHeight="1" x14ac:dyDescent="0.25">
      <c r="A111" s="3"/>
      <c r="B111" s="3" t="str">
        <f t="shared" si="5"/>
        <v>Foam blowing agents</v>
      </c>
      <c r="C111" s="3" t="str">
        <f t="shared" si="5"/>
        <v>HFC</v>
      </c>
      <c r="D111" s="3" t="str">
        <f t="shared" si="5"/>
        <v>HFC-134a</v>
      </c>
      <c r="E111" s="1052">
        <f t="shared" si="7"/>
        <v>1.176923076923077</v>
      </c>
      <c r="F111" s="572">
        <f t="shared" si="8"/>
        <v>0</v>
      </c>
      <c r="G111" s="572">
        <f t="shared" si="8"/>
        <v>0</v>
      </c>
      <c r="H111" s="572">
        <f t="shared" si="8"/>
        <v>0</v>
      </c>
      <c r="I111" s="572">
        <f t="shared" si="8"/>
        <v>0</v>
      </c>
      <c r="J111" s="572">
        <f t="shared" si="8"/>
        <v>0</v>
      </c>
      <c r="K111" s="572">
        <f t="shared" si="8"/>
        <v>0</v>
      </c>
      <c r="L111" s="572">
        <f t="shared" si="8"/>
        <v>5.5413083579094037E-4</v>
      </c>
      <c r="M111" s="572">
        <f t="shared" si="8"/>
        <v>1.1463061570884396E-3</v>
      </c>
      <c r="N111" s="572">
        <f t="shared" si="8"/>
        <v>1.7856720966977861E-3</v>
      </c>
      <c r="O111" s="572">
        <f t="shared" si="8"/>
        <v>2.4586457562872912E-3</v>
      </c>
      <c r="P111" s="572">
        <f t="shared" si="8"/>
        <v>2.6595206133257373E-3</v>
      </c>
      <c r="Q111" s="572">
        <f t="shared" si="8"/>
        <v>2.8833806575471912E-3</v>
      </c>
      <c r="R111" s="572">
        <f t="shared" si="8"/>
        <v>1.1383121145561432E-2</v>
      </c>
      <c r="S111" s="572">
        <f t="shared" si="8"/>
        <v>2.1169450698678951E-2</v>
      </c>
      <c r="T111" s="572">
        <f t="shared" si="8"/>
        <v>2.3594539016459543E-2</v>
      </c>
      <c r="U111" s="572">
        <f t="shared" si="8"/>
        <v>2.6123064583799201E-2</v>
      </c>
      <c r="V111" s="572">
        <f t="shared" si="8"/>
        <v>2.868406791079426E-2</v>
      </c>
      <c r="W111" s="572">
        <f t="shared" si="8"/>
        <v>3.1332706697841356E-2</v>
      </c>
      <c r="X111" s="572">
        <f t="shared" si="8"/>
        <v>3.3929620508746872E-2</v>
      </c>
      <c r="Y111" s="572">
        <f t="shared" si="8"/>
        <v>5.8632859087559601E-2</v>
      </c>
      <c r="Z111" s="572">
        <f t="shared" si="8"/>
        <v>7.5932793843495647E-2</v>
      </c>
      <c r="AA111" s="572">
        <f t="shared" si="8"/>
        <v>8.2295308440702791E-2</v>
      </c>
      <c r="AB111" s="572">
        <f t="shared" si="8"/>
        <v>8.8848648400616528E-2</v>
      </c>
      <c r="AC111" s="572">
        <f t="shared" si="8"/>
        <v>0.12111814047733678</v>
      </c>
      <c r="AD111" s="572">
        <f t="shared" si="8"/>
        <v>0.14807868128829121</v>
      </c>
      <c r="AE111" s="572">
        <f t="shared" si="8"/>
        <v>0.14880304640774927</v>
      </c>
      <c r="AF111" s="572">
        <f t="shared" si="8"/>
        <v>0.14405920408081418</v>
      </c>
      <c r="AG111" s="572">
        <f t="shared" si="8"/>
        <v>0.12572341854477573</v>
      </c>
      <c r="AH111" s="572">
        <f t="shared" si="8"/>
        <v>0.14144205184399314</v>
      </c>
      <c r="AI111" s="572">
        <f t="shared" si="8"/>
        <v>0.13802719045858713</v>
      </c>
      <c r="AJ111" s="572">
        <f t="shared" si="8"/>
        <v>0.15151520143622044</v>
      </c>
      <c r="AK111" s="572">
        <f t="shared" si="8"/>
        <v>8.0621003838466834E-2</v>
      </c>
      <c r="AL111" s="572">
        <f t="shared" si="8"/>
        <v>8.6085049930413271E-2</v>
      </c>
      <c r="AM111" s="572"/>
    </row>
    <row r="112" spans="1:39" ht="15.75" customHeight="1" x14ac:dyDescent="0.25">
      <c r="A112" s="3"/>
      <c r="B112" s="3" t="str">
        <f t="shared" si="5"/>
        <v>Metered does inhalers</v>
      </c>
      <c r="C112" s="3" t="str">
        <f t="shared" si="5"/>
        <v>HFC</v>
      </c>
      <c r="D112" s="3" t="str">
        <f t="shared" si="5"/>
        <v>HFC-134a</v>
      </c>
      <c r="E112" s="1052">
        <f t="shared" si="7"/>
        <v>1.176923076923077</v>
      </c>
      <c r="F112" s="572">
        <f t="shared" si="8"/>
        <v>0</v>
      </c>
      <c r="G112" s="572">
        <f t="shared" si="8"/>
        <v>0</v>
      </c>
      <c r="H112" s="572">
        <f t="shared" si="8"/>
        <v>0</v>
      </c>
      <c r="I112" s="572">
        <f t="shared" si="8"/>
        <v>0</v>
      </c>
      <c r="J112" s="572">
        <f t="shared" si="8"/>
        <v>0</v>
      </c>
      <c r="K112" s="572">
        <f t="shared" si="8"/>
        <v>0</v>
      </c>
      <c r="L112" s="572">
        <f t="shared" si="8"/>
        <v>0</v>
      </c>
      <c r="M112" s="572">
        <f t="shared" si="8"/>
        <v>3.7939036037830295E-4</v>
      </c>
      <c r="N112" s="572">
        <f t="shared" si="8"/>
        <v>7.6818525378716414E-4</v>
      </c>
      <c r="O112" s="572">
        <f t="shared" si="8"/>
        <v>1.1657179727994503E-3</v>
      </c>
      <c r="P112" s="572">
        <f t="shared" si="8"/>
        <v>1.6142289629450435E-3</v>
      </c>
      <c r="Q112" s="572">
        <f t="shared" si="8"/>
        <v>3.6916787697975021E-3</v>
      </c>
      <c r="R112" s="572">
        <f t="shared" si="8"/>
        <v>5.8348546621775797E-3</v>
      </c>
      <c r="S112" s="572">
        <f t="shared" si="8"/>
        <v>8.03130355318501E-3</v>
      </c>
      <c r="T112" s="572">
        <f t="shared" si="8"/>
        <v>1.0296011981757487E-2</v>
      </c>
      <c r="U112" s="572">
        <f t="shared" si="8"/>
        <v>1.2626404141386645E-2</v>
      </c>
      <c r="V112" s="572">
        <f t="shared" si="8"/>
        <v>1.4994885263995329E-2</v>
      </c>
      <c r="W112" s="572">
        <f t="shared" si="8"/>
        <v>1.7386181158705091E-2</v>
      </c>
      <c r="X112" s="572">
        <f t="shared" si="8"/>
        <v>1.9365760686055535E-2</v>
      </c>
      <c r="Y112" s="572">
        <f t="shared" si="8"/>
        <v>2.1026160489749233E-2</v>
      </c>
      <c r="Z112" s="572">
        <f t="shared" si="8"/>
        <v>2.0054753069219337E-2</v>
      </c>
      <c r="AA112" s="572">
        <f t="shared" si="8"/>
        <v>2.1853456597257698E-2</v>
      </c>
      <c r="AB112" s="572">
        <f t="shared" si="8"/>
        <v>2.0501595810925019E-2</v>
      </c>
      <c r="AC112" s="572">
        <f t="shared" si="8"/>
        <v>2.4035971371955862E-2</v>
      </c>
      <c r="AD112" s="572">
        <f t="shared" si="8"/>
        <v>2.5064126442639573E-2</v>
      </c>
      <c r="AE112" s="572">
        <f t="shared" si="8"/>
        <v>2.1169957981648575E-2</v>
      </c>
      <c r="AF112" s="572">
        <f t="shared" si="8"/>
        <v>2.4705781188753502E-2</v>
      </c>
      <c r="AG112" s="572">
        <f t="shared" si="8"/>
        <v>2.6091015144450155E-2</v>
      </c>
      <c r="AH112" s="572">
        <f t="shared" si="8"/>
        <v>3.3694504212722486E-2</v>
      </c>
      <c r="AI112" s="572">
        <f t="shared" si="8"/>
        <v>3.3185100647580561E-2</v>
      </c>
      <c r="AJ112" s="572">
        <f t="shared" si="8"/>
        <v>3.7574578334229308E-2</v>
      </c>
      <c r="AK112" s="572">
        <f t="shared" si="8"/>
        <v>3.8179502919196036E-2</v>
      </c>
      <c r="AL112" s="572">
        <f t="shared" si="8"/>
        <v>2.3250553548915028E-2</v>
      </c>
      <c r="AM112" s="572"/>
    </row>
    <row r="113" spans="1:39" ht="15.75" customHeight="1" x14ac:dyDescent="0.25">
      <c r="A113" s="3"/>
      <c r="B113" s="3" t="str">
        <f t="shared" si="5"/>
        <v>Other Aerosols</v>
      </c>
      <c r="C113" s="3" t="str">
        <f t="shared" si="5"/>
        <v>HFC</v>
      </c>
      <c r="D113" s="3" t="str">
        <f t="shared" si="5"/>
        <v>HFC-134a</v>
      </c>
      <c r="E113" s="1052">
        <f t="shared" si="7"/>
        <v>1.176923076923077</v>
      </c>
      <c r="F113" s="572">
        <f t="shared" si="8"/>
        <v>0</v>
      </c>
      <c r="G113" s="572">
        <f t="shared" si="8"/>
        <v>0</v>
      </c>
      <c r="H113" s="572">
        <f t="shared" si="8"/>
        <v>0</v>
      </c>
      <c r="I113" s="572">
        <f t="shared" si="8"/>
        <v>0</v>
      </c>
      <c r="J113" s="572">
        <f t="shared" si="8"/>
        <v>1.4392277641115362E-2</v>
      </c>
      <c r="K113" s="572">
        <f t="shared" si="8"/>
        <v>0.15532565849276692</v>
      </c>
      <c r="L113" s="572">
        <f t="shared" si="8"/>
        <v>0.17915889959888123</v>
      </c>
      <c r="M113" s="572">
        <f t="shared" si="8"/>
        <v>0.19316540637696528</v>
      </c>
      <c r="N113" s="572">
        <f t="shared" si="8"/>
        <v>0.19302868042297985</v>
      </c>
      <c r="O113" s="572">
        <f t="shared" si="8"/>
        <v>0.19906500377413058</v>
      </c>
      <c r="P113" s="572">
        <f t="shared" si="8"/>
        <v>0.20217135137391629</v>
      </c>
      <c r="Q113" s="572">
        <f t="shared" si="8"/>
        <v>0.19213656787701691</v>
      </c>
      <c r="R113" s="572">
        <f t="shared" si="8"/>
        <v>0.18047922066590463</v>
      </c>
      <c r="S113" s="572">
        <f t="shared" si="8"/>
        <v>0.16830407734801775</v>
      </c>
      <c r="T113" s="572">
        <f t="shared" si="8"/>
        <v>0.15452631536444547</v>
      </c>
      <c r="U113" s="572">
        <f t="shared" si="8"/>
        <v>0.14029628361986682</v>
      </c>
      <c r="V113" s="572">
        <f t="shared" si="8"/>
        <v>0.15158670091208537</v>
      </c>
      <c r="W113" s="572">
        <f t="shared" si="8"/>
        <v>0.16404220354761878</v>
      </c>
      <c r="X113" s="572">
        <f t="shared" si="8"/>
        <v>0.17524568368641044</v>
      </c>
      <c r="Y113" s="572">
        <f t="shared" si="8"/>
        <v>0.19448558037881478</v>
      </c>
      <c r="Z113" s="572">
        <f t="shared" si="8"/>
        <v>0.18974199745809506</v>
      </c>
      <c r="AA113" s="572">
        <f t="shared" si="8"/>
        <v>0.20293791367416175</v>
      </c>
      <c r="AB113" s="572">
        <f t="shared" si="8"/>
        <v>0.21486612602467289</v>
      </c>
      <c r="AC113" s="572">
        <f t="shared" si="8"/>
        <v>0.28523314183452703</v>
      </c>
      <c r="AD113" s="572">
        <f t="shared" ref="AD113:AL113" si="9">AD23*$E113</f>
        <v>0.33811556758831701</v>
      </c>
      <c r="AE113" s="572">
        <f t="shared" si="9"/>
        <v>0.32963722721891409</v>
      </c>
      <c r="AF113" s="572">
        <f t="shared" si="9"/>
        <v>0.27805089190582316</v>
      </c>
      <c r="AG113" s="572">
        <f t="shared" si="9"/>
        <v>0.21810526253959236</v>
      </c>
      <c r="AH113" s="572">
        <f t="shared" si="9"/>
        <v>0.2108220696276798</v>
      </c>
      <c r="AI113" s="572">
        <f t="shared" si="9"/>
        <v>0.20894778493336813</v>
      </c>
      <c r="AJ113" s="572">
        <f t="shared" si="9"/>
        <v>0.23808142435939184</v>
      </c>
      <c r="AK113" s="572">
        <f t="shared" si="9"/>
        <v>0.24344458357402818</v>
      </c>
      <c r="AL113" s="572">
        <f t="shared" si="9"/>
        <v>0.24861246121430072</v>
      </c>
      <c r="AM113" s="572"/>
    </row>
    <row r="114" spans="1:39" ht="15.75" customHeight="1" x14ac:dyDescent="0.25">
      <c r="A114" s="3"/>
      <c r="B114" s="3" t="str">
        <f t="shared" si="5"/>
        <v>Refrigeration and air-conditioning</v>
      </c>
      <c r="C114" s="3" t="str">
        <f t="shared" si="5"/>
        <v>HFC</v>
      </c>
      <c r="D114" s="3" t="str">
        <f t="shared" si="5"/>
        <v>HFC-134a</v>
      </c>
      <c r="E114" s="1052">
        <f t="shared" si="7"/>
        <v>1.176923076923077</v>
      </c>
      <c r="F114" s="572">
        <f t="shared" ref="F114:AL121" si="10">F24*$E114</f>
        <v>8.6202583729934789E-8</v>
      </c>
      <c r="G114" s="572">
        <f t="shared" si="10"/>
        <v>2.1233366592507473E-7</v>
      </c>
      <c r="H114" s="572">
        <f t="shared" si="10"/>
        <v>2.0367205085037522E-2</v>
      </c>
      <c r="I114" s="572">
        <f t="shared" si="10"/>
        <v>8.8181790900263457E-2</v>
      </c>
      <c r="J114" s="572">
        <f t="shared" si="10"/>
        <v>0.21436911971480538</v>
      </c>
      <c r="K114" s="572">
        <f t="shared" si="10"/>
        <v>0.3394997679168319</v>
      </c>
      <c r="L114" s="572">
        <f t="shared" si="10"/>
        <v>0.49204988800476218</v>
      </c>
      <c r="M114" s="572">
        <f t="shared" si="10"/>
        <v>0.65106029740601701</v>
      </c>
      <c r="N114" s="572">
        <f t="shared" si="10"/>
        <v>0.76405529843479858</v>
      </c>
      <c r="O114" s="572">
        <f t="shared" si="10"/>
        <v>0.87820213530029922</v>
      </c>
      <c r="P114" s="572">
        <f t="shared" si="10"/>
        <v>0.98682787364386038</v>
      </c>
      <c r="Q114" s="572">
        <f t="shared" si="10"/>
        <v>1.0958117564988985</v>
      </c>
      <c r="R114" s="572">
        <f t="shared" si="10"/>
        <v>1.1475923262544248</v>
      </c>
      <c r="S114" s="572">
        <f t="shared" si="10"/>
        <v>1.1857539332921667</v>
      </c>
      <c r="T114" s="572">
        <f t="shared" si="10"/>
        <v>1.2283436353150234</v>
      </c>
      <c r="U114" s="572">
        <f t="shared" si="10"/>
        <v>1.2567529893196552</v>
      </c>
      <c r="V114" s="572">
        <f t="shared" si="10"/>
        <v>1.281985385227044</v>
      </c>
      <c r="W114" s="572">
        <f t="shared" si="10"/>
        <v>1.3014139289830522</v>
      </c>
      <c r="X114" s="572">
        <f t="shared" si="10"/>
        <v>1.3279400901108758</v>
      </c>
      <c r="Y114" s="572">
        <f t="shared" si="10"/>
        <v>1.3052967957333248</v>
      </c>
      <c r="Z114" s="572">
        <f t="shared" si="10"/>
        <v>1.0921574174323545</v>
      </c>
      <c r="AA114" s="572">
        <f t="shared" si="10"/>
        <v>1.0092036858033848</v>
      </c>
      <c r="AB114" s="572">
        <f t="shared" si="10"/>
        <v>0.93219382101798121</v>
      </c>
      <c r="AC114" s="572">
        <f t="shared" si="10"/>
        <v>1.0705183524784045</v>
      </c>
      <c r="AD114" s="572">
        <f t="shared" si="10"/>
        <v>1.1529505979471093</v>
      </c>
      <c r="AE114" s="572">
        <f t="shared" si="10"/>
        <v>1.029395761505185</v>
      </c>
      <c r="AF114" s="572">
        <f t="shared" si="10"/>
        <v>0.90630826307732093</v>
      </c>
      <c r="AG114" s="572">
        <f t="shared" si="10"/>
        <v>0.74133225938971381</v>
      </c>
      <c r="AH114" s="572">
        <f t="shared" si="10"/>
        <v>0.78925069301974504</v>
      </c>
      <c r="AI114" s="572">
        <f t="shared" si="10"/>
        <v>0.73911814735464931</v>
      </c>
      <c r="AJ114" s="572">
        <f t="shared" si="10"/>
        <v>0.79469839906395301</v>
      </c>
      <c r="AK114" s="572">
        <f t="shared" si="10"/>
        <v>0.77010381503740766</v>
      </c>
      <c r="AL114" s="572">
        <f t="shared" si="10"/>
        <v>0.73800505065024258</v>
      </c>
      <c r="AM114" s="572"/>
    </row>
    <row r="115" spans="1:39" ht="15.75" customHeight="1" x14ac:dyDescent="0.25">
      <c r="A115" s="3"/>
      <c r="B115" s="3" t="str">
        <f t="shared" si="5"/>
        <v>Refrigeration and air-conditioning</v>
      </c>
      <c r="C115" s="3" t="str">
        <f t="shared" si="5"/>
        <v>HFC</v>
      </c>
      <c r="D115" s="3" t="str">
        <f t="shared" si="5"/>
        <v>HFC-143a</v>
      </c>
      <c r="E115" s="1052">
        <f t="shared" si="7"/>
        <v>1.2104166666666667</v>
      </c>
      <c r="F115" s="572">
        <f t="shared" si="10"/>
        <v>4.5076940923130153E-6</v>
      </c>
      <c r="G115" s="572">
        <f t="shared" si="10"/>
        <v>1.1103323938505679E-5</v>
      </c>
      <c r="H115" s="572">
        <f t="shared" si="10"/>
        <v>2.1288699948621633E-5</v>
      </c>
      <c r="I115" s="572">
        <f t="shared" si="10"/>
        <v>1.5961701598265531E-3</v>
      </c>
      <c r="J115" s="572">
        <f t="shared" si="10"/>
        <v>4.4472267640225226E-3</v>
      </c>
      <c r="K115" s="572">
        <f t="shared" si="10"/>
        <v>1.1107737278983924E-2</v>
      </c>
      <c r="L115" s="572">
        <f t="shared" si="10"/>
        <v>2.0659970010604808E-2</v>
      </c>
      <c r="M115" s="572">
        <f t="shared" si="10"/>
        <v>3.4206585858856019E-2</v>
      </c>
      <c r="N115" s="572">
        <f t="shared" si="10"/>
        <v>4.9596095105295827E-2</v>
      </c>
      <c r="O115" s="572">
        <f t="shared" si="10"/>
        <v>7.082357343129618E-2</v>
      </c>
      <c r="P115" s="572">
        <f t="shared" si="10"/>
        <v>8.733230728730064E-2</v>
      </c>
      <c r="Q115" s="572">
        <f t="shared" si="10"/>
        <v>0.10817501738544939</v>
      </c>
      <c r="R115" s="572">
        <f t="shared" si="10"/>
        <v>0.13167252832941642</v>
      </c>
      <c r="S115" s="572">
        <f t="shared" si="10"/>
        <v>0.15591047969059296</v>
      </c>
      <c r="T115" s="572">
        <f t="shared" si="10"/>
        <v>0.17823636493764719</v>
      </c>
      <c r="U115" s="572">
        <f t="shared" si="10"/>
        <v>0.21575961040070421</v>
      </c>
      <c r="V115" s="572">
        <f t="shared" si="10"/>
        <v>0.25644128740352529</v>
      </c>
      <c r="W115" s="572">
        <f t="shared" si="10"/>
        <v>0.30218145073643815</v>
      </c>
      <c r="X115" s="572">
        <f t="shared" si="10"/>
        <v>0.35409892626905459</v>
      </c>
      <c r="Y115" s="572">
        <f t="shared" si="10"/>
        <v>0.39392619852708727</v>
      </c>
      <c r="Z115" s="572">
        <f t="shared" si="10"/>
        <v>0.40366959468879882</v>
      </c>
      <c r="AA115" s="572">
        <f t="shared" si="10"/>
        <v>0.50097650150941908</v>
      </c>
      <c r="AB115" s="572">
        <f t="shared" si="10"/>
        <v>0.60517065792466496</v>
      </c>
      <c r="AC115" s="572">
        <f t="shared" si="10"/>
        <v>0.68604492864480482</v>
      </c>
      <c r="AD115" s="572">
        <f t="shared" si="10"/>
        <v>0.79081708648338844</v>
      </c>
      <c r="AE115" s="572">
        <f t="shared" si="10"/>
        <v>0.79333137785513586</v>
      </c>
      <c r="AF115" s="572">
        <f t="shared" si="10"/>
        <v>0.81599223360901352</v>
      </c>
      <c r="AG115" s="572">
        <f t="shared" si="10"/>
        <v>0.61010995355122077</v>
      </c>
      <c r="AH115" s="572">
        <f t="shared" si="10"/>
        <v>0.7650968498605466</v>
      </c>
      <c r="AI115" s="572">
        <f t="shared" si="10"/>
        <v>0.67078830913150433</v>
      </c>
      <c r="AJ115" s="572">
        <f t="shared" si="10"/>
        <v>0.73767454020865331</v>
      </c>
      <c r="AK115" s="572">
        <f t="shared" si="10"/>
        <v>0.74022895886866802</v>
      </c>
      <c r="AL115" s="572">
        <f t="shared" si="10"/>
        <v>0.73678876833263518</v>
      </c>
      <c r="AM115" s="572"/>
    </row>
    <row r="116" spans="1:39" ht="15.75" customHeight="1" x14ac:dyDescent="0.25">
      <c r="A116" s="3"/>
      <c r="B116" s="3" t="str">
        <f t="shared" si="5"/>
        <v>Fire protection</v>
      </c>
      <c r="C116" s="3" t="str">
        <f t="shared" si="5"/>
        <v>HFC</v>
      </c>
      <c r="D116" s="3" t="str">
        <f t="shared" si="5"/>
        <v>HFC-23</v>
      </c>
      <c r="E116" s="1052">
        <f t="shared" si="7"/>
        <v>1.1774193548387097</v>
      </c>
      <c r="F116" s="572">
        <f t="shared" si="10"/>
        <v>0</v>
      </c>
      <c r="G116" s="572">
        <f t="shared" si="10"/>
        <v>0</v>
      </c>
      <c r="H116" s="572">
        <f t="shared" si="10"/>
        <v>0</v>
      </c>
      <c r="I116" s="572">
        <f t="shared" si="10"/>
        <v>0</v>
      </c>
      <c r="J116" s="572">
        <f t="shared" si="10"/>
        <v>0</v>
      </c>
      <c r="K116" s="572">
        <f t="shared" si="10"/>
        <v>1.0954255927589853E-5</v>
      </c>
      <c r="L116" s="572">
        <f t="shared" si="10"/>
        <v>2.456470499795807E-5</v>
      </c>
      <c r="M116" s="572">
        <f t="shared" si="10"/>
        <v>4.6255211710234037E-5</v>
      </c>
      <c r="N116" s="572">
        <f t="shared" si="10"/>
        <v>6.7848196628092475E-5</v>
      </c>
      <c r="O116" s="572">
        <f t="shared" si="10"/>
        <v>9.7517162990399424E-5</v>
      </c>
      <c r="P116" s="572">
        <f t="shared" si="10"/>
        <v>1.2726552049466115E-4</v>
      </c>
      <c r="Q116" s="572">
        <f t="shared" si="10"/>
        <v>1.5467252551876407E-4</v>
      </c>
      <c r="R116" s="572">
        <f t="shared" si="10"/>
        <v>1.7963043661400874E-4</v>
      </c>
      <c r="S116" s="572">
        <f t="shared" si="10"/>
        <v>1.9902799546744342E-4</v>
      </c>
      <c r="T116" s="572">
        <f t="shared" si="10"/>
        <v>2.1812373185547078E-4</v>
      </c>
      <c r="U116" s="572">
        <f t="shared" si="10"/>
        <v>2.3971787596177731E-4</v>
      </c>
      <c r="V116" s="572">
        <f t="shared" si="10"/>
        <v>2.5795595762703266E-4</v>
      </c>
      <c r="W116" s="572">
        <f t="shared" si="10"/>
        <v>2.7837202804506213E-4</v>
      </c>
      <c r="X116" s="572">
        <f t="shared" si="10"/>
        <v>2.9619713185669375E-4</v>
      </c>
      <c r="Y116" s="572">
        <f t="shared" si="10"/>
        <v>3.1754278650377024E-4</v>
      </c>
      <c r="Z116" s="572">
        <f t="shared" si="10"/>
        <v>3.4245377721385566E-4</v>
      </c>
      <c r="AA116" s="572">
        <f t="shared" si="10"/>
        <v>3.6468774668985826E-4</v>
      </c>
      <c r="AB116" s="572">
        <f t="shared" si="10"/>
        <v>3.9213494120544299E-4</v>
      </c>
      <c r="AC116" s="572">
        <f t="shared" si="10"/>
        <v>4.1627564560236629E-4</v>
      </c>
      <c r="AD116" s="572">
        <f t="shared" si="10"/>
        <v>4.427778067996393E-4</v>
      </c>
      <c r="AE116" s="572">
        <f t="shared" si="10"/>
        <v>4.7138296328566831E-4</v>
      </c>
      <c r="AF116" s="572">
        <f t="shared" si="10"/>
        <v>4.9907613140417507E-4</v>
      </c>
      <c r="AG116" s="572">
        <f t="shared" si="10"/>
        <v>5.2995611314987558E-4</v>
      </c>
      <c r="AH116" s="572">
        <f t="shared" si="10"/>
        <v>5.6067765764386708E-4</v>
      </c>
      <c r="AI116" s="572">
        <f t="shared" si="10"/>
        <v>5.9396772661095385E-4</v>
      </c>
      <c r="AJ116" s="572">
        <f t="shared" si="10"/>
        <v>6.2655342164842794E-4</v>
      </c>
      <c r="AK116" s="572">
        <f t="shared" si="10"/>
        <v>6.4993388556584808E-4</v>
      </c>
      <c r="AL116" s="572">
        <f t="shared" si="10"/>
        <v>6.7059373871104647E-4</v>
      </c>
      <c r="AM116" s="572"/>
    </row>
    <row r="117" spans="1:39" ht="15.75" customHeight="1" x14ac:dyDescent="0.25">
      <c r="A117" s="3"/>
      <c r="B117" s="3" t="str">
        <f t="shared" si="5"/>
        <v>Fire protection</v>
      </c>
      <c r="C117" s="3" t="str">
        <f t="shared" si="5"/>
        <v>HFC</v>
      </c>
      <c r="D117" s="3" t="str">
        <f t="shared" si="5"/>
        <v>HFC-236fa</v>
      </c>
      <c r="E117" s="1052">
        <f t="shared" si="7"/>
        <v>1.0781637717121588</v>
      </c>
      <c r="F117" s="572">
        <f t="shared" si="10"/>
        <v>0</v>
      </c>
      <c r="G117" s="572">
        <f t="shared" si="10"/>
        <v>0</v>
      </c>
      <c r="H117" s="572">
        <f t="shared" si="10"/>
        <v>0</v>
      </c>
      <c r="I117" s="572">
        <f t="shared" si="10"/>
        <v>0</v>
      </c>
      <c r="J117" s="572">
        <f t="shared" si="10"/>
        <v>0</v>
      </c>
      <c r="K117" s="572">
        <f t="shared" si="10"/>
        <v>0</v>
      </c>
      <c r="L117" s="572">
        <f t="shared" si="10"/>
        <v>0</v>
      </c>
      <c r="M117" s="572">
        <f t="shared" si="10"/>
        <v>2.1215338621600856E-4</v>
      </c>
      <c r="N117" s="572">
        <f t="shared" si="10"/>
        <v>6.4613789446369698E-4</v>
      </c>
      <c r="O117" s="572">
        <f t="shared" si="10"/>
        <v>1.3156356610567776E-3</v>
      </c>
      <c r="P117" s="572">
        <f t="shared" si="10"/>
        <v>2.0049345557194187E-3</v>
      </c>
      <c r="Q117" s="572">
        <f t="shared" si="10"/>
        <v>2.7214799997444497E-3</v>
      </c>
      <c r="R117" s="572">
        <f t="shared" si="10"/>
        <v>3.4667033805895345E-3</v>
      </c>
      <c r="S117" s="572">
        <f t="shared" si="10"/>
        <v>4.0196129443386477E-3</v>
      </c>
      <c r="T117" s="572">
        <f t="shared" si="10"/>
        <v>4.3654813084132455E-3</v>
      </c>
      <c r="U117" s="572">
        <f t="shared" si="10"/>
        <v>4.4928425093250608E-3</v>
      </c>
      <c r="V117" s="572">
        <f t="shared" si="10"/>
        <v>4.6125686904520688E-3</v>
      </c>
      <c r="W117" s="572">
        <f t="shared" si="10"/>
        <v>4.7293626783562115E-3</v>
      </c>
      <c r="X117" s="572">
        <f t="shared" si="10"/>
        <v>4.8530074181988639E-3</v>
      </c>
      <c r="Y117" s="572">
        <f t="shared" si="10"/>
        <v>4.9957711952082103E-3</v>
      </c>
      <c r="Z117" s="572">
        <f t="shared" si="10"/>
        <v>5.1551427659641668E-3</v>
      </c>
      <c r="AA117" s="572">
        <f t="shared" si="10"/>
        <v>5.3204833792459038E-3</v>
      </c>
      <c r="AB117" s="572">
        <f t="shared" si="10"/>
        <v>5.4857251742884373E-3</v>
      </c>
      <c r="AC117" s="572">
        <f t="shared" si="10"/>
        <v>5.6472149593483432E-3</v>
      </c>
      <c r="AD117" s="572">
        <f t="shared" si="10"/>
        <v>5.8092119090528936E-3</v>
      </c>
      <c r="AE117" s="572">
        <f t="shared" si="10"/>
        <v>5.9705236983745424E-3</v>
      </c>
      <c r="AF117" s="572">
        <f t="shared" si="10"/>
        <v>6.1263157269764133E-3</v>
      </c>
      <c r="AG117" s="572">
        <f t="shared" si="10"/>
        <v>6.2943177945722038E-3</v>
      </c>
      <c r="AH117" s="572">
        <f t="shared" si="10"/>
        <v>6.4661915557732074E-3</v>
      </c>
      <c r="AI117" s="572">
        <f t="shared" si="10"/>
        <v>6.644198006618451E-3</v>
      </c>
      <c r="AJ117" s="572">
        <f t="shared" si="10"/>
        <v>6.9095721217346485E-3</v>
      </c>
      <c r="AK117" s="572">
        <f t="shared" si="10"/>
        <v>7.1070634608603684E-3</v>
      </c>
      <c r="AL117" s="572">
        <f t="shared" si="10"/>
        <v>7.2831318341558138E-3</v>
      </c>
      <c r="AM117" s="572"/>
    </row>
    <row r="118" spans="1:39" ht="15.75" customHeight="1" x14ac:dyDescent="0.25">
      <c r="A118" s="3"/>
      <c r="B118" s="3" t="str">
        <f t="shared" si="5"/>
        <v>Refrigeration and air-conditioning</v>
      </c>
      <c r="C118" s="3" t="str">
        <f t="shared" si="5"/>
        <v>HFC</v>
      </c>
      <c r="D118" s="3" t="str">
        <f t="shared" si="5"/>
        <v>HFC-236fa</v>
      </c>
      <c r="E118" s="1052">
        <f t="shared" si="7"/>
        <v>1.0781637717121588</v>
      </c>
      <c r="F118" s="572">
        <f t="shared" si="10"/>
        <v>0</v>
      </c>
      <c r="G118" s="572">
        <f t="shared" si="10"/>
        <v>0</v>
      </c>
      <c r="H118" s="572">
        <f t="shared" si="10"/>
        <v>0</v>
      </c>
      <c r="I118" s="572">
        <f t="shared" si="10"/>
        <v>1.1805442121498914E-3</v>
      </c>
      <c r="J118" s="572">
        <f t="shared" si="10"/>
        <v>3.5608537412825923E-3</v>
      </c>
      <c r="K118" s="572">
        <f t="shared" si="10"/>
        <v>5.9022600103244317E-3</v>
      </c>
      <c r="L118" s="572">
        <f t="shared" si="10"/>
        <v>7.3446392843244121E-3</v>
      </c>
      <c r="M118" s="572">
        <f t="shared" si="10"/>
        <v>8.7808829012457883E-3</v>
      </c>
      <c r="N118" s="572">
        <f t="shared" si="10"/>
        <v>1.008944322205063E-2</v>
      </c>
      <c r="O118" s="572">
        <f t="shared" si="10"/>
        <v>1.127964103523678E-2</v>
      </c>
      <c r="P118" s="572">
        <f t="shared" si="10"/>
        <v>1.2366449233147192E-2</v>
      </c>
      <c r="Q118" s="572">
        <f t="shared" si="10"/>
        <v>1.3365131749486841E-2</v>
      </c>
      <c r="R118" s="572">
        <f t="shared" si="10"/>
        <v>1.4257222641387152E-2</v>
      </c>
      <c r="S118" s="572">
        <f t="shared" si="10"/>
        <v>1.501715712027043E-2</v>
      </c>
      <c r="T118" s="572">
        <f t="shared" si="10"/>
        <v>1.5631344224028391E-2</v>
      </c>
      <c r="U118" s="572">
        <f t="shared" si="10"/>
        <v>1.6105162268179658E-2</v>
      </c>
      <c r="V118" s="572">
        <f t="shared" si="10"/>
        <v>1.6420356655568676E-2</v>
      </c>
      <c r="W118" s="572">
        <f t="shared" si="10"/>
        <v>1.6583333282712314E-2</v>
      </c>
      <c r="X118" s="572">
        <f t="shared" si="10"/>
        <v>1.6639340493969819E-2</v>
      </c>
      <c r="Y118" s="572">
        <f t="shared" si="10"/>
        <v>1.6624273560457203E-2</v>
      </c>
      <c r="Z118" s="572">
        <f t="shared" si="10"/>
        <v>1.6657916179309496E-2</v>
      </c>
      <c r="AA118" s="572">
        <f t="shared" si="10"/>
        <v>1.6688213053246675E-2</v>
      </c>
      <c r="AB118" s="572">
        <f t="shared" si="10"/>
        <v>1.6706672999982301E-2</v>
      </c>
      <c r="AC118" s="572">
        <f t="shared" si="10"/>
        <v>1.697382274106126E-2</v>
      </c>
      <c r="AD118" s="572">
        <f t="shared" si="10"/>
        <v>1.6116344740218936E-2</v>
      </c>
      <c r="AE118" s="572">
        <f t="shared" si="10"/>
        <v>1.3773568499660492E-2</v>
      </c>
      <c r="AF118" s="572">
        <f t="shared" si="10"/>
        <v>1.229096085370451E-2</v>
      </c>
      <c r="AG118" s="572">
        <f t="shared" si="10"/>
        <v>1.0829858862946552E-2</v>
      </c>
      <c r="AH118" s="572">
        <f t="shared" si="10"/>
        <v>9.2567131512359142E-3</v>
      </c>
      <c r="AI118" s="572">
        <f t="shared" si="10"/>
        <v>7.8046735353334848E-3</v>
      </c>
      <c r="AJ118" s="572">
        <f t="shared" si="10"/>
        <v>6.5558506858061439E-3</v>
      </c>
      <c r="AK118" s="572">
        <f t="shared" si="10"/>
        <v>5.3422865690947712E-3</v>
      </c>
      <c r="AL118" s="572">
        <f t="shared" si="10"/>
        <v>4.2315313997136721E-3</v>
      </c>
      <c r="AM118" s="572"/>
    </row>
    <row r="119" spans="1:39" ht="15.75" customHeight="1" x14ac:dyDescent="0.25">
      <c r="A119" s="3"/>
      <c r="B119" s="3" t="str">
        <f t="shared" si="5"/>
        <v>Refrigeration and air-conditioning</v>
      </c>
      <c r="C119" s="3" t="str">
        <f t="shared" si="5"/>
        <v>HFC</v>
      </c>
      <c r="D119" s="3" t="str">
        <f t="shared" si="5"/>
        <v>HFC-32</v>
      </c>
      <c r="E119" s="1052">
        <f t="shared" si="7"/>
        <v>1.138847858197932</v>
      </c>
      <c r="F119" s="572">
        <f t="shared" si="10"/>
        <v>0</v>
      </c>
      <c r="G119" s="572">
        <f t="shared" si="10"/>
        <v>0</v>
      </c>
      <c r="H119" s="572">
        <f t="shared" si="10"/>
        <v>0</v>
      </c>
      <c r="I119" s="572">
        <f t="shared" si="10"/>
        <v>0</v>
      </c>
      <c r="J119" s="572">
        <f t="shared" si="10"/>
        <v>0</v>
      </c>
      <c r="K119" s="572">
        <f t="shared" si="10"/>
        <v>0</v>
      </c>
      <c r="L119" s="572">
        <f t="shared" si="10"/>
        <v>3.4699574710132322E-6</v>
      </c>
      <c r="M119" s="572">
        <f t="shared" si="10"/>
        <v>9.8530964477012256E-6</v>
      </c>
      <c r="N119" s="572">
        <f t="shared" si="10"/>
        <v>2.1006249081277239E-5</v>
      </c>
      <c r="O119" s="572">
        <f t="shared" si="10"/>
        <v>4.0755731526590407E-5</v>
      </c>
      <c r="P119" s="572">
        <f t="shared" si="10"/>
        <v>1.8813265014940163E-4</v>
      </c>
      <c r="Q119" s="572">
        <f t="shared" si="10"/>
        <v>4.7101518837129656E-4</v>
      </c>
      <c r="R119" s="572">
        <f t="shared" si="10"/>
        <v>9.2444346057260159E-4</v>
      </c>
      <c r="S119" s="572">
        <f t="shared" si="10"/>
        <v>1.537761171964018E-3</v>
      </c>
      <c r="T119" s="572">
        <f t="shared" si="10"/>
        <v>2.3546705905743183E-3</v>
      </c>
      <c r="U119" s="572">
        <f t="shared" si="10"/>
        <v>3.5082152252173455E-3</v>
      </c>
      <c r="V119" s="572">
        <f t="shared" si="10"/>
        <v>5.7079475264536998E-3</v>
      </c>
      <c r="W119" s="572">
        <f t="shared" si="10"/>
        <v>8.1877885455828563E-3</v>
      </c>
      <c r="X119" s="572">
        <f t="shared" si="10"/>
        <v>1.0787608531141897E-2</v>
      </c>
      <c r="Y119" s="572">
        <f t="shared" si="10"/>
        <v>1.3898326384363006E-2</v>
      </c>
      <c r="Z119" s="572">
        <f t="shared" si="10"/>
        <v>1.9427266566387942E-2</v>
      </c>
      <c r="AA119" s="572">
        <f t="shared" si="10"/>
        <v>3.5018027630221098E-2</v>
      </c>
      <c r="AB119" s="572">
        <f t="shared" si="10"/>
        <v>3.717862047248665E-2</v>
      </c>
      <c r="AC119" s="572">
        <f t="shared" si="10"/>
        <v>5.5618635620411951E-2</v>
      </c>
      <c r="AD119" s="572">
        <f t="shared" si="10"/>
        <v>6.9113497672989369E-2</v>
      </c>
      <c r="AE119" s="572">
        <f t="shared" si="10"/>
        <v>8.3766508008387711E-2</v>
      </c>
      <c r="AF119" s="572">
        <f t="shared" si="10"/>
        <v>9.5906930309458224E-2</v>
      </c>
      <c r="AG119" s="572">
        <f t="shared" si="10"/>
        <v>9.2206490198201735E-2</v>
      </c>
      <c r="AH119" s="572">
        <f t="shared" si="10"/>
        <v>0.11127142168724008</v>
      </c>
      <c r="AI119" s="572">
        <f t="shared" si="10"/>
        <v>0.11820118404832088</v>
      </c>
      <c r="AJ119" s="572">
        <f t="shared" si="10"/>
        <v>0.15730941336136001</v>
      </c>
      <c r="AK119" s="572">
        <f t="shared" si="10"/>
        <v>0.19206471100663988</v>
      </c>
      <c r="AL119" s="572">
        <f t="shared" si="10"/>
        <v>0.21467428733671656</v>
      </c>
      <c r="AM119" s="572"/>
    </row>
    <row r="120" spans="1:39" ht="15.75" customHeight="1" x14ac:dyDescent="0.25">
      <c r="A120" s="3"/>
      <c r="B120" s="3" t="str">
        <f t="shared" si="5"/>
        <v>Fire protection</v>
      </c>
      <c r="C120" s="3" t="str">
        <f t="shared" si="5"/>
        <v>HFC</v>
      </c>
      <c r="D120" s="3" t="str">
        <f t="shared" si="5"/>
        <v>Other HFC</v>
      </c>
      <c r="E120" s="1052">
        <f t="shared" si="7"/>
        <v>1.0981515348160384</v>
      </c>
      <c r="F120" s="572">
        <f t="shared" si="10"/>
        <v>0</v>
      </c>
      <c r="G120" s="572">
        <f t="shared" si="10"/>
        <v>0</v>
      </c>
      <c r="H120" s="572">
        <f t="shared" si="10"/>
        <v>0</v>
      </c>
      <c r="I120" s="572">
        <f t="shared" si="10"/>
        <v>0</v>
      </c>
      <c r="J120" s="572">
        <f t="shared" si="10"/>
        <v>7.6790445618466066E-5</v>
      </c>
      <c r="K120" s="572">
        <f t="shared" si="10"/>
        <v>6.4036132166029821E-4</v>
      </c>
      <c r="L120" s="572">
        <f t="shared" si="10"/>
        <v>1.5659803142893491E-3</v>
      </c>
      <c r="M120" s="572">
        <f t="shared" si="10"/>
        <v>2.9178811279373818E-3</v>
      </c>
      <c r="N120" s="572">
        <f t="shared" si="10"/>
        <v>4.5830748253314112E-3</v>
      </c>
      <c r="O120" s="572">
        <f t="shared" si="10"/>
        <v>6.8193305213767822E-3</v>
      </c>
      <c r="P120" s="572">
        <f t="shared" si="10"/>
        <v>8.9488768637416456E-3</v>
      </c>
      <c r="Q120" s="572">
        <f t="shared" si="10"/>
        <v>1.0923469418427752E-2</v>
      </c>
      <c r="R120" s="572">
        <f t="shared" si="10"/>
        <v>1.2749494472049124E-2</v>
      </c>
      <c r="S120" s="572">
        <f t="shared" si="10"/>
        <v>1.4203358573057927E-2</v>
      </c>
      <c r="T120" s="572">
        <f t="shared" si="10"/>
        <v>1.5631686026547929E-2</v>
      </c>
      <c r="U120" s="572">
        <f t="shared" si="10"/>
        <v>1.702113940334456E-2</v>
      </c>
      <c r="V120" s="572">
        <f t="shared" si="10"/>
        <v>1.834105848748421E-2</v>
      </c>
      <c r="W120" s="572">
        <f t="shared" si="10"/>
        <v>1.9597614077485514E-2</v>
      </c>
      <c r="X120" s="572">
        <f t="shared" si="10"/>
        <v>2.0834341419370947E-2</v>
      </c>
      <c r="Y120" s="572">
        <f t="shared" si="10"/>
        <v>2.2098298151015605E-2</v>
      </c>
      <c r="Z120" s="572">
        <f t="shared" si="10"/>
        <v>2.3419690315615818E-2</v>
      </c>
      <c r="AA120" s="572">
        <f t="shared" si="10"/>
        <v>2.4735833566491762E-2</v>
      </c>
      <c r="AB120" s="572">
        <f t="shared" si="10"/>
        <v>2.6027249670463416E-2</v>
      </c>
      <c r="AC120" s="572">
        <f t="shared" si="10"/>
        <v>2.7264660640233938E-2</v>
      </c>
      <c r="AD120" s="572">
        <f t="shared" si="10"/>
        <v>2.8461432568745594E-2</v>
      </c>
      <c r="AE120" s="572">
        <f t="shared" si="10"/>
        <v>2.959826032680021E-2</v>
      </c>
      <c r="AF120" s="572">
        <f t="shared" si="10"/>
        <v>3.0652820219309637E-2</v>
      </c>
      <c r="AG120" s="572">
        <f t="shared" si="10"/>
        <v>3.1707746728219369E-2</v>
      </c>
      <c r="AH120" s="572">
        <f t="shared" si="10"/>
        <v>3.2716088911436826E-2</v>
      </c>
      <c r="AI120" s="572">
        <f t="shared" si="10"/>
        <v>3.3675049741089924E-2</v>
      </c>
      <c r="AJ120" s="572">
        <f t="shared" si="10"/>
        <v>3.4661272139146014E-2</v>
      </c>
      <c r="AK120" s="572">
        <f t="shared" si="10"/>
        <v>3.5293575771840086E-2</v>
      </c>
      <c r="AL120" s="572">
        <f t="shared" si="10"/>
        <v>3.5795724799536605E-2</v>
      </c>
      <c r="AM120" s="572"/>
    </row>
    <row r="121" spans="1:39" ht="15.75" customHeight="1" x14ac:dyDescent="0.25">
      <c r="A121" s="3"/>
      <c r="B121" s="3" t="str">
        <f t="shared" ref="B121:D136" si="11">B31</f>
        <v>Foam blowing agents</v>
      </c>
      <c r="C121" s="3" t="str">
        <f t="shared" si="11"/>
        <v>HFC</v>
      </c>
      <c r="D121" s="3" t="str">
        <f t="shared" si="11"/>
        <v>Other HFC</v>
      </c>
      <c r="E121" s="1052">
        <f t="shared" si="7"/>
        <v>1.0981515348160384</v>
      </c>
      <c r="F121" s="572">
        <f t="shared" si="10"/>
        <v>0</v>
      </c>
      <c r="G121" s="572">
        <f t="shared" si="10"/>
        <v>0</v>
      </c>
      <c r="H121" s="572">
        <f t="shared" si="10"/>
        <v>0</v>
      </c>
      <c r="I121" s="572">
        <f t="shared" si="10"/>
        <v>0</v>
      </c>
      <c r="J121" s="572">
        <f t="shared" si="10"/>
        <v>0</v>
      </c>
      <c r="K121" s="572">
        <f t="shared" si="10"/>
        <v>0</v>
      </c>
      <c r="L121" s="572">
        <f t="shared" si="10"/>
        <v>0</v>
      </c>
      <c r="M121" s="572">
        <f t="shared" si="10"/>
        <v>0</v>
      </c>
      <c r="N121" s="572">
        <f t="shared" si="10"/>
        <v>0</v>
      </c>
      <c r="O121" s="572">
        <f t="shared" si="10"/>
        <v>0</v>
      </c>
      <c r="P121" s="572">
        <f t="shared" si="10"/>
        <v>0</v>
      </c>
      <c r="Q121" s="572">
        <f t="shared" si="10"/>
        <v>0</v>
      </c>
      <c r="R121" s="572">
        <f t="shared" si="10"/>
        <v>0</v>
      </c>
      <c r="S121" s="572">
        <f t="shared" si="10"/>
        <v>0</v>
      </c>
      <c r="T121" s="572">
        <f t="shared" si="10"/>
        <v>0</v>
      </c>
      <c r="U121" s="572">
        <f t="shared" si="10"/>
        <v>0</v>
      </c>
      <c r="V121" s="572">
        <f t="shared" si="10"/>
        <v>0</v>
      </c>
      <c r="W121" s="572">
        <f t="shared" si="10"/>
        <v>0</v>
      </c>
      <c r="X121" s="572">
        <f t="shared" si="10"/>
        <v>0</v>
      </c>
      <c r="Y121" s="572">
        <f t="shared" si="10"/>
        <v>0</v>
      </c>
      <c r="Z121" s="572">
        <f t="shared" si="10"/>
        <v>0</v>
      </c>
      <c r="AA121" s="572">
        <f t="shared" si="10"/>
        <v>0</v>
      </c>
      <c r="AB121" s="572">
        <f t="shared" si="10"/>
        <v>0</v>
      </c>
      <c r="AC121" s="572">
        <f t="shared" si="10"/>
        <v>0</v>
      </c>
      <c r="AD121" s="572">
        <f t="shared" ref="AD121:AL121" si="12">AD31*$E121</f>
        <v>0</v>
      </c>
      <c r="AE121" s="572">
        <f t="shared" si="12"/>
        <v>0</v>
      </c>
      <c r="AF121" s="572">
        <f t="shared" si="12"/>
        <v>0</v>
      </c>
      <c r="AG121" s="572">
        <f t="shared" si="12"/>
        <v>5.4015822353606032E-6</v>
      </c>
      <c r="AH121" s="572">
        <f t="shared" si="12"/>
        <v>1.2458167355315753E-5</v>
      </c>
      <c r="AI121" s="572">
        <f t="shared" si="12"/>
        <v>2.1038091133605746E-5</v>
      </c>
      <c r="AJ121" s="572">
        <f t="shared" si="12"/>
        <v>3.1652390734460095E-5</v>
      </c>
      <c r="AK121" s="572">
        <f t="shared" si="12"/>
        <v>4.3663694584516963E-5</v>
      </c>
      <c r="AL121" s="572">
        <f t="shared" si="12"/>
        <v>4.9594877936176415E-5</v>
      </c>
      <c r="AM121" s="572"/>
    </row>
    <row r="122" spans="1:39" ht="15.75" customHeight="1" x14ac:dyDescent="0.25">
      <c r="A122" s="3"/>
      <c r="B122" s="3" t="str">
        <f t="shared" si="11"/>
        <v>Foam blowing agents</v>
      </c>
      <c r="C122" s="3" t="str">
        <f t="shared" si="11"/>
        <v>HFC</v>
      </c>
      <c r="D122" s="3" t="str">
        <f t="shared" si="11"/>
        <v>Other HFC</v>
      </c>
      <c r="E122" s="1052">
        <f t="shared" si="7"/>
        <v>1.0981515348160384</v>
      </c>
      <c r="F122" s="572">
        <f t="shared" ref="F122:AL129" si="13">F32*$E122</f>
        <v>0</v>
      </c>
      <c r="G122" s="572">
        <f t="shared" si="13"/>
        <v>0</v>
      </c>
      <c r="H122" s="572">
        <f t="shared" si="13"/>
        <v>0</v>
      </c>
      <c r="I122" s="572">
        <f t="shared" si="13"/>
        <v>0</v>
      </c>
      <c r="J122" s="572">
        <f t="shared" si="13"/>
        <v>0</v>
      </c>
      <c r="K122" s="572">
        <f t="shared" si="13"/>
        <v>0</v>
      </c>
      <c r="L122" s="572">
        <f t="shared" si="13"/>
        <v>0</v>
      </c>
      <c r="M122" s="572">
        <f t="shared" si="13"/>
        <v>0</v>
      </c>
      <c r="N122" s="572">
        <f t="shared" si="13"/>
        <v>0</v>
      </c>
      <c r="O122" s="572">
        <f t="shared" si="13"/>
        <v>0</v>
      </c>
      <c r="P122" s="572">
        <f t="shared" si="13"/>
        <v>0</v>
      </c>
      <c r="Q122" s="572">
        <f t="shared" si="13"/>
        <v>0</v>
      </c>
      <c r="R122" s="572">
        <f t="shared" si="13"/>
        <v>0</v>
      </c>
      <c r="S122" s="572">
        <f t="shared" si="13"/>
        <v>0</v>
      </c>
      <c r="T122" s="572">
        <f t="shared" si="13"/>
        <v>0</v>
      </c>
      <c r="U122" s="572">
        <f t="shared" si="13"/>
        <v>0</v>
      </c>
      <c r="V122" s="572">
        <f t="shared" si="13"/>
        <v>0</v>
      </c>
      <c r="W122" s="572">
        <f t="shared" si="13"/>
        <v>0</v>
      </c>
      <c r="X122" s="572">
        <f t="shared" si="13"/>
        <v>0</v>
      </c>
      <c r="Y122" s="572">
        <f t="shared" si="13"/>
        <v>0</v>
      </c>
      <c r="Z122" s="572">
        <f t="shared" si="13"/>
        <v>0</v>
      </c>
      <c r="AA122" s="572">
        <f t="shared" si="13"/>
        <v>0</v>
      </c>
      <c r="AB122" s="572">
        <f t="shared" si="13"/>
        <v>0</v>
      </c>
      <c r="AC122" s="572">
        <f t="shared" si="13"/>
        <v>0</v>
      </c>
      <c r="AD122" s="572">
        <f t="shared" si="13"/>
        <v>0</v>
      </c>
      <c r="AE122" s="572">
        <f t="shared" si="13"/>
        <v>3.8210871147948842E-7</v>
      </c>
      <c r="AF122" s="572">
        <f t="shared" si="13"/>
        <v>3.2943008134574683E-6</v>
      </c>
      <c r="AG122" s="572">
        <f t="shared" si="13"/>
        <v>9.2928715286141188E-6</v>
      </c>
      <c r="AH122" s="572">
        <f t="shared" si="13"/>
        <v>1.4974019518176554E-5</v>
      </c>
      <c r="AI122" s="572">
        <f t="shared" si="13"/>
        <v>2.1794975187835376E-5</v>
      </c>
      <c r="AJ122" s="572">
        <f t="shared" si="13"/>
        <v>3.1153211216317763E-5</v>
      </c>
      <c r="AK122" s="572">
        <f t="shared" si="13"/>
        <v>3.6687434042228032E-5</v>
      </c>
      <c r="AL122" s="572">
        <f t="shared" si="13"/>
        <v>4.1037481676749139E-5</v>
      </c>
      <c r="AM122" s="572"/>
    </row>
    <row r="123" spans="1:39" ht="15.75" customHeight="1" x14ac:dyDescent="0.25">
      <c r="A123" s="3"/>
      <c r="B123" s="3" t="str">
        <f t="shared" si="11"/>
        <v>Foam blowing agents</v>
      </c>
      <c r="C123" s="3" t="str">
        <f t="shared" si="11"/>
        <v>HFC</v>
      </c>
      <c r="D123" s="3" t="str">
        <f t="shared" si="11"/>
        <v>Other HFC</v>
      </c>
      <c r="E123" s="1052">
        <f t="shared" si="7"/>
        <v>1.0981515348160384</v>
      </c>
      <c r="F123" s="572">
        <f t="shared" si="13"/>
        <v>1.3696512021782453E-4</v>
      </c>
      <c r="G123" s="572">
        <f t="shared" si="13"/>
        <v>2.1653023625906875E-4</v>
      </c>
      <c r="H123" s="572">
        <f t="shared" si="13"/>
        <v>3.0295819220777285E-4</v>
      </c>
      <c r="I123" s="572">
        <f t="shared" si="13"/>
        <v>3.9650232236480983E-4</v>
      </c>
      <c r="J123" s="572">
        <f t="shared" si="13"/>
        <v>4.2704656772299193E-4</v>
      </c>
      <c r="K123" s="572">
        <f t="shared" si="13"/>
        <v>7.7781283599894586E-4</v>
      </c>
      <c r="L123" s="572">
        <f t="shared" si="13"/>
        <v>1.2455315881938842E-3</v>
      </c>
      <c r="M123" s="572">
        <f t="shared" si="13"/>
        <v>1.7284860137259613E-3</v>
      </c>
      <c r="N123" s="572">
        <f t="shared" si="13"/>
        <v>2.2281340976874377E-3</v>
      </c>
      <c r="O123" s="572">
        <f t="shared" si="13"/>
        <v>2.7460346646637607E-3</v>
      </c>
      <c r="P123" s="572">
        <f t="shared" si="13"/>
        <v>2.9371210779821268E-3</v>
      </c>
      <c r="Q123" s="572">
        <f t="shared" si="13"/>
        <v>3.0253778841724953E-3</v>
      </c>
      <c r="R123" s="572">
        <f t="shared" si="13"/>
        <v>3.1183066273611309E-3</v>
      </c>
      <c r="S123" s="572">
        <f t="shared" si="13"/>
        <v>3.2094540542703014E-3</v>
      </c>
      <c r="T123" s="572">
        <f t="shared" si="13"/>
        <v>3.297063877406504E-3</v>
      </c>
      <c r="U123" s="572">
        <f t="shared" si="13"/>
        <v>3.309984057361077E-3</v>
      </c>
      <c r="V123" s="572">
        <f t="shared" si="13"/>
        <v>3.3090303675845059E-3</v>
      </c>
      <c r="W123" s="572">
        <f t="shared" si="13"/>
        <v>3.2967139361203177E-3</v>
      </c>
      <c r="X123" s="572">
        <f t="shared" si="13"/>
        <v>3.2810395796910499E-3</v>
      </c>
      <c r="Y123" s="572">
        <f t="shared" si="13"/>
        <v>3.5461339518855868E-3</v>
      </c>
      <c r="Z123" s="572">
        <f t="shared" si="13"/>
        <v>3.8323881879782631E-3</v>
      </c>
      <c r="AA123" s="572">
        <f t="shared" si="13"/>
        <v>3.9132714925824551E-3</v>
      </c>
      <c r="AB123" s="572">
        <f t="shared" si="13"/>
        <v>3.9878897094989402E-3</v>
      </c>
      <c r="AC123" s="572">
        <f t="shared" si="13"/>
        <v>4.0529602552922929E-3</v>
      </c>
      <c r="AD123" s="572">
        <f t="shared" si="13"/>
        <v>4.1166170672274792E-3</v>
      </c>
      <c r="AE123" s="572">
        <f t="shared" si="13"/>
        <v>4.1769608013276721E-3</v>
      </c>
      <c r="AF123" s="572">
        <f t="shared" si="13"/>
        <v>4.2320582630648636E-3</v>
      </c>
      <c r="AG123" s="572">
        <f t="shared" si="13"/>
        <v>4.2942331149106823E-3</v>
      </c>
      <c r="AH123" s="572">
        <f t="shared" si="13"/>
        <v>4.3577752472354287E-3</v>
      </c>
      <c r="AI123" s="572">
        <f t="shared" si="13"/>
        <v>4.4230621274215492E-3</v>
      </c>
      <c r="AJ123" s="572">
        <f t="shared" si="13"/>
        <v>4.5437358529622279E-3</v>
      </c>
      <c r="AK123" s="572">
        <f t="shared" si="13"/>
        <v>4.6178691556515604E-3</v>
      </c>
      <c r="AL123" s="572">
        <f t="shared" si="13"/>
        <v>4.6751802395254899E-3</v>
      </c>
      <c r="AM123" s="572"/>
    </row>
    <row r="124" spans="1:39" ht="15.75" customHeight="1" x14ac:dyDescent="0.25">
      <c r="A124" s="3"/>
      <c r="B124" s="3" t="str">
        <f t="shared" si="11"/>
        <v>Foam blowing agents</v>
      </c>
      <c r="C124" s="3" t="str">
        <f t="shared" si="11"/>
        <v>HFC</v>
      </c>
      <c r="D124" s="3" t="str">
        <f t="shared" si="11"/>
        <v>Other HFC</v>
      </c>
      <c r="E124" s="1052">
        <f t="shared" si="7"/>
        <v>1.0981515348160384</v>
      </c>
      <c r="F124" s="572">
        <f t="shared" si="13"/>
        <v>0</v>
      </c>
      <c r="G124" s="572">
        <f t="shared" si="13"/>
        <v>0</v>
      </c>
      <c r="H124" s="572">
        <f t="shared" si="13"/>
        <v>0</v>
      </c>
      <c r="I124" s="572">
        <f t="shared" si="13"/>
        <v>0</v>
      </c>
      <c r="J124" s="572">
        <f t="shared" si="13"/>
        <v>0</v>
      </c>
      <c r="K124" s="572">
        <f t="shared" si="13"/>
        <v>0</v>
      </c>
      <c r="L124" s="572">
        <f t="shared" si="13"/>
        <v>0</v>
      </c>
      <c r="M124" s="572">
        <f t="shared" si="13"/>
        <v>0</v>
      </c>
      <c r="N124" s="572">
        <f t="shared" si="13"/>
        <v>0</v>
      </c>
      <c r="O124" s="572">
        <f t="shared" si="13"/>
        <v>0</v>
      </c>
      <c r="P124" s="572">
        <f t="shared" si="13"/>
        <v>0</v>
      </c>
      <c r="Q124" s="572">
        <f t="shared" si="13"/>
        <v>0</v>
      </c>
      <c r="R124" s="572">
        <f t="shared" si="13"/>
        <v>0</v>
      </c>
      <c r="S124" s="572">
        <f t="shared" si="13"/>
        <v>0</v>
      </c>
      <c r="T124" s="572">
        <f t="shared" si="13"/>
        <v>0</v>
      </c>
      <c r="U124" s="572">
        <f t="shared" si="13"/>
        <v>0</v>
      </c>
      <c r="V124" s="572">
        <f t="shared" si="13"/>
        <v>0</v>
      </c>
      <c r="W124" s="572">
        <f t="shared" si="13"/>
        <v>0</v>
      </c>
      <c r="X124" s="572">
        <f t="shared" si="13"/>
        <v>0</v>
      </c>
      <c r="Y124" s="572">
        <f t="shared" si="13"/>
        <v>0</v>
      </c>
      <c r="Z124" s="572">
        <f t="shared" si="13"/>
        <v>0</v>
      </c>
      <c r="AA124" s="572">
        <f t="shared" si="13"/>
        <v>0</v>
      </c>
      <c r="AB124" s="572">
        <f t="shared" si="13"/>
        <v>0</v>
      </c>
      <c r="AC124" s="572">
        <f t="shared" si="13"/>
        <v>0</v>
      </c>
      <c r="AD124" s="572">
        <f t="shared" si="13"/>
        <v>0</v>
      </c>
      <c r="AE124" s="572">
        <f t="shared" si="13"/>
        <v>0</v>
      </c>
      <c r="AF124" s="572">
        <f t="shared" si="13"/>
        <v>1.4387515204960454E-5</v>
      </c>
      <c r="AG124" s="572">
        <f t="shared" si="13"/>
        <v>3.2028598417966526E-5</v>
      </c>
      <c r="AH124" s="572">
        <f t="shared" si="13"/>
        <v>5.3517886777637401E-5</v>
      </c>
      <c r="AI124" s="572">
        <f t="shared" si="13"/>
        <v>7.9356828905493713E-5</v>
      </c>
      <c r="AJ124" s="572">
        <f t="shared" si="13"/>
        <v>1.1161374905834666E-4</v>
      </c>
      <c r="AK124" s="572">
        <f t="shared" si="13"/>
        <v>1.2812422145107034E-4</v>
      </c>
      <c r="AL124" s="572">
        <f t="shared" si="13"/>
        <v>1.4506518877363962E-4</v>
      </c>
      <c r="AM124" s="572"/>
    </row>
    <row r="125" spans="1:39" ht="15.75" customHeight="1" x14ac:dyDescent="0.25">
      <c r="A125" s="3"/>
      <c r="B125" s="3" t="str">
        <f t="shared" si="11"/>
        <v>Foam blowing agents</v>
      </c>
      <c r="C125" s="3" t="str">
        <f t="shared" si="11"/>
        <v>HFC</v>
      </c>
      <c r="D125" s="3" t="str">
        <f t="shared" si="11"/>
        <v>Other HFC</v>
      </c>
      <c r="E125" s="1052">
        <f t="shared" si="7"/>
        <v>1.0981515348160384</v>
      </c>
      <c r="F125" s="572">
        <f t="shared" si="13"/>
        <v>0</v>
      </c>
      <c r="G125" s="572">
        <f t="shared" si="13"/>
        <v>0</v>
      </c>
      <c r="H125" s="572">
        <f t="shared" si="13"/>
        <v>0</v>
      </c>
      <c r="I125" s="572">
        <f t="shared" si="13"/>
        <v>0</v>
      </c>
      <c r="J125" s="572">
        <f t="shared" si="13"/>
        <v>0</v>
      </c>
      <c r="K125" s="572">
        <f t="shared" si="13"/>
        <v>0</v>
      </c>
      <c r="L125" s="572">
        <f t="shared" si="13"/>
        <v>0</v>
      </c>
      <c r="M125" s="572">
        <f t="shared" si="13"/>
        <v>0</v>
      </c>
      <c r="N125" s="572">
        <f t="shared" si="13"/>
        <v>0</v>
      </c>
      <c r="O125" s="572">
        <f t="shared" si="13"/>
        <v>0</v>
      </c>
      <c r="P125" s="572">
        <f t="shared" si="13"/>
        <v>0</v>
      </c>
      <c r="Q125" s="572">
        <f t="shared" si="13"/>
        <v>0</v>
      </c>
      <c r="R125" s="572">
        <f t="shared" si="13"/>
        <v>1.8753230115938857E-3</v>
      </c>
      <c r="S125" s="572">
        <f t="shared" si="13"/>
        <v>4.0780573217799624E-3</v>
      </c>
      <c r="T125" s="572">
        <f t="shared" si="13"/>
        <v>4.5894830782757618E-3</v>
      </c>
      <c r="U125" s="572">
        <f t="shared" si="13"/>
        <v>5.1164111860750308E-3</v>
      </c>
      <c r="V125" s="572">
        <f t="shared" si="13"/>
        <v>5.6505608089185665E-3</v>
      </c>
      <c r="W125" s="572">
        <f t="shared" si="13"/>
        <v>6.1940255282123746E-3</v>
      </c>
      <c r="X125" s="572">
        <f t="shared" si="13"/>
        <v>6.7617672902449445E-3</v>
      </c>
      <c r="Y125" s="572">
        <f t="shared" si="13"/>
        <v>7.3712029898112784E-3</v>
      </c>
      <c r="Z125" s="572">
        <f t="shared" si="13"/>
        <v>8.0255227198274427E-3</v>
      </c>
      <c r="AA125" s="572">
        <f t="shared" si="13"/>
        <v>8.7063463510986799E-3</v>
      </c>
      <c r="AB125" s="572">
        <f t="shared" si="13"/>
        <v>9.4095168544862957E-3</v>
      </c>
      <c r="AC125" s="572">
        <f t="shared" si="13"/>
        <v>1.0125862023638018E-2</v>
      </c>
      <c r="AD125" s="572">
        <f t="shared" si="13"/>
        <v>1.0862590748757582E-2</v>
      </c>
      <c r="AE125" s="572">
        <f t="shared" si="13"/>
        <v>1.1614261245614783E-2</v>
      </c>
      <c r="AF125" s="572">
        <f t="shared" si="13"/>
        <v>1.1157415618015915E-2</v>
      </c>
      <c r="AG125" s="572">
        <f t="shared" si="13"/>
        <v>1.051162216761262E-2</v>
      </c>
      <c r="AH125" s="572">
        <f t="shared" si="13"/>
        <v>9.7232261991208099E-3</v>
      </c>
      <c r="AI125" s="572">
        <f t="shared" si="13"/>
        <v>8.6189697871591336E-3</v>
      </c>
      <c r="AJ125" s="572">
        <f t="shared" si="13"/>
        <v>7.2492707389569941E-3</v>
      </c>
      <c r="AK125" s="572">
        <f t="shared" si="13"/>
        <v>7.2401230781544415E-3</v>
      </c>
      <c r="AL125" s="572">
        <f t="shared" si="13"/>
        <v>7.2024111144005087E-3</v>
      </c>
      <c r="AM125" s="572"/>
    </row>
    <row r="126" spans="1:39" ht="15.75" customHeight="1" x14ac:dyDescent="0.25">
      <c r="A126" s="3"/>
      <c r="B126" s="3" t="str">
        <f t="shared" si="11"/>
        <v>Foam blowing agents</v>
      </c>
      <c r="C126" s="3" t="str">
        <f t="shared" si="11"/>
        <v>HFC</v>
      </c>
      <c r="D126" s="3" t="str">
        <f t="shared" si="11"/>
        <v>Other HFC</v>
      </c>
      <c r="E126" s="1052">
        <f t="shared" si="7"/>
        <v>1.0981515348160384</v>
      </c>
      <c r="F126" s="572">
        <f t="shared" si="13"/>
        <v>0</v>
      </c>
      <c r="G126" s="572">
        <f t="shared" si="13"/>
        <v>0</v>
      </c>
      <c r="H126" s="572">
        <f t="shared" si="13"/>
        <v>0</v>
      </c>
      <c r="I126" s="572">
        <f t="shared" si="13"/>
        <v>0</v>
      </c>
      <c r="J126" s="572">
        <f t="shared" si="13"/>
        <v>0</v>
      </c>
      <c r="K126" s="572">
        <f t="shared" si="13"/>
        <v>0</v>
      </c>
      <c r="L126" s="572">
        <f t="shared" si="13"/>
        <v>0</v>
      </c>
      <c r="M126" s="572">
        <f t="shared" si="13"/>
        <v>0</v>
      </c>
      <c r="N126" s="572">
        <f t="shared" si="13"/>
        <v>0</v>
      </c>
      <c r="O126" s="572">
        <f t="shared" si="13"/>
        <v>0</v>
      </c>
      <c r="P126" s="572">
        <f t="shared" si="13"/>
        <v>0</v>
      </c>
      <c r="Q126" s="572">
        <f t="shared" si="13"/>
        <v>0</v>
      </c>
      <c r="R126" s="572">
        <f t="shared" si="13"/>
        <v>3.0120572678523335E-3</v>
      </c>
      <c r="S126" s="572">
        <f t="shared" si="13"/>
        <v>6.5499874522127414E-3</v>
      </c>
      <c r="T126" s="572">
        <f t="shared" si="13"/>
        <v>7.3714158980306074E-3</v>
      </c>
      <c r="U126" s="572">
        <f t="shared" si="13"/>
        <v>8.2177435050189707E-3</v>
      </c>
      <c r="V126" s="572">
        <f t="shared" si="13"/>
        <v>9.0756699761707447E-3</v>
      </c>
      <c r="W126" s="572">
        <f t="shared" si="13"/>
        <v>9.9485579253134129E-3</v>
      </c>
      <c r="X126" s="572">
        <f t="shared" si="13"/>
        <v>1.0860438540024189E-2</v>
      </c>
      <c r="Y126" s="572">
        <f t="shared" si="13"/>
        <v>1.1839286032866107E-2</v>
      </c>
      <c r="Z126" s="572">
        <f t="shared" si="13"/>
        <v>1.289022418384592E-2</v>
      </c>
      <c r="AA126" s="572">
        <f t="shared" si="13"/>
        <v>1.3983731677764647E-2</v>
      </c>
      <c r="AB126" s="572">
        <f t="shared" si="13"/>
        <v>1.5113131686282597E-2</v>
      </c>
      <c r="AC126" s="572">
        <f t="shared" si="13"/>
        <v>1.6263692234889375E-2</v>
      </c>
      <c r="AD126" s="572">
        <f t="shared" si="13"/>
        <v>1.7446991910312175E-2</v>
      </c>
      <c r="AE126" s="572">
        <f t="shared" si="13"/>
        <v>1.8654290369879735E-2</v>
      </c>
      <c r="AF126" s="572">
        <f t="shared" si="13"/>
        <v>1.7920526008013256E-2</v>
      </c>
      <c r="AG126" s="572">
        <f t="shared" si="13"/>
        <v>1.6883282373827038E-2</v>
      </c>
      <c r="AH126" s="572">
        <f t="shared" si="13"/>
        <v>1.5616997156741731E-2</v>
      </c>
      <c r="AI126" s="572">
        <f t="shared" si="13"/>
        <v>1.3843391473529433E-2</v>
      </c>
      <c r="AJ126" s="572">
        <f t="shared" si="13"/>
        <v>1.1643444079186308E-2</v>
      </c>
      <c r="AK126" s="572">
        <f t="shared" si="13"/>
        <v>1.1628751528604977E-2</v>
      </c>
      <c r="AL126" s="572">
        <f t="shared" si="13"/>
        <v>1.1568180312975589E-2</v>
      </c>
      <c r="AM126" s="572"/>
    </row>
    <row r="127" spans="1:39" ht="15.75" customHeight="1" x14ac:dyDescent="0.25">
      <c r="A127" s="3"/>
      <c r="B127" s="3" t="str">
        <f t="shared" si="11"/>
        <v>Foam blowing agents</v>
      </c>
      <c r="C127" s="3" t="str">
        <f t="shared" si="11"/>
        <v>HFC</v>
      </c>
      <c r="D127" s="3" t="str">
        <f t="shared" si="11"/>
        <v>Other HFC</v>
      </c>
      <c r="E127" s="1052">
        <f t="shared" si="7"/>
        <v>1.0981515348160384</v>
      </c>
      <c r="F127" s="572">
        <f t="shared" si="13"/>
        <v>0</v>
      </c>
      <c r="G127" s="572">
        <f t="shared" si="13"/>
        <v>0</v>
      </c>
      <c r="H127" s="572">
        <f t="shared" si="13"/>
        <v>0</v>
      </c>
      <c r="I127" s="572">
        <f t="shared" si="13"/>
        <v>0</v>
      </c>
      <c r="J127" s="572">
        <f t="shared" si="13"/>
        <v>0</v>
      </c>
      <c r="K127" s="572">
        <f t="shared" si="13"/>
        <v>0</v>
      </c>
      <c r="L127" s="572">
        <f t="shared" si="13"/>
        <v>0</v>
      </c>
      <c r="M127" s="572">
        <f t="shared" si="13"/>
        <v>0</v>
      </c>
      <c r="N127" s="572">
        <f t="shared" si="13"/>
        <v>0</v>
      </c>
      <c r="O127" s="572">
        <f t="shared" si="13"/>
        <v>0</v>
      </c>
      <c r="P127" s="572">
        <f t="shared" si="13"/>
        <v>0</v>
      </c>
      <c r="Q127" s="572">
        <f t="shared" si="13"/>
        <v>7.8681285112785723E-4</v>
      </c>
      <c r="R127" s="572">
        <f t="shared" si="13"/>
        <v>1.0193397072936428E-2</v>
      </c>
      <c r="S127" s="572">
        <f t="shared" si="13"/>
        <v>2.1458799873337313E-2</v>
      </c>
      <c r="T127" s="572">
        <f t="shared" si="13"/>
        <v>2.4523301489443042E-2</v>
      </c>
      <c r="U127" s="572">
        <f t="shared" si="13"/>
        <v>2.7660530177538348E-2</v>
      </c>
      <c r="V127" s="572">
        <f t="shared" si="13"/>
        <v>3.0886064364928918E-2</v>
      </c>
      <c r="W127" s="572">
        <f t="shared" si="13"/>
        <v>3.4122212098837271E-2</v>
      </c>
      <c r="X127" s="572">
        <f t="shared" si="13"/>
        <v>3.7170699080836762E-2</v>
      </c>
      <c r="Y127" s="572">
        <f t="shared" si="13"/>
        <v>4.0674428174255886E-2</v>
      </c>
      <c r="Z127" s="572">
        <f t="shared" si="13"/>
        <v>4.4869141885924689E-2</v>
      </c>
      <c r="AA127" s="572">
        <f t="shared" si="13"/>
        <v>4.9446320111651662E-2</v>
      </c>
      <c r="AB127" s="572">
        <f t="shared" si="13"/>
        <v>5.3783662762857731E-2</v>
      </c>
      <c r="AC127" s="572">
        <f t="shared" si="13"/>
        <v>5.8091461935890237E-2</v>
      </c>
      <c r="AD127" s="572">
        <f t="shared" si="13"/>
        <v>6.2545003660145371E-2</v>
      </c>
      <c r="AE127" s="572">
        <f t="shared" si="13"/>
        <v>8.0449883505061298E-2</v>
      </c>
      <c r="AF127" s="572">
        <f t="shared" si="13"/>
        <v>9.5203069659097653E-2</v>
      </c>
      <c r="AG127" s="572">
        <f t="shared" si="13"/>
        <v>0.11232449878897778</v>
      </c>
      <c r="AH127" s="572">
        <f t="shared" si="13"/>
        <v>0.11836329670611226</v>
      </c>
      <c r="AI127" s="572">
        <f t="shared" si="13"/>
        <v>0.11944378705285141</v>
      </c>
      <c r="AJ127" s="572">
        <f t="shared" si="13"/>
        <v>0.11780309977056137</v>
      </c>
      <c r="AK127" s="572">
        <f t="shared" si="13"/>
        <v>0.12210636356158981</v>
      </c>
      <c r="AL127" s="572">
        <f t="shared" si="13"/>
        <v>0.13483083704302787</v>
      </c>
      <c r="AM127" s="572"/>
    </row>
    <row r="128" spans="1:39" ht="15.75" customHeight="1" x14ac:dyDescent="0.25">
      <c r="A128" s="3"/>
      <c r="B128" s="3" t="str">
        <f t="shared" si="11"/>
        <v>Metered does inhalers</v>
      </c>
      <c r="C128" s="3" t="str">
        <f t="shared" si="11"/>
        <v>HFC</v>
      </c>
      <c r="D128" s="3" t="str">
        <f t="shared" si="11"/>
        <v>Other HFC</v>
      </c>
      <c r="E128" s="1052">
        <f t="shared" si="7"/>
        <v>1.0981515348160384</v>
      </c>
      <c r="F128" s="572">
        <f t="shared" si="13"/>
        <v>0</v>
      </c>
      <c r="G128" s="572">
        <f t="shared" si="13"/>
        <v>0</v>
      </c>
      <c r="H128" s="572">
        <f t="shared" si="13"/>
        <v>0</v>
      </c>
      <c r="I128" s="572">
        <f t="shared" si="13"/>
        <v>0</v>
      </c>
      <c r="J128" s="572">
        <f t="shared" si="13"/>
        <v>0</v>
      </c>
      <c r="K128" s="572">
        <f t="shared" si="13"/>
        <v>0</v>
      </c>
      <c r="L128" s="572">
        <f t="shared" si="13"/>
        <v>0</v>
      </c>
      <c r="M128" s="572">
        <f t="shared" si="13"/>
        <v>0</v>
      </c>
      <c r="N128" s="572">
        <f t="shared" si="13"/>
        <v>0</v>
      </c>
      <c r="O128" s="572">
        <f t="shared" si="13"/>
        <v>0</v>
      </c>
      <c r="P128" s="572">
        <f t="shared" si="13"/>
        <v>0</v>
      </c>
      <c r="Q128" s="572">
        <f t="shared" si="13"/>
        <v>0</v>
      </c>
      <c r="R128" s="572">
        <f t="shared" si="13"/>
        <v>0</v>
      </c>
      <c r="S128" s="572">
        <f t="shared" si="13"/>
        <v>0</v>
      </c>
      <c r="T128" s="572">
        <f t="shared" si="13"/>
        <v>0</v>
      </c>
      <c r="U128" s="572">
        <f t="shared" si="13"/>
        <v>0</v>
      </c>
      <c r="V128" s="572">
        <f t="shared" si="13"/>
        <v>0</v>
      </c>
      <c r="W128" s="572">
        <f t="shared" si="13"/>
        <v>1.2087624222509141E-3</v>
      </c>
      <c r="X128" s="572">
        <f t="shared" si="13"/>
        <v>2.432380694579244E-3</v>
      </c>
      <c r="Y128" s="572">
        <f t="shared" si="13"/>
        <v>3.6778511559100546E-3</v>
      </c>
      <c r="Z128" s="572">
        <f t="shared" si="13"/>
        <v>4.9551713560528664E-3</v>
      </c>
      <c r="AA128" s="572">
        <f t="shared" si="13"/>
        <v>6.249984144400862E-3</v>
      </c>
      <c r="AB128" s="572">
        <f t="shared" si="13"/>
        <v>7.5632005260498356E-3</v>
      </c>
      <c r="AC128" s="572">
        <f t="shared" si="13"/>
        <v>8.8802559437264617E-3</v>
      </c>
      <c r="AD128" s="572">
        <f t="shared" si="13"/>
        <v>8.9342924666045813E-3</v>
      </c>
      <c r="AE128" s="572">
        <f t="shared" si="13"/>
        <v>8.3855742240733916E-3</v>
      </c>
      <c r="AF128" s="572">
        <f t="shared" si="13"/>
        <v>1.0252989073753379E-2</v>
      </c>
      <c r="AG128" s="572">
        <f t="shared" si="13"/>
        <v>1.2085564636173369E-2</v>
      </c>
      <c r="AH128" s="572">
        <f t="shared" si="13"/>
        <v>1.3770344511282942E-2</v>
      </c>
      <c r="AI128" s="572">
        <f t="shared" si="13"/>
        <v>1.3924112264397173E-2</v>
      </c>
      <c r="AJ128" s="572">
        <f t="shared" si="13"/>
        <v>1.4248693027350235E-2</v>
      </c>
      <c r="AK128" s="572">
        <f t="shared" si="13"/>
        <v>1.4424254469010462E-2</v>
      </c>
      <c r="AL128" s="572">
        <f t="shared" si="13"/>
        <v>8.7279553913826944E-3</v>
      </c>
      <c r="AM128" s="572"/>
    </row>
    <row r="129" spans="1:39" ht="15.75" customHeight="1" x14ac:dyDescent="0.25">
      <c r="A129" s="3"/>
      <c r="B129" s="3" t="str">
        <f t="shared" si="11"/>
        <v>Other Aerosols</v>
      </c>
      <c r="C129" s="3" t="str">
        <f t="shared" si="11"/>
        <v>HFC</v>
      </c>
      <c r="D129" s="3" t="str">
        <f t="shared" si="11"/>
        <v>Other HFC</v>
      </c>
      <c r="E129" s="1052">
        <f t="shared" si="7"/>
        <v>1.0981515348160384</v>
      </c>
      <c r="F129" s="572">
        <f t="shared" si="13"/>
        <v>0</v>
      </c>
      <c r="G129" s="572">
        <f t="shared" si="13"/>
        <v>0</v>
      </c>
      <c r="H129" s="572">
        <f t="shared" si="13"/>
        <v>0</v>
      </c>
      <c r="I129" s="572">
        <f t="shared" si="13"/>
        <v>0</v>
      </c>
      <c r="J129" s="572">
        <f t="shared" si="13"/>
        <v>0</v>
      </c>
      <c r="K129" s="572">
        <f t="shared" si="13"/>
        <v>0</v>
      </c>
      <c r="L129" s="572">
        <f t="shared" si="13"/>
        <v>0</v>
      </c>
      <c r="M129" s="572">
        <f t="shared" si="13"/>
        <v>0</v>
      </c>
      <c r="N129" s="572">
        <f t="shared" si="13"/>
        <v>0</v>
      </c>
      <c r="O129" s="572">
        <f t="shared" si="13"/>
        <v>0</v>
      </c>
      <c r="P129" s="572">
        <f t="shared" si="13"/>
        <v>0</v>
      </c>
      <c r="Q129" s="572">
        <f t="shared" si="13"/>
        <v>0</v>
      </c>
      <c r="R129" s="572">
        <f t="shared" si="13"/>
        <v>0</v>
      </c>
      <c r="S129" s="572">
        <f t="shared" si="13"/>
        <v>0</v>
      </c>
      <c r="T129" s="572">
        <f t="shared" si="13"/>
        <v>0</v>
      </c>
      <c r="U129" s="572">
        <f t="shared" si="13"/>
        <v>0</v>
      </c>
      <c r="V129" s="572">
        <f t="shared" si="13"/>
        <v>0</v>
      </c>
      <c r="W129" s="572">
        <f t="shared" si="13"/>
        <v>0</v>
      </c>
      <c r="X129" s="572">
        <f t="shared" si="13"/>
        <v>0</v>
      </c>
      <c r="Y129" s="572">
        <f t="shared" si="13"/>
        <v>0</v>
      </c>
      <c r="Z129" s="572">
        <f t="shared" si="13"/>
        <v>0</v>
      </c>
      <c r="AA129" s="572">
        <f t="shared" si="13"/>
        <v>0</v>
      </c>
      <c r="AB129" s="572">
        <f t="shared" si="13"/>
        <v>1.6730651901343778E-6</v>
      </c>
      <c r="AC129" s="572">
        <f t="shared" si="13"/>
        <v>3.5401230500091604E-6</v>
      </c>
      <c r="AD129" s="572">
        <f t="shared" ref="AD129:AL129" si="14">AD39*$E129</f>
        <v>5.5964788731395712E-6</v>
      </c>
      <c r="AE129" s="572">
        <f t="shared" si="14"/>
        <v>7.8342415988806261E-6</v>
      </c>
      <c r="AF129" s="572">
        <f t="shared" si="14"/>
        <v>3.4022137366306413E-5</v>
      </c>
      <c r="AG129" s="572">
        <f t="shared" si="14"/>
        <v>5.9108984329394771E-5</v>
      </c>
      <c r="AH129" s="572">
        <f t="shared" si="14"/>
        <v>8.506182916155237E-5</v>
      </c>
      <c r="AI129" s="572">
        <f t="shared" si="14"/>
        <v>8.6556443055004132E-5</v>
      </c>
      <c r="AJ129" s="572">
        <f t="shared" si="14"/>
        <v>8.9133883100124279E-5</v>
      </c>
      <c r="AK129" s="572">
        <f t="shared" si="14"/>
        <v>9.080208607327343E-5</v>
      </c>
      <c r="AL129" s="572">
        <f t="shared" si="14"/>
        <v>9.2135490460673903E-5</v>
      </c>
      <c r="AM129" s="572"/>
    </row>
    <row r="130" spans="1:39" ht="15.75" customHeight="1" x14ac:dyDescent="0.25">
      <c r="A130" s="3"/>
      <c r="B130" s="3" t="str">
        <f t="shared" si="11"/>
        <v>Other Aerosols</v>
      </c>
      <c r="C130" s="3" t="str">
        <f t="shared" si="11"/>
        <v>HFC</v>
      </c>
      <c r="D130" s="3" t="str">
        <f t="shared" si="11"/>
        <v>Other HFC</v>
      </c>
      <c r="E130" s="1052">
        <f t="shared" si="7"/>
        <v>1.0981515348160384</v>
      </c>
      <c r="F130" s="572">
        <f t="shared" ref="F130:AL137" si="15">F40*$E130</f>
        <v>4.7932913787858741E-3</v>
      </c>
      <c r="G130" s="572">
        <f t="shared" si="15"/>
        <v>1.0507517401233844E-2</v>
      </c>
      <c r="H130" s="572">
        <f t="shared" si="15"/>
        <v>1.04822675048025E-2</v>
      </c>
      <c r="I130" s="572">
        <f t="shared" si="15"/>
        <v>1.0447719122476235E-2</v>
      </c>
      <c r="J130" s="572">
        <f t="shared" si="15"/>
        <v>1.1099790968463677E-2</v>
      </c>
      <c r="K130" s="572">
        <f t="shared" si="15"/>
        <v>1.1552892740490275E-2</v>
      </c>
      <c r="L130" s="572">
        <f t="shared" si="15"/>
        <v>1.3241436583176299E-2</v>
      </c>
      <c r="M130" s="572">
        <f t="shared" si="15"/>
        <v>2.1352995808661564E-2</v>
      </c>
      <c r="N130" s="572">
        <f t="shared" si="15"/>
        <v>3.3036814923744627E-2</v>
      </c>
      <c r="O130" s="572">
        <f t="shared" si="15"/>
        <v>3.3916627994142717E-2</v>
      </c>
      <c r="P130" s="572">
        <f t="shared" si="15"/>
        <v>3.4307325766276257E-2</v>
      </c>
      <c r="Q130" s="572">
        <f t="shared" si="15"/>
        <v>3.7239424033332282E-2</v>
      </c>
      <c r="R130" s="572">
        <f t="shared" si="15"/>
        <v>4.0171070051689774E-2</v>
      </c>
      <c r="S130" s="572">
        <f t="shared" si="15"/>
        <v>4.3311781974335072E-2</v>
      </c>
      <c r="T130" s="572">
        <f t="shared" si="15"/>
        <v>4.6322813545304257E-2</v>
      </c>
      <c r="U130" s="572">
        <f t="shared" si="15"/>
        <v>4.9546952099043508E-2</v>
      </c>
      <c r="V130" s="572">
        <f t="shared" si="15"/>
        <v>5.0569884698024786E-2</v>
      </c>
      <c r="W130" s="572">
        <f t="shared" si="15"/>
        <v>5.1859746885065644E-2</v>
      </c>
      <c r="X130" s="572">
        <f t="shared" si="15"/>
        <v>5.271086748703499E-2</v>
      </c>
      <c r="Y130" s="572">
        <f t="shared" si="15"/>
        <v>5.6865291659907599E-2</v>
      </c>
      <c r="Z130" s="572">
        <f t="shared" si="15"/>
        <v>6.1199957656589886E-2</v>
      </c>
      <c r="AA130" s="572">
        <f t="shared" si="15"/>
        <v>6.5367344662058208E-2</v>
      </c>
      <c r="AB130" s="572">
        <f t="shared" si="15"/>
        <v>6.9500188996119067E-2</v>
      </c>
      <c r="AC130" s="572">
        <f t="shared" si="15"/>
        <v>7.3525657350279966E-2</v>
      </c>
      <c r="AD130" s="572">
        <f t="shared" si="15"/>
        <v>7.7491779658696039E-2</v>
      </c>
      <c r="AE130" s="572">
        <f t="shared" si="15"/>
        <v>8.1356834739974668E-2</v>
      </c>
      <c r="AF130" s="572">
        <f t="shared" si="15"/>
        <v>8.2663207960127827E-2</v>
      </c>
      <c r="AG130" s="572">
        <f t="shared" si="15"/>
        <v>8.4107226679003097E-2</v>
      </c>
      <c r="AH130" s="572">
        <f t="shared" si="15"/>
        <v>8.55761172990607E-2</v>
      </c>
      <c r="AI130" s="572">
        <f t="shared" si="15"/>
        <v>8.7079699159283444E-2</v>
      </c>
      <c r="AJ130" s="572">
        <f t="shared" si="15"/>
        <v>8.9672910816640722E-2</v>
      </c>
      <c r="AK130" s="572">
        <f t="shared" si="15"/>
        <v>9.1350948396325252E-2</v>
      </c>
      <c r="AL130" s="572">
        <f t="shared" si="15"/>
        <v>9.2692623096045312E-2</v>
      </c>
      <c r="AM130" s="572"/>
    </row>
    <row r="131" spans="1:39" ht="15.75" customHeight="1" x14ac:dyDescent="0.25">
      <c r="A131" s="3"/>
      <c r="B131" s="3" t="str">
        <f t="shared" si="11"/>
        <v>Refrigeration and air-conditioning</v>
      </c>
      <c r="C131" s="3" t="str">
        <f t="shared" si="11"/>
        <v>HFC</v>
      </c>
      <c r="D131" s="3" t="str">
        <f t="shared" si="11"/>
        <v>Other HFC</v>
      </c>
      <c r="E131" s="1052">
        <f t="shared" si="7"/>
        <v>1.0981515348160384</v>
      </c>
      <c r="F131" s="572">
        <f t="shared" si="15"/>
        <v>0</v>
      </c>
      <c r="G131" s="572">
        <f t="shared" si="15"/>
        <v>0</v>
      </c>
      <c r="H131" s="572">
        <f t="shared" si="15"/>
        <v>0</v>
      </c>
      <c r="I131" s="572">
        <f t="shared" si="15"/>
        <v>0</v>
      </c>
      <c r="J131" s="572">
        <f t="shared" si="15"/>
        <v>0</v>
      </c>
      <c r="K131" s="572">
        <f t="shared" si="15"/>
        <v>0</v>
      </c>
      <c r="L131" s="572">
        <f t="shared" si="15"/>
        <v>0</v>
      </c>
      <c r="M131" s="572">
        <f t="shared" si="15"/>
        <v>0</v>
      </c>
      <c r="N131" s="572">
        <f t="shared" si="15"/>
        <v>0</v>
      </c>
      <c r="O131" s="572">
        <f t="shared" si="15"/>
        <v>0</v>
      </c>
      <c r="P131" s="572">
        <f t="shared" si="15"/>
        <v>0</v>
      </c>
      <c r="Q131" s="572">
        <f t="shared" si="15"/>
        <v>0</v>
      </c>
      <c r="R131" s="572">
        <f t="shared" si="15"/>
        <v>0</v>
      </c>
      <c r="S131" s="572">
        <f t="shared" si="15"/>
        <v>0</v>
      </c>
      <c r="T131" s="572">
        <f t="shared" si="15"/>
        <v>0</v>
      </c>
      <c r="U131" s="572">
        <f t="shared" si="15"/>
        <v>0</v>
      </c>
      <c r="V131" s="572">
        <f t="shared" si="15"/>
        <v>0</v>
      </c>
      <c r="W131" s="572">
        <f t="shared" si="15"/>
        <v>0</v>
      </c>
      <c r="X131" s="572">
        <f t="shared" si="15"/>
        <v>0</v>
      </c>
      <c r="Y131" s="572">
        <f t="shared" si="15"/>
        <v>0</v>
      </c>
      <c r="Z131" s="572">
        <f t="shared" si="15"/>
        <v>0</v>
      </c>
      <c r="AA131" s="572">
        <f t="shared" si="15"/>
        <v>0</v>
      </c>
      <c r="AB131" s="572">
        <f t="shared" si="15"/>
        <v>0</v>
      </c>
      <c r="AC131" s="572">
        <f t="shared" si="15"/>
        <v>0</v>
      </c>
      <c r="AD131" s="572">
        <f t="shared" si="15"/>
        <v>0</v>
      </c>
      <c r="AE131" s="572">
        <f t="shared" si="15"/>
        <v>0</v>
      </c>
      <c r="AF131" s="572">
        <f t="shared" si="15"/>
        <v>2.0181956830591605E-9</v>
      </c>
      <c r="AG131" s="572">
        <f t="shared" si="15"/>
        <v>3.6841323434497051E-8</v>
      </c>
      <c r="AH131" s="572">
        <f t="shared" si="15"/>
        <v>1.6788413219601152E-7</v>
      </c>
      <c r="AI131" s="572">
        <f t="shared" si="15"/>
        <v>3.8284950440254999E-7</v>
      </c>
      <c r="AJ131" s="572">
        <f t="shared" si="15"/>
        <v>6.9233852941701478E-7</v>
      </c>
      <c r="AK131" s="572">
        <f t="shared" si="15"/>
        <v>9.8194881992374261E-7</v>
      </c>
      <c r="AL131" s="572">
        <f t="shared" si="15"/>
        <v>1.2706278543199038E-6</v>
      </c>
      <c r="AM131" s="572"/>
    </row>
    <row r="132" spans="1:39" ht="15.75" customHeight="1" x14ac:dyDescent="0.25">
      <c r="A132" s="3"/>
      <c r="B132" s="3" t="str">
        <f t="shared" si="11"/>
        <v>Refrigeration and air-conditioning</v>
      </c>
      <c r="C132" s="3" t="str">
        <f t="shared" si="11"/>
        <v>HFC</v>
      </c>
      <c r="D132" s="3" t="str">
        <f t="shared" si="11"/>
        <v>Other HFC</v>
      </c>
      <c r="E132" s="1052">
        <f t="shared" si="7"/>
        <v>1.0981515348160384</v>
      </c>
      <c r="F132" s="572">
        <f t="shared" si="15"/>
        <v>0</v>
      </c>
      <c r="G132" s="572">
        <f t="shared" si="15"/>
        <v>0</v>
      </c>
      <c r="H132" s="572">
        <f t="shared" si="15"/>
        <v>0</v>
      </c>
      <c r="I132" s="572">
        <f t="shared" si="15"/>
        <v>0</v>
      </c>
      <c r="J132" s="572">
        <f t="shared" si="15"/>
        <v>0</v>
      </c>
      <c r="K132" s="572">
        <f t="shared" si="15"/>
        <v>0</v>
      </c>
      <c r="L132" s="572">
        <f t="shared" si="15"/>
        <v>0</v>
      </c>
      <c r="M132" s="572">
        <f t="shared" si="15"/>
        <v>0</v>
      </c>
      <c r="N132" s="572">
        <f t="shared" si="15"/>
        <v>0</v>
      </c>
      <c r="O132" s="572">
        <f t="shared" si="15"/>
        <v>0</v>
      </c>
      <c r="P132" s="572">
        <f t="shared" si="15"/>
        <v>0</v>
      </c>
      <c r="Q132" s="572">
        <f t="shared" si="15"/>
        <v>0</v>
      </c>
      <c r="R132" s="572">
        <f t="shared" si="15"/>
        <v>0</v>
      </c>
      <c r="S132" s="572">
        <f t="shared" si="15"/>
        <v>0</v>
      </c>
      <c r="T132" s="572">
        <f t="shared" si="15"/>
        <v>0</v>
      </c>
      <c r="U132" s="572">
        <f t="shared" si="15"/>
        <v>0</v>
      </c>
      <c r="V132" s="572">
        <f t="shared" si="15"/>
        <v>0</v>
      </c>
      <c r="W132" s="572">
        <f t="shared" si="15"/>
        <v>0</v>
      </c>
      <c r="X132" s="572">
        <f t="shared" si="15"/>
        <v>0</v>
      </c>
      <c r="Y132" s="572">
        <f t="shared" si="15"/>
        <v>0</v>
      </c>
      <c r="Z132" s="572">
        <f t="shared" si="15"/>
        <v>0</v>
      </c>
      <c r="AA132" s="572">
        <f t="shared" si="15"/>
        <v>0</v>
      </c>
      <c r="AB132" s="572">
        <f t="shared" si="15"/>
        <v>0</v>
      </c>
      <c r="AC132" s="572">
        <f t="shared" si="15"/>
        <v>0</v>
      </c>
      <c r="AD132" s="572">
        <f t="shared" si="15"/>
        <v>0</v>
      </c>
      <c r="AE132" s="572">
        <f t="shared" si="15"/>
        <v>0</v>
      </c>
      <c r="AF132" s="572">
        <f t="shared" si="15"/>
        <v>3.1604944396706465E-9</v>
      </c>
      <c r="AG132" s="572">
        <f t="shared" si="15"/>
        <v>1.4595606278694184E-8</v>
      </c>
      <c r="AH132" s="572">
        <f t="shared" si="15"/>
        <v>1.1880412991287131E-7</v>
      </c>
      <c r="AI132" s="572">
        <f t="shared" si="15"/>
        <v>3.0392160317310333E-7</v>
      </c>
      <c r="AJ132" s="572">
        <f t="shared" si="15"/>
        <v>5.7574734569012503E-7</v>
      </c>
      <c r="AK132" s="572">
        <f t="shared" si="15"/>
        <v>9.3530978607391876E-7</v>
      </c>
      <c r="AL132" s="572">
        <f t="shared" si="15"/>
        <v>1.3674672601394128E-6</v>
      </c>
      <c r="AM132" s="572"/>
    </row>
    <row r="133" spans="1:39" ht="15.75" customHeight="1" x14ac:dyDescent="0.25">
      <c r="A133" s="3"/>
      <c r="B133" s="3" t="str">
        <f t="shared" si="11"/>
        <v>Refrigeration and air-conditioning</v>
      </c>
      <c r="C133" s="3" t="str">
        <f t="shared" si="11"/>
        <v>HFC</v>
      </c>
      <c r="D133" s="3" t="str">
        <f t="shared" si="11"/>
        <v>Other HFC</v>
      </c>
      <c r="E133" s="1052">
        <f t="shared" si="7"/>
        <v>1.0981515348160384</v>
      </c>
      <c r="F133" s="572">
        <f t="shared" si="15"/>
        <v>0</v>
      </c>
      <c r="G133" s="572">
        <f t="shared" si="15"/>
        <v>0</v>
      </c>
      <c r="H133" s="572">
        <f t="shared" si="15"/>
        <v>0</v>
      </c>
      <c r="I133" s="572">
        <f t="shared" si="15"/>
        <v>0</v>
      </c>
      <c r="J133" s="572">
        <f t="shared" si="15"/>
        <v>0</v>
      </c>
      <c r="K133" s="572">
        <f t="shared" si="15"/>
        <v>0</v>
      </c>
      <c r="L133" s="572">
        <f t="shared" si="15"/>
        <v>0</v>
      </c>
      <c r="M133" s="572">
        <f t="shared" si="15"/>
        <v>0</v>
      </c>
      <c r="N133" s="572">
        <f t="shared" si="15"/>
        <v>0</v>
      </c>
      <c r="O133" s="572">
        <f t="shared" si="15"/>
        <v>0</v>
      </c>
      <c r="P133" s="572">
        <f t="shared" si="15"/>
        <v>0</v>
      </c>
      <c r="Q133" s="572">
        <f t="shared" si="15"/>
        <v>0</v>
      </c>
      <c r="R133" s="572">
        <f t="shared" si="15"/>
        <v>0</v>
      </c>
      <c r="S133" s="572">
        <f t="shared" si="15"/>
        <v>0</v>
      </c>
      <c r="T133" s="572">
        <f t="shared" si="15"/>
        <v>0</v>
      </c>
      <c r="U133" s="572">
        <f t="shared" si="15"/>
        <v>0</v>
      </c>
      <c r="V133" s="572">
        <f t="shared" si="15"/>
        <v>0</v>
      </c>
      <c r="W133" s="572">
        <f t="shared" si="15"/>
        <v>0</v>
      </c>
      <c r="X133" s="572">
        <f t="shared" si="15"/>
        <v>0</v>
      </c>
      <c r="Y133" s="572">
        <f t="shared" si="15"/>
        <v>0</v>
      </c>
      <c r="Z133" s="572">
        <f t="shared" si="15"/>
        <v>0</v>
      </c>
      <c r="AA133" s="572">
        <f t="shared" si="15"/>
        <v>0</v>
      </c>
      <c r="AB133" s="572">
        <f t="shared" si="15"/>
        <v>3.9461963147242475E-8</v>
      </c>
      <c r="AC133" s="572">
        <f t="shared" si="15"/>
        <v>1.1873603613630537E-7</v>
      </c>
      <c r="AD133" s="572">
        <f t="shared" si="15"/>
        <v>2.3861035146191792E-7</v>
      </c>
      <c r="AE133" s="572">
        <f t="shared" si="15"/>
        <v>3.9953254455861679E-7</v>
      </c>
      <c r="AF133" s="572">
        <f t="shared" si="15"/>
        <v>3.2707121423138724E-6</v>
      </c>
      <c r="AG133" s="572">
        <f t="shared" si="15"/>
        <v>8.8725784633999146E-6</v>
      </c>
      <c r="AH133" s="572">
        <f t="shared" si="15"/>
        <v>1.7341547255152221E-5</v>
      </c>
      <c r="AI133" s="572">
        <f t="shared" si="15"/>
        <v>2.8724376721488912E-5</v>
      </c>
      <c r="AJ133" s="572">
        <f t="shared" si="15"/>
        <v>4.3592213850155803E-5</v>
      </c>
      <c r="AK133" s="572">
        <f t="shared" si="15"/>
        <v>6.1147170705910144E-5</v>
      </c>
      <c r="AL133" s="572">
        <f t="shared" si="15"/>
        <v>7.8726749035898253E-5</v>
      </c>
      <c r="AM133" s="572"/>
    </row>
    <row r="134" spans="1:39" ht="15.75" customHeight="1" x14ac:dyDescent="0.25">
      <c r="A134" s="3"/>
      <c r="B134" s="3" t="str">
        <f t="shared" si="11"/>
        <v>Refrigeration and air-conditioning</v>
      </c>
      <c r="C134" s="3" t="str">
        <f t="shared" si="11"/>
        <v>HFC</v>
      </c>
      <c r="D134" s="3" t="str">
        <f t="shared" si="11"/>
        <v>Other HFC</v>
      </c>
      <c r="E134" s="1052">
        <f t="shared" si="7"/>
        <v>1.0981515348160384</v>
      </c>
      <c r="F134" s="572">
        <f t="shared" si="15"/>
        <v>3.1880475436748109E-4</v>
      </c>
      <c r="G134" s="572">
        <f t="shared" si="15"/>
        <v>3.2672172683532162E-4</v>
      </c>
      <c r="H134" s="572">
        <f t="shared" si="15"/>
        <v>3.3021211063908245E-4</v>
      </c>
      <c r="I134" s="572">
        <f t="shared" si="15"/>
        <v>4.4210694242231439E-4</v>
      </c>
      <c r="J134" s="572">
        <f t="shared" si="15"/>
        <v>5.3574010733982219E-4</v>
      </c>
      <c r="K134" s="572">
        <f t="shared" si="15"/>
        <v>6.1393318888522419E-4</v>
      </c>
      <c r="L134" s="572">
        <f t="shared" si="15"/>
        <v>6.6843745768559377E-4</v>
      </c>
      <c r="M134" s="572">
        <f t="shared" si="15"/>
        <v>7.0720078056476143E-4</v>
      </c>
      <c r="N134" s="572">
        <f t="shared" si="15"/>
        <v>6.5520821822645785E-4</v>
      </c>
      <c r="O134" s="572">
        <f t="shared" si="15"/>
        <v>5.9957972158250755E-4</v>
      </c>
      <c r="P134" s="572">
        <f t="shared" si="15"/>
        <v>5.4532963048725105E-4</v>
      </c>
      <c r="Q134" s="572">
        <f t="shared" si="15"/>
        <v>4.9300432708168467E-4</v>
      </c>
      <c r="R134" s="572">
        <f t="shared" si="15"/>
        <v>4.4142595047787925E-4</v>
      </c>
      <c r="S134" s="572">
        <f t="shared" si="15"/>
        <v>3.8962958995993014E-4</v>
      </c>
      <c r="T134" s="572">
        <f t="shared" si="15"/>
        <v>3.3669899325850091E-4</v>
      </c>
      <c r="U134" s="572">
        <f t="shared" si="15"/>
        <v>2.9039771031735595E-4</v>
      </c>
      <c r="V134" s="572">
        <f t="shared" si="15"/>
        <v>2.4722379565705004E-4</v>
      </c>
      <c r="W134" s="572">
        <f t="shared" si="15"/>
        <v>2.0273677009295668E-4</v>
      </c>
      <c r="X134" s="572">
        <f t="shared" si="15"/>
        <v>1.64312190401841E-4</v>
      </c>
      <c r="Y134" s="572">
        <f t="shared" si="15"/>
        <v>1.3953674258380177E-4</v>
      </c>
      <c r="Z134" s="572">
        <f t="shared" si="15"/>
        <v>1.2179003590024538E-4</v>
      </c>
      <c r="AA134" s="572">
        <f t="shared" si="15"/>
        <v>1.1103589958241942E-4</v>
      </c>
      <c r="AB134" s="572">
        <f t="shared" si="15"/>
        <v>1.0426900677180668E-4</v>
      </c>
      <c r="AC134" s="572">
        <f t="shared" si="15"/>
        <v>9.5304833483573793E-5</v>
      </c>
      <c r="AD134" s="572">
        <f t="shared" si="15"/>
        <v>8.5835624616892612E-5</v>
      </c>
      <c r="AE134" s="572">
        <f t="shared" si="15"/>
        <v>7.4696568062191149E-5</v>
      </c>
      <c r="AF134" s="572">
        <f t="shared" si="15"/>
        <v>6.3082463954375938E-5</v>
      </c>
      <c r="AG134" s="572">
        <f t="shared" si="15"/>
        <v>5.1000217094210277E-5</v>
      </c>
      <c r="AH134" s="572">
        <f t="shared" si="15"/>
        <v>3.8091146410250282E-5</v>
      </c>
      <c r="AI134" s="572">
        <f t="shared" si="15"/>
        <v>2.4260157370814644E-5</v>
      </c>
      <c r="AJ134" s="572">
        <f t="shared" si="15"/>
        <v>1.2449581679833548E-5</v>
      </c>
      <c r="AK134" s="572">
        <f t="shared" si="15"/>
        <v>5.0482027213327919E-6</v>
      </c>
      <c r="AL134" s="572">
        <f t="shared" si="15"/>
        <v>3.7781475192805661E-6</v>
      </c>
      <c r="AM134" s="572"/>
    </row>
    <row r="135" spans="1:39" ht="15.75" customHeight="1" x14ac:dyDescent="0.25">
      <c r="A135" s="3"/>
      <c r="B135" s="3" t="str">
        <f t="shared" si="11"/>
        <v>Refrigeration and air-conditioning</v>
      </c>
      <c r="C135" s="3" t="str">
        <f t="shared" si="11"/>
        <v>HFC</v>
      </c>
      <c r="D135" s="3" t="str">
        <f t="shared" si="11"/>
        <v>Other HFC</v>
      </c>
      <c r="E135" s="1052">
        <f t="shared" si="7"/>
        <v>1.0981515348160384</v>
      </c>
      <c r="F135" s="572">
        <f t="shared" si="15"/>
        <v>0</v>
      </c>
      <c r="G135" s="572">
        <f t="shared" si="15"/>
        <v>0</v>
      </c>
      <c r="H135" s="572">
        <f t="shared" si="15"/>
        <v>0</v>
      </c>
      <c r="I135" s="572">
        <f t="shared" si="15"/>
        <v>0</v>
      </c>
      <c r="J135" s="572">
        <f t="shared" si="15"/>
        <v>0</v>
      </c>
      <c r="K135" s="572">
        <f t="shared" si="15"/>
        <v>0</v>
      </c>
      <c r="L135" s="572">
        <f t="shared" si="15"/>
        <v>0</v>
      </c>
      <c r="M135" s="572">
        <f t="shared" si="15"/>
        <v>0</v>
      </c>
      <c r="N135" s="572">
        <f t="shared" si="15"/>
        <v>0</v>
      </c>
      <c r="O135" s="572">
        <f t="shared" si="15"/>
        <v>0</v>
      </c>
      <c r="P135" s="572">
        <f t="shared" si="15"/>
        <v>0</v>
      </c>
      <c r="Q135" s="572">
        <f t="shared" si="15"/>
        <v>0</v>
      </c>
      <c r="R135" s="572">
        <f t="shared" si="15"/>
        <v>0</v>
      </c>
      <c r="S135" s="572">
        <f t="shared" si="15"/>
        <v>0</v>
      </c>
      <c r="T135" s="572">
        <f t="shared" si="15"/>
        <v>0</v>
      </c>
      <c r="U135" s="572">
        <f t="shared" si="15"/>
        <v>0</v>
      </c>
      <c r="V135" s="572">
        <f t="shared" si="15"/>
        <v>0</v>
      </c>
      <c r="W135" s="572">
        <f t="shared" si="15"/>
        <v>0</v>
      </c>
      <c r="X135" s="572">
        <f t="shared" si="15"/>
        <v>0</v>
      </c>
      <c r="Y135" s="572">
        <f t="shared" si="15"/>
        <v>0</v>
      </c>
      <c r="Z135" s="572">
        <f t="shared" si="15"/>
        <v>0</v>
      </c>
      <c r="AA135" s="572">
        <f t="shared" si="15"/>
        <v>0</v>
      </c>
      <c r="AB135" s="572">
        <f t="shared" si="15"/>
        <v>0</v>
      </c>
      <c r="AC135" s="572">
        <f t="shared" si="15"/>
        <v>0</v>
      </c>
      <c r="AD135" s="572">
        <f t="shared" si="15"/>
        <v>0</v>
      </c>
      <c r="AE135" s="572">
        <f t="shared" si="15"/>
        <v>0</v>
      </c>
      <c r="AF135" s="572">
        <f t="shared" si="15"/>
        <v>0</v>
      </c>
      <c r="AG135" s="572">
        <f t="shared" si="15"/>
        <v>9.3238746095371387E-9</v>
      </c>
      <c r="AH135" s="572">
        <f t="shared" si="15"/>
        <v>1.8511394412681704E-7</v>
      </c>
      <c r="AI135" s="572">
        <f t="shared" si="15"/>
        <v>4.965516000726963E-7</v>
      </c>
      <c r="AJ135" s="572">
        <f t="shared" si="15"/>
        <v>9.6183115029702922E-7</v>
      </c>
      <c r="AK135" s="572">
        <f t="shared" si="15"/>
        <v>1.3942986424158094E-6</v>
      </c>
      <c r="AL135" s="572">
        <f t="shared" si="15"/>
        <v>1.8259639669936155E-6</v>
      </c>
      <c r="AM135" s="572"/>
    </row>
    <row r="136" spans="1:39" ht="15.75" customHeight="1" x14ac:dyDescent="0.25">
      <c r="A136" s="3"/>
      <c r="B136" s="3" t="str">
        <f t="shared" si="11"/>
        <v>Solvents</v>
      </c>
      <c r="C136" s="3" t="str">
        <f t="shared" si="11"/>
        <v>HFC</v>
      </c>
      <c r="D136" s="3" t="str">
        <f t="shared" si="11"/>
        <v>Other HFC</v>
      </c>
      <c r="E136" s="1052">
        <f t="shared" si="7"/>
        <v>1.0981515348160384</v>
      </c>
      <c r="F136" s="572">
        <f t="shared" si="15"/>
        <v>0</v>
      </c>
      <c r="G136" s="572">
        <f t="shared" si="15"/>
        <v>0</v>
      </c>
      <c r="H136" s="572">
        <f t="shared" si="15"/>
        <v>0</v>
      </c>
      <c r="I136" s="572">
        <f t="shared" si="15"/>
        <v>0</v>
      </c>
      <c r="J136" s="572">
        <f t="shared" si="15"/>
        <v>0</v>
      </c>
      <c r="K136" s="572">
        <f t="shared" si="15"/>
        <v>1.2858063146466956E-2</v>
      </c>
      <c r="L136" s="572">
        <f t="shared" si="15"/>
        <v>2.6142352744017917E-2</v>
      </c>
      <c r="M136" s="572">
        <f t="shared" si="15"/>
        <v>2.658181807889614E-2</v>
      </c>
      <c r="N136" s="572">
        <f t="shared" si="15"/>
        <v>2.7044238366872649E-2</v>
      </c>
      <c r="O136" s="572">
        <f t="shared" si="15"/>
        <v>2.7532808725192717E-2</v>
      </c>
      <c r="P136" s="572">
        <f t="shared" si="15"/>
        <v>2.8072761508890515E-2</v>
      </c>
      <c r="Q136" s="572">
        <f t="shared" si="15"/>
        <v>2.8695384880284908E-2</v>
      </c>
      <c r="R136" s="572">
        <f t="shared" si="15"/>
        <v>2.935716353734296E-2</v>
      </c>
      <c r="S136" s="572">
        <f t="shared" si="15"/>
        <v>2.9996342867321352E-2</v>
      </c>
      <c r="T136" s="572">
        <f t="shared" si="15"/>
        <v>3.0597786383249323E-2</v>
      </c>
      <c r="U136" s="572">
        <f t="shared" si="15"/>
        <v>3.1181531713213761E-2</v>
      </c>
      <c r="V136" s="572">
        <f t="shared" si="15"/>
        <v>3.1702884498197297E-2</v>
      </c>
      <c r="W136" s="572">
        <f t="shared" si="15"/>
        <v>3.2185696943230223E-2</v>
      </c>
      <c r="X136" s="572">
        <f t="shared" si="15"/>
        <v>3.2708616470076307E-2</v>
      </c>
      <c r="Y136" s="572">
        <f t="shared" si="15"/>
        <v>3.334236702262814E-2</v>
      </c>
      <c r="Z136" s="572">
        <f t="shared" si="15"/>
        <v>3.4078139361759671E-2</v>
      </c>
      <c r="AA136" s="572">
        <f t="shared" si="15"/>
        <v>3.4822707394172821E-2</v>
      </c>
      <c r="AB136" s="572">
        <f t="shared" si="15"/>
        <v>3.555866646152727E-2</v>
      </c>
      <c r="AC136" s="572">
        <f t="shared" si="15"/>
        <v>3.6252561779735001E-2</v>
      </c>
      <c r="AD136" s="572">
        <f t="shared" si="15"/>
        <v>3.693340986416873E-2</v>
      </c>
      <c r="AE136" s="572">
        <f t="shared" si="15"/>
        <v>3.7584727472006446E-2</v>
      </c>
      <c r="AF136" s="572">
        <f t="shared" si="15"/>
        <v>3.818836935169434E-2</v>
      </c>
      <c r="AG136" s="572">
        <f t="shared" si="15"/>
        <v>3.8855607694375148E-2</v>
      </c>
      <c r="AH136" s="572">
        <f t="shared" si="15"/>
        <v>3.9534062330073408E-2</v>
      </c>
      <c r="AI136" s="572">
        <f t="shared" si="15"/>
        <v>4.0228918382978436E-2</v>
      </c>
      <c r="AJ136" s="572">
        <f t="shared" si="15"/>
        <v>4.1426934504528709E-2</v>
      </c>
      <c r="AK136" s="572">
        <f t="shared" si="15"/>
        <v>4.2202265468569568E-2</v>
      </c>
      <c r="AL136" s="572">
        <f t="shared" si="15"/>
        <v>4.2821987365809965E-2</v>
      </c>
      <c r="AM136" s="572"/>
    </row>
    <row r="137" spans="1:39" ht="15.75" customHeight="1" x14ac:dyDescent="0.25">
      <c r="A137" s="3"/>
      <c r="B137" s="3" t="str">
        <f t="shared" ref="B137:D139" si="16">B47</f>
        <v>Fire protection</v>
      </c>
      <c r="C137" s="3" t="str">
        <f t="shared" si="16"/>
        <v>PFC</v>
      </c>
      <c r="D137" s="3" t="str">
        <f t="shared" si="16"/>
        <v>Other PFC</v>
      </c>
      <c r="E137" s="1052">
        <f t="shared" si="7"/>
        <v>1.8064527199105882</v>
      </c>
      <c r="F137" s="572">
        <f t="shared" si="15"/>
        <v>0</v>
      </c>
      <c r="G137" s="572">
        <f t="shared" si="15"/>
        <v>0</v>
      </c>
      <c r="H137" s="572">
        <f t="shared" si="15"/>
        <v>0</v>
      </c>
      <c r="I137" s="572">
        <f t="shared" si="15"/>
        <v>0</v>
      </c>
      <c r="J137" s="572">
        <f t="shared" si="15"/>
        <v>3.1252988760546909E-6</v>
      </c>
      <c r="K137" s="572">
        <f t="shared" si="15"/>
        <v>3.4290762945156283E-5</v>
      </c>
      <c r="L137" s="572">
        <f t="shared" si="15"/>
        <v>8.3886945009808717E-5</v>
      </c>
      <c r="M137" s="572">
        <f t="shared" si="15"/>
        <v>1.5795868102124581E-4</v>
      </c>
      <c r="N137" s="572">
        <f t="shared" si="15"/>
        <v>2.564117740052231E-4</v>
      </c>
      <c r="O137" s="572">
        <f t="shared" si="15"/>
        <v>3.8851757857311456E-4</v>
      </c>
      <c r="P137" s="572">
        <f t="shared" si="15"/>
        <v>5.1166128713824401E-4</v>
      </c>
      <c r="Q137" s="572">
        <f t="shared" si="15"/>
        <v>6.3321873099480652E-4</v>
      </c>
      <c r="R137" s="572">
        <f t="shared" si="15"/>
        <v>7.4664576035905717E-4</v>
      </c>
      <c r="S137" s="572">
        <f t="shared" si="15"/>
        <v>7.4794544611338253E-4</v>
      </c>
      <c r="T137" s="572">
        <f t="shared" si="15"/>
        <v>7.4798268724453874E-4</v>
      </c>
      <c r="U137" s="572">
        <f t="shared" si="15"/>
        <v>7.4730237457089051E-4</v>
      </c>
      <c r="V137" s="572">
        <f t="shared" si="15"/>
        <v>7.4490445346025438E-4</v>
      </c>
      <c r="W137" s="572">
        <f t="shared" si="15"/>
        <v>7.4142458402969751E-4</v>
      </c>
      <c r="X137" s="572">
        <f t="shared" si="15"/>
        <v>7.3869775156154994E-4</v>
      </c>
      <c r="Y137" s="572">
        <f t="shared" si="15"/>
        <v>7.382421839629181E-4</v>
      </c>
      <c r="Z137" s="572">
        <f t="shared" si="15"/>
        <v>7.3973616806546742E-4</v>
      </c>
      <c r="AA137" s="572">
        <f t="shared" si="15"/>
        <v>7.4108157604983965E-4</v>
      </c>
      <c r="AB137" s="572">
        <f t="shared" si="15"/>
        <v>7.4190133586336706E-4</v>
      </c>
      <c r="AC137" s="572">
        <f t="shared" si="15"/>
        <v>7.4154736434371975E-4</v>
      </c>
      <c r="AD137" s="572">
        <f t="shared" ref="AD137:AL137" si="17">AD47*$E137</f>
        <v>7.4066293220973801E-4</v>
      </c>
      <c r="AE137" s="572">
        <f t="shared" si="17"/>
        <v>7.3894896804106681E-4</v>
      </c>
      <c r="AF137" s="572">
        <f t="shared" si="17"/>
        <v>7.3609262959230324E-4</v>
      </c>
      <c r="AG137" s="572">
        <f t="shared" si="17"/>
        <v>7.3426584885125372E-4</v>
      </c>
      <c r="AH137" s="572">
        <f t="shared" si="17"/>
        <v>7.3244086865830696E-4</v>
      </c>
      <c r="AI137" s="572">
        <f t="shared" si="17"/>
        <v>7.3069577891417281E-4</v>
      </c>
      <c r="AJ137" s="572">
        <f t="shared" si="17"/>
        <v>7.3770172409781253E-4</v>
      </c>
      <c r="AK137" s="572">
        <f t="shared" si="17"/>
        <v>7.3677083802823349E-4</v>
      </c>
      <c r="AL137" s="572">
        <f t="shared" si="17"/>
        <v>7.3293318570675375E-4</v>
      </c>
      <c r="AM137" s="572"/>
    </row>
    <row r="138" spans="1:39" ht="15.75" customHeight="1" x14ac:dyDescent="0.25">
      <c r="A138" s="3"/>
      <c r="B138" s="3" t="str">
        <f t="shared" si="16"/>
        <v>Solvents</v>
      </c>
      <c r="C138" s="3" t="str">
        <f t="shared" si="16"/>
        <v>PFC</v>
      </c>
      <c r="D138" s="3" t="str">
        <f t="shared" si="16"/>
        <v>Other PFC</v>
      </c>
      <c r="E138" s="1052">
        <f t="shared" si="7"/>
        <v>1.8064527199105882</v>
      </c>
      <c r="F138" s="572">
        <f t="shared" ref="F138:AL139" si="18">F48*$E138</f>
        <v>0</v>
      </c>
      <c r="G138" s="572">
        <f t="shared" si="18"/>
        <v>0</v>
      </c>
      <c r="H138" s="572">
        <f t="shared" si="18"/>
        <v>0</v>
      </c>
      <c r="I138" s="572">
        <f t="shared" si="18"/>
        <v>0</v>
      </c>
      <c r="J138" s="572">
        <f t="shared" si="18"/>
        <v>0</v>
      </c>
      <c r="K138" s="572">
        <f t="shared" si="18"/>
        <v>1.5258586456165887E-2</v>
      </c>
      <c r="L138" s="572">
        <f t="shared" si="18"/>
        <v>3.6673991127994125E-2</v>
      </c>
      <c r="M138" s="572">
        <f t="shared" si="18"/>
        <v>4.3038495488241943E-2</v>
      </c>
      <c r="N138" s="572">
        <f t="shared" si="18"/>
        <v>4.3786222403491309E-2</v>
      </c>
      <c r="O138" s="572">
        <f t="shared" si="18"/>
        <v>4.4578521042203036E-2</v>
      </c>
      <c r="P138" s="572">
        <f t="shared" si="18"/>
        <v>3.5225199361285084E-2</v>
      </c>
      <c r="Q138" s="572">
        <f t="shared" si="18"/>
        <v>2.5553706405296576E-2</v>
      </c>
      <c r="R138" s="572">
        <f t="shared" si="18"/>
        <v>1.5449492239650383E-2</v>
      </c>
      <c r="S138" s="572">
        <f t="shared" si="18"/>
        <v>4.8563829295225841E-3</v>
      </c>
      <c r="T138" s="572">
        <f t="shared" si="18"/>
        <v>4.9553583146246093E-3</v>
      </c>
      <c r="U138" s="572">
        <f t="shared" si="18"/>
        <v>4.0390628274519442E-3</v>
      </c>
      <c r="V138" s="572">
        <f t="shared" si="18"/>
        <v>3.077377284284759E-3</v>
      </c>
      <c r="W138" s="572">
        <f t="shared" si="18"/>
        <v>2.0843220035286964E-3</v>
      </c>
      <c r="X138" s="572">
        <f t="shared" si="18"/>
        <v>1.0594109166383043E-3</v>
      </c>
      <c r="Y138" s="572">
        <f t="shared" si="18"/>
        <v>0</v>
      </c>
      <c r="Z138" s="572">
        <f t="shared" si="18"/>
        <v>0</v>
      </c>
      <c r="AA138" s="572">
        <f t="shared" si="18"/>
        <v>0</v>
      </c>
      <c r="AB138" s="572">
        <f t="shared" si="18"/>
        <v>0</v>
      </c>
      <c r="AC138" s="572">
        <f t="shared" si="18"/>
        <v>0</v>
      </c>
      <c r="AD138" s="572">
        <f t="shared" si="18"/>
        <v>0</v>
      </c>
      <c r="AE138" s="572">
        <f t="shared" si="18"/>
        <v>0</v>
      </c>
      <c r="AF138" s="572">
        <f t="shared" si="18"/>
        <v>0</v>
      </c>
      <c r="AG138" s="572">
        <f t="shared" si="18"/>
        <v>0</v>
      </c>
      <c r="AH138" s="572">
        <f t="shared" si="18"/>
        <v>0</v>
      </c>
      <c r="AI138" s="572">
        <f t="shared" si="18"/>
        <v>0</v>
      </c>
      <c r="AJ138" s="572">
        <f t="shared" si="18"/>
        <v>0</v>
      </c>
      <c r="AK138" s="572">
        <f t="shared" si="18"/>
        <v>0</v>
      </c>
      <c r="AL138" s="572">
        <f t="shared" si="18"/>
        <v>0</v>
      </c>
      <c r="AM138" s="572"/>
    </row>
    <row r="139" spans="1:39" ht="15.75" customHeight="1" x14ac:dyDescent="0.25">
      <c r="A139" s="3"/>
      <c r="B139" s="3" t="str">
        <f t="shared" si="16"/>
        <v>Fire protection</v>
      </c>
      <c r="C139" s="3" t="str">
        <f t="shared" si="16"/>
        <v>PFC</v>
      </c>
      <c r="D139" s="3" t="str">
        <f t="shared" si="16"/>
        <v>PFC-14 (Perfluoromethane)</v>
      </c>
      <c r="E139" s="1052">
        <f t="shared" si="7"/>
        <v>1.1131221719457014</v>
      </c>
      <c r="F139" s="572">
        <f t="shared" si="18"/>
        <v>0</v>
      </c>
      <c r="G139" s="572">
        <f t="shared" si="18"/>
        <v>0</v>
      </c>
      <c r="H139" s="572">
        <f t="shared" si="18"/>
        <v>0</v>
      </c>
      <c r="I139" s="572">
        <f t="shared" si="18"/>
        <v>0</v>
      </c>
      <c r="J139" s="572">
        <f t="shared" si="18"/>
        <v>4.9961560157817728E-7</v>
      </c>
      <c r="K139" s="572">
        <f t="shared" si="18"/>
        <v>1.6057738723443702E-6</v>
      </c>
      <c r="L139" s="572">
        <f t="shared" si="18"/>
        <v>1.4514039122903119E-5</v>
      </c>
      <c r="M139" s="572">
        <f t="shared" si="18"/>
        <v>3.9830321803897769E-5</v>
      </c>
      <c r="N139" s="572">
        <f t="shared" si="18"/>
        <v>7.8304328681815341E-5</v>
      </c>
      <c r="O139" s="572">
        <f t="shared" si="18"/>
        <v>1.3057147368950137E-4</v>
      </c>
      <c r="P139" s="572">
        <f t="shared" si="18"/>
        <v>1.9720599169831886E-4</v>
      </c>
      <c r="Q139" s="572">
        <f t="shared" si="18"/>
        <v>2.6593459534622149E-4</v>
      </c>
      <c r="R139" s="572">
        <f t="shared" si="18"/>
        <v>3.2555746089674354E-4</v>
      </c>
      <c r="S139" s="572">
        <f t="shared" si="18"/>
        <v>3.7457972570859206E-4</v>
      </c>
      <c r="T139" s="572">
        <f t="shared" si="18"/>
        <v>4.1203064988122872E-4</v>
      </c>
      <c r="U139" s="572">
        <f t="shared" si="18"/>
        <v>4.3726734755239298E-4</v>
      </c>
      <c r="V139" s="572">
        <f t="shared" si="18"/>
        <v>4.4898575349609749E-4</v>
      </c>
      <c r="W139" s="572">
        <f t="shared" si="18"/>
        <v>4.6027635671259091E-4</v>
      </c>
      <c r="X139" s="572">
        <f t="shared" si="18"/>
        <v>4.7235792308832932E-4</v>
      </c>
      <c r="Y139" s="572">
        <f t="shared" si="18"/>
        <v>4.8621337521845742E-4</v>
      </c>
      <c r="Z139" s="572">
        <f t="shared" si="18"/>
        <v>5.018088856264762E-4</v>
      </c>
      <c r="AA139" s="572">
        <f t="shared" si="18"/>
        <v>5.1779665162890985E-4</v>
      </c>
      <c r="AB139" s="572">
        <f t="shared" si="18"/>
        <v>5.339533119022976E-4</v>
      </c>
      <c r="AC139" s="572">
        <f t="shared" si="18"/>
        <v>5.497122446681777E-4</v>
      </c>
      <c r="AD139" s="572">
        <f t="shared" si="18"/>
        <v>5.6548791377722168E-4</v>
      </c>
      <c r="AE139" s="572">
        <f t="shared" si="18"/>
        <v>5.8111722725236214E-4</v>
      </c>
      <c r="AF139" s="572">
        <f t="shared" si="18"/>
        <v>5.9623167666656807E-4</v>
      </c>
      <c r="AG139" s="572">
        <f t="shared" si="18"/>
        <v>6.126107876341726E-4</v>
      </c>
      <c r="AH139" s="572">
        <f t="shared" si="18"/>
        <v>6.2938843028398513E-4</v>
      </c>
      <c r="AI139" s="572">
        <f t="shared" si="18"/>
        <v>6.4673792253906975E-4</v>
      </c>
      <c r="AJ139" s="572">
        <f t="shared" si="18"/>
        <v>6.0677807101771795E-4</v>
      </c>
      <c r="AK139" s="572">
        <f t="shared" si="18"/>
        <v>5.585522835768788E-4</v>
      </c>
      <c r="AL139" s="572">
        <f t="shared" si="18"/>
        <v>5.0697150155528466E-4</v>
      </c>
      <c r="AM139" s="572"/>
    </row>
    <row r="140" spans="1:39" ht="15.7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row>
    <row r="141" spans="1:39" ht="15.75" customHeight="1" x14ac:dyDescent="0.25">
      <c r="A141" s="3"/>
      <c r="B141" s="2140" t="s">
        <v>2136</v>
      </c>
      <c r="C141" s="2138"/>
      <c r="D141" s="2138"/>
      <c r="E141" s="2138"/>
      <c r="F141" s="2138"/>
      <c r="G141" s="2138"/>
      <c r="H141" s="2138"/>
      <c r="I141" s="2138"/>
      <c r="J141" s="2138"/>
      <c r="K141" s="2138"/>
      <c r="L141" s="2138"/>
      <c r="M141" s="2138"/>
      <c r="N141" s="2138"/>
      <c r="O141" s="2138"/>
      <c r="P141" s="2138"/>
      <c r="Q141" s="2138"/>
      <c r="R141" s="2138"/>
      <c r="S141" s="2138"/>
      <c r="T141" s="2138"/>
      <c r="U141" s="2138"/>
      <c r="V141" s="2138"/>
      <c r="W141" s="2138"/>
      <c r="X141" s="2138"/>
      <c r="Y141" s="2138"/>
      <c r="Z141" s="2138"/>
      <c r="AA141" s="2138"/>
      <c r="AB141" s="2138"/>
      <c r="AC141" s="2138"/>
      <c r="AD141" s="2138"/>
      <c r="AE141" s="2138"/>
      <c r="AF141" s="2138"/>
      <c r="AG141" s="2138"/>
      <c r="AH141" s="2138"/>
      <c r="AI141" s="2138"/>
      <c r="AJ141" s="2138"/>
      <c r="AK141" s="2138"/>
      <c r="AL141" s="2138"/>
      <c r="AM141" s="2139"/>
    </row>
    <row r="142" spans="1:39" ht="15.7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row>
    <row r="143" spans="1:39" ht="15.75" customHeight="1" x14ac:dyDescent="0.25">
      <c r="A143" s="3"/>
      <c r="B143" s="2141" t="s">
        <v>2</v>
      </c>
      <c r="C143" s="2142"/>
      <c r="D143" s="2142"/>
      <c r="E143" s="2142"/>
      <c r="F143" s="2142"/>
      <c r="G143" s="2142"/>
      <c r="H143" s="2142"/>
      <c r="I143" s="2142"/>
      <c r="J143" s="2142"/>
      <c r="K143" s="2142"/>
      <c r="L143" s="2142"/>
      <c r="M143" s="2142"/>
      <c r="N143" s="2142"/>
      <c r="O143" s="2142"/>
      <c r="P143" s="2142"/>
      <c r="Q143" s="2142"/>
      <c r="R143" s="2142"/>
      <c r="S143" s="2142"/>
      <c r="T143" s="2142"/>
      <c r="U143" s="2142"/>
      <c r="V143" s="2142"/>
      <c r="W143" s="2142"/>
      <c r="X143" s="2142"/>
      <c r="Y143" s="2142"/>
      <c r="Z143" s="2142"/>
      <c r="AA143" s="2142"/>
      <c r="AB143" s="2142"/>
      <c r="AC143" s="2142"/>
      <c r="AD143" s="2142"/>
      <c r="AE143" s="2142"/>
      <c r="AF143" s="2142"/>
      <c r="AG143" s="2142"/>
      <c r="AH143" s="2142"/>
      <c r="AI143" s="2142"/>
      <c r="AJ143" s="2142"/>
      <c r="AK143" s="2142"/>
      <c r="AL143" s="2142"/>
      <c r="AM143" s="2145"/>
    </row>
    <row r="144" spans="1:39" ht="15.75" customHeight="1" x14ac:dyDescent="0.25">
      <c r="A144" s="3"/>
      <c r="B144" s="3"/>
      <c r="C144" s="3"/>
      <c r="D144" s="60" t="s">
        <v>782</v>
      </c>
      <c r="E144" s="60"/>
      <c r="F144" s="60" t="s">
        <v>2033</v>
      </c>
      <c r="G144" s="60" t="s">
        <v>2034</v>
      </c>
      <c r="H144" s="60" t="s">
        <v>2035</v>
      </c>
      <c r="I144" s="60" t="s">
        <v>2036</v>
      </c>
      <c r="J144" s="60" t="s">
        <v>2037</v>
      </c>
      <c r="K144" s="60" t="s">
        <v>2038</v>
      </c>
      <c r="L144" s="60" t="s">
        <v>2039</v>
      </c>
      <c r="M144" s="60" t="s">
        <v>2040</v>
      </c>
      <c r="N144" s="60" t="s">
        <v>2041</v>
      </c>
      <c r="O144" s="60" t="s">
        <v>2042</v>
      </c>
      <c r="P144" s="60" t="s">
        <v>2043</v>
      </c>
      <c r="Q144" s="60" t="s">
        <v>2044</v>
      </c>
      <c r="R144" s="60" t="s">
        <v>2045</v>
      </c>
      <c r="S144" s="60" t="s">
        <v>2046</v>
      </c>
      <c r="T144" s="60" t="s">
        <v>2047</v>
      </c>
      <c r="U144" s="60" t="s">
        <v>2048</v>
      </c>
      <c r="V144" s="60" t="s">
        <v>2049</v>
      </c>
      <c r="W144" s="60" t="s">
        <v>2050</v>
      </c>
      <c r="X144" s="60" t="s">
        <v>2051</v>
      </c>
      <c r="Y144" s="60" t="s">
        <v>2052</v>
      </c>
      <c r="Z144" s="60" t="s">
        <v>2053</v>
      </c>
      <c r="AA144" s="60" t="s">
        <v>2054</v>
      </c>
      <c r="AB144" s="60" t="s">
        <v>2055</v>
      </c>
      <c r="AC144" s="60" t="s">
        <v>2056</v>
      </c>
      <c r="AD144" s="60" t="s">
        <v>2057</v>
      </c>
      <c r="AE144" s="60" t="s">
        <v>2058</v>
      </c>
      <c r="AF144" s="60" t="s">
        <v>2059</v>
      </c>
      <c r="AG144" s="60" t="s">
        <v>2060</v>
      </c>
      <c r="AH144" s="60" t="s">
        <v>2061</v>
      </c>
      <c r="AI144" s="60" t="s">
        <v>2062</v>
      </c>
      <c r="AJ144" s="60" t="s">
        <v>2063</v>
      </c>
      <c r="AK144" s="60" t="s">
        <v>2064</v>
      </c>
      <c r="AL144" s="60" t="s">
        <v>2065</v>
      </c>
      <c r="AM144" s="60"/>
    </row>
    <row r="145" spans="1:39" ht="15.75" customHeight="1" x14ac:dyDescent="0.25">
      <c r="A145" s="3"/>
      <c r="B145" s="3"/>
      <c r="C145" s="3"/>
      <c r="D145" s="3" t="s">
        <v>2067</v>
      </c>
      <c r="E145" s="3"/>
      <c r="F145" s="572">
        <f t="shared" ref="F145:AL152" si="19">SUMIF($D$16:$D$49,$D145,F$16:F$49)</f>
        <v>2.6131014791080082E-7</v>
      </c>
      <c r="G145" s="572">
        <f t="shared" si="19"/>
        <v>4.1898124909234098E-7</v>
      </c>
      <c r="H145" s="572">
        <f t="shared" si="19"/>
        <v>5.8111866987456702E-7</v>
      </c>
      <c r="I145" s="572">
        <f t="shared" si="19"/>
        <v>7.4840461171582204E-7</v>
      </c>
      <c r="J145" s="572">
        <f t="shared" si="19"/>
        <v>9.2201719908830302E-7</v>
      </c>
      <c r="K145" s="572">
        <f t="shared" si="19"/>
        <v>2.3052706395561522E-6</v>
      </c>
      <c r="L145" s="572">
        <f t="shared" si="19"/>
        <v>4.4136082214367739E-6</v>
      </c>
      <c r="M145" s="572">
        <f t="shared" si="19"/>
        <v>6.5946290152229707E-6</v>
      </c>
      <c r="N145" s="572">
        <f t="shared" si="19"/>
        <v>8.8565132283437395E-6</v>
      </c>
      <c r="O145" s="572">
        <f t="shared" si="19"/>
        <v>1.1509845363912519E-5</v>
      </c>
      <c r="P145" s="572">
        <f t="shared" si="19"/>
        <v>1.2569649352965852E-5</v>
      </c>
      <c r="Q145" s="572">
        <f t="shared" si="19"/>
        <v>1.3247157241468287E-5</v>
      </c>
      <c r="R145" s="572">
        <f t="shared" si="19"/>
        <v>1.7288683860185458E-5</v>
      </c>
      <c r="S145" s="572">
        <f t="shared" si="19"/>
        <v>2.1944993352741679E-5</v>
      </c>
      <c r="T145" s="572">
        <f t="shared" si="19"/>
        <v>2.3330088569784589E-5</v>
      </c>
      <c r="U145" s="572">
        <f t="shared" si="19"/>
        <v>2.4713909211711638E-5</v>
      </c>
      <c r="V145" s="572">
        <f t="shared" si="19"/>
        <v>2.6092421796137101E-5</v>
      </c>
      <c r="W145" s="572">
        <f t="shared" si="19"/>
        <v>2.7471143032289743E-5</v>
      </c>
      <c r="X145" s="572">
        <f t="shared" si="19"/>
        <v>2.8923391721581608E-5</v>
      </c>
      <c r="Y145" s="572">
        <f t="shared" si="19"/>
        <v>3.1802293449473981E-5</v>
      </c>
      <c r="Z145" s="572">
        <f t="shared" si="19"/>
        <v>3.5335146091815057E-5</v>
      </c>
      <c r="AA145" s="572">
        <f t="shared" si="19"/>
        <v>3.771742776819257E-5</v>
      </c>
      <c r="AB145" s="572">
        <f t="shared" si="19"/>
        <v>3.956228490669917E-5</v>
      </c>
      <c r="AC145" s="572">
        <f t="shared" si="19"/>
        <v>4.1703195498338638E-5</v>
      </c>
      <c r="AD145" s="572">
        <f t="shared" si="19"/>
        <v>4.4100162870311796E-5</v>
      </c>
      <c r="AE145" s="572">
        <f t="shared" si="19"/>
        <v>4.6478452427122152E-5</v>
      </c>
      <c r="AF145" s="572">
        <f t="shared" si="19"/>
        <v>4.9640579107816882E-5</v>
      </c>
      <c r="AG145" s="572">
        <f t="shared" si="19"/>
        <v>5.2781854283047353E-5</v>
      </c>
      <c r="AH145" s="572">
        <f t="shared" si="19"/>
        <v>5.6556118564366453E-5</v>
      </c>
      <c r="AI145" s="572">
        <f t="shared" si="19"/>
        <v>6.0255123344093292E-5</v>
      </c>
      <c r="AJ145" s="572">
        <f t="shared" si="19"/>
        <v>6.4760276546437561E-5</v>
      </c>
      <c r="AK145" s="572">
        <f t="shared" si="19"/>
        <v>6.8680952135492248E-5</v>
      </c>
      <c r="AL145" s="572">
        <f t="shared" si="19"/>
        <v>7.2638169923938342E-5</v>
      </c>
      <c r="AM145" s="572"/>
    </row>
    <row r="146" spans="1:39" ht="15.75" customHeight="1" x14ac:dyDescent="0.25">
      <c r="A146" s="3"/>
      <c r="B146" s="3"/>
      <c r="C146" s="3"/>
      <c r="D146" s="3" t="s">
        <v>2071</v>
      </c>
      <c r="E146" s="3"/>
      <c r="F146" s="572">
        <f t="shared" si="19"/>
        <v>2.0830797606810991E-6</v>
      </c>
      <c r="G146" s="572">
        <f t="shared" si="19"/>
        <v>5.1310290580785562E-6</v>
      </c>
      <c r="H146" s="572">
        <f t="shared" si="19"/>
        <v>9.8378592437783122E-6</v>
      </c>
      <c r="I146" s="572">
        <f t="shared" si="19"/>
        <v>1.8322801458537179E-3</v>
      </c>
      <c r="J146" s="572">
        <f t="shared" si="19"/>
        <v>4.8728700758485701E-3</v>
      </c>
      <c r="K146" s="572">
        <f t="shared" si="19"/>
        <v>1.032790790201873E-2</v>
      </c>
      <c r="L146" s="572">
        <f t="shared" si="19"/>
        <v>1.7579836613494621E-2</v>
      </c>
      <c r="M146" s="572">
        <f t="shared" si="19"/>
        <v>2.7162326207427513E-2</v>
      </c>
      <c r="N146" s="572">
        <f t="shared" si="19"/>
        <v>3.5568886265150208E-2</v>
      </c>
      <c r="O146" s="572">
        <f t="shared" si="19"/>
        <v>4.6624095576810541E-2</v>
      </c>
      <c r="P146" s="572">
        <f t="shared" si="19"/>
        <v>5.5812528268700944E-2</v>
      </c>
      <c r="Q146" s="572">
        <f t="shared" si="19"/>
        <v>6.8048370774473177E-2</v>
      </c>
      <c r="R146" s="572">
        <f t="shared" si="19"/>
        <v>8.2768776549837705E-2</v>
      </c>
      <c r="S146" s="572">
        <f t="shared" si="19"/>
        <v>9.8916356993009324E-2</v>
      </c>
      <c r="T146" s="572">
        <f t="shared" si="19"/>
        <v>0.11556638247448875</v>
      </c>
      <c r="U146" s="572">
        <f t="shared" si="19"/>
        <v>0.14526687204559344</v>
      </c>
      <c r="V146" s="572">
        <f t="shared" si="19"/>
        <v>0.1830632098883283</v>
      </c>
      <c r="W146" s="572">
        <f t="shared" si="19"/>
        <v>0.23174112319779269</v>
      </c>
      <c r="X146" s="572">
        <f t="shared" si="19"/>
        <v>0.28390434385766028</v>
      </c>
      <c r="Y146" s="572">
        <f t="shared" si="19"/>
        <v>0.27859971478622109</v>
      </c>
      <c r="Z146" s="572">
        <f t="shared" si="19"/>
        <v>0.32210415357467981</v>
      </c>
      <c r="AA146" s="572">
        <f t="shared" si="19"/>
        <v>0.39741648529784546</v>
      </c>
      <c r="AB146" s="572">
        <f t="shared" si="19"/>
        <v>0.48462378571764464</v>
      </c>
      <c r="AC146" s="572">
        <f t="shared" si="19"/>
        <v>0.55505444606933285</v>
      </c>
      <c r="AD146" s="572">
        <f t="shared" si="19"/>
        <v>0.70901828091073293</v>
      </c>
      <c r="AE146" s="572">
        <f t="shared" si="19"/>
        <v>0.70273870248002923</v>
      </c>
      <c r="AF146" s="572">
        <f t="shared" si="19"/>
        <v>0.83946166933053612</v>
      </c>
      <c r="AG146" s="572">
        <f t="shared" si="19"/>
        <v>0.7570571447987452</v>
      </c>
      <c r="AH146" s="572">
        <f t="shared" si="19"/>
        <v>0.89698849638908895</v>
      </c>
      <c r="AI146" s="572">
        <f t="shared" si="19"/>
        <v>0.87324940282913732</v>
      </c>
      <c r="AJ146" s="572">
        <f t="shared" si="19"/>
        <v>1.0488115191041207</v>
      </c>
      <c r="AK146" s="572">
        <f t="shared" si="19"/>
        <v>1.2052278275521806</v>
      </c>
      <c r="AL146" s="572">
        <f t="shared" si="19"/>
        <v>1.3102715128554596</v>
      </c>
      <c r="AM146" s="572"/>
    </row>
    <row r="147" spans="1:39" ht="15.75" customHeight="1" x14ac:dyDescent="0.25">
      <c r="A147" s="3"/>
      <c r="B147" s="3"/>
      <c r="C147" s="3"/>
      <c r="D147" s="3" t="s">
        <v>2072</v>
      </c>
      <c r="E147" s="3"/>
      <c r="F147" s="572">
        <f t="shared" si="19"/>
        <v>7.3244025391447861E-8</v>
      </c>
      <c r="G147" s="572">
        <f t="shared" si="19"/>
        <v>1.8041422594940989E-7</v>
      </c>
      <c r="H147" s="572">
        <f t="shared" si="19"/>
        <v>1.7305468372907699E-2</v>
      </c>
      <c r="I147" s="572">
        <f t="shared" si="19"/>
        <v>7.4925704686498354E-2</v>
      </c>
      <c r="J147" s="572">
        <f t="shared" si="19"/>
        <v>0.19437242912594571</v>
      </c>
      <c r="K147" s="572">
        <f t="shared" si="19"/>
        <v>0.42043990479246957</v>
      </c>
      <c r="L147" s="572">
        <f t="shared" si="19"/>
        <v>0.57077895030801606</v>
      </c>
      <c r="M147" s="572">
        <f t="shared" si="19"/>
        <v>0.71861230090887829</v>
      </c>
      <c r="N147" s="572">
        <f t="shared" si="19"/>
        <v>0.81537855364100809</v>
      </c>
      <c r="O147" s="572">
        <f t="shared" si="19"/>
        <v>0.91840454486573297</v>
      </c>
      <c r="P147" s="572">
        <f t="shared" si="19"/>
        <v>1.0138920699165108</v>
      </c>
      <c r="Q147" s="572">
        <f t="shared" si="19"/>
        <v>1.099921829375319</v>
      </c>
      <c r="R147" s="572">
        <f t="shared" si="19"/>
        <v>1.1430564572199273</v>
      </c>
      <c r="S147" s="572">
        <f t="shared" si="19"/>
        <v>1.1753179048102371</v>
      </c>
      <c r="T147" s="572">
        <f t="shared" si="19"/>
        <v>1.2037834327980339</v>
      </c>
      <c r="U147" s="572">
        <f t="shared" si="19"/>
        <v>1.2199597151399479</v>
      </c>
      <c r="V147" s="572">
        <f t="shared" si="19"/>
        <v>1.2551806216392776</v>
      </c>
      <c r="W147" s="572">
        <f t="shared" si="19"/>
        <v>1.2865539388910998</v>
      </c>
      <c r="X147" s="572">
        <f t="shared" si="19"/>
        <v>1.3225003277710556</v>
      </c>
      <c r="Y147" s="572">
        <f t="shared" si="19"/>
        <v>1.3420090290171782</v>
      </c>
      <c r="Z147" s="572">
        <f t="shared" si="19"/>
        <v>1.1707536276758914</v>
      </c>
      <c r="AA147" s="572">
        <f t="shared" si="19"/>
        <v>1.1184166495883394</v>
      </c>
      <c r="AB147" s="572">
        <f t="shared" si="19"/>
        <v>1.0675380710002969</v>
      </c>
      <c r="AC147" s="572">
        <f t="shared" si="19"/>
        <v>1.2752792732097329</v>
      </c>
      <c r="AD147" s="572">
        <f t="shared" si="19"/>
        <v>1.4140337681348132</v>
      </c>
      <c r="AE147" s="572">
        <f t="shared" si="19"/>
        <v>1.2991554189853241</v>
      </c>
      <c r="AF147" s="572">
        <f t="shared" si="19"/>
        <v>1.14971332178335</v>
      </c>
      <c r="AG147" s="572">
        <f t="shared" si="19"/>
        <v>0.94420100804189</v>
      </c>
      <c r="AH147" s="572">
        <f t="shared" si="19"/>
        <v>0.99854386556560959</v>
      </c>
      <c r="AI147" s="572">
        <f t="shared" si="19"/>
        <v>0.9510207126878697</v>
      </c>
      <c r="AJ147" s="572">
        <f t="shared" si="19"/>
        <v>1.038189858922832</v>
      </c>
      <c r="AK147" s="572">
        <f t="shared" si="19"/>
        <v>0.96212652090184858</v>
      </c>
      <c r="AL147" s="572">
        <f t="shared" si="19"/>
        <v>0.93120199342943333</v>
      </c>
      <c r="AM147" s="572"/>
    </row>
    <row r="148" spans="1:39" ht="15.75" customHeight="1" x14ac:dyDescent="0.25">
      <c r="A148" s="3"/>
      <c r="B148" s="3"/>
      <c r="C148" s="3"/>
      <c r="D148" s="3" t="s">
        <v>2075</v>
      </c>
      <c r="E148" s="3"/>
      <c r="F148" s="572">
        <f t="shared" si="19"/>
        <v>3.7240846201553312E-6</v>
      </c>
      <c r="G148" s="572">
        <f t="shared" si="19"/>
        <v>9.1731419801768085E-6</v>
      </c>
      <c r="H148" s="572">
        <f t="shared" si="19"/>
        <v>1.7587910456692571E-5</v>
      </c>
      <c r="I148" s="572">
        <f t="shared" si="19"/>
        <v>1.318694796414364E-3</v>
      </c>
      <c r="J148" s="572">
        <f t="shared" si="19"/>
        <v>3.6741288239772992E-3</v>
      </c>
      <c r="K148" s="572">
        <f t="shared" si="19"/>
        <v>9.1767881134462714E-3</v>
      </c>
      <c r="L148" s="572">
        <f t="shared" si="19"/>
        <v>1.7068477805663181E-2</v>
      </c>
      <c r="M148" s="572">
        <f t="shared" si="19"/>
        <v>2.8260174203529932E-2</v>
      </c>
      <c r="N148" s="572">
        <f t="shared" si="19"/>
        <v>4.0974398710055072E-2</v>
      </c>
      <c r="O148" s="572">
        <f t="shared" si="19"/>
        <v>5.8511730201415091E-2</v>
      </c>
      <c r="P148" s="572">
        <f t="shared" si="19"/>
        <v>7.2150615314809471E-2</v>
      </c>
      <c r="Q148" s="572">
        <f t="shared" si="19"/>
        <v>8.9370065998305867E-2</v>
      </c>
      <c r="R148" s="572">
        <f t="shared" si="19"/>
        <v>0.1087828117007227</v>
      </c>
      <c r="S148" s="572">
        <f t="shared" si="19"/>
        <v>0.1288072809836224</v>
      </c>
      <c r="T148" s="572">
        <f t="shared" si="19"/>
        <v>0.1472520743030476</v>
      </c>
      <c r="U148" s="572">
        <f t="shared" si="19"/>
        <v>0.17825234594206199</v>
      </c>
      <c r="V148" s="572">
        <f t="shared" si="19"/>
        <v>0.2118619930356147</v>
      </c>
      <c r="W148" s="572">
        <f t="shared" si="19"/>
        <v>0.2496507682504136</v>
      </c>
      <c r="X148" s="572">
        <f t="shared" si="19"/>
        <v>0.29254300276961481</v>
      </c>
      <c r="Y148" s="572">
        <f t="shared" si="19"/>
        <v>0.32544677330981392</v>
      </c>
      <c r="Z148" s="572">
        <f t="shared" si="19"/>
        <v>0.33349639492362038</v>
      </c>
      <c r="AA148" s="572">
        <f t="shared" si="19"/>
        <v>0.41388764324358202</v>
      </c>
      <c r="AB148" s="572">
        <f t="shared" si="19"/>
        <v>0.49996887401693491</v>
      </c>
      <c r="AC148" s="572">
        <f t="shared" si="19"/>
        <v>0.56678410628142217</v>
      </c>
      <c r="AD148" s="572">
        <f t="shared" si="19"/>
        <v>0.65334285974531225</v>
      </c>
      <c r="AE148" s="572">
        <f t="shared" si="19"/>
        <v>0.65542007120561996</v>
      </c>
      <c r="AF148" s="572">
        <f t="shared" si="19"/>
        <v>0.6741416043585654</v>
      </c>
      <c r="AG148" s="572">
        <f t="shared" si="19"/>
        <v>0.50404953133319441</v>
      </c>
      <c r="AH148" s="572">
        <f t="shared" si="19"/>
        <v>0.632093783017319</v>
      </c>
      <c r="AI148" s="572">
        <f t="shared" si="19"/>
        <v>0.55417967019470238</v>
      </c>
      <c r="AJ148" s="572">
        <f t="shared" si="19"/>
        <v>0.60943851858890463</v>
      </c>
      <c r="AK148" s="572">
        <f t="shared" si="19"/>
        <v>0.61154888168151578</v>
      </c>
      <c r="AL148" s="572">
        <f t="shared" si="19"/>
        <v>0.60870672771026657</v>
      </c>
      <c r="AM148" s="572"/>
    </row>
    <row r="149" spans="1:39" ht="15.75" customHeight="1" x14ac:dyDescent="0.25">
      <c r="A149" s="3"/>
      <c r="B149" s="3"/>
      <c r="C149" s="3"/>
      <c r="D149" s="3" t="s">
        <v>2076</v>
      </c>
      <c r="E149" s="3"/>
      <c r="F149" s="572">
        <f t="shared" si="19"/>
        <v>0</v>
      </c>
      <c r="G149" s="572">
        <f t="shared" si="19"/>
        <v>0</v>
      </c>
      <c r="H149" s="572">
        <f t="shared" si="19"/>
        <v>0</v>
      </c>
      <c r="I149" s="572">
        <f t="shared" si="19"/>
        <v>0</v>
      </c>
      <c r="J149" s="572">
        <f t="shared" si="19"/>
        <v>0</v>
      </c>
      <c r="K149" s="572">
        <f t="shared" si="19"/>
        <v>9.3036146234324768E-6</v>
      </c>
      <c r="L149" s="572">
        <f t="shared" si="19"/>
        <v>2.0863174107854798E-5</v>
      </c>
      <c r="M149" s="572">
        <f t="shared" si="19"/>
        <v>3.9285248301842602E-5</v>
      </c>
      <c r="N149" s="572">
        <f t="shared" si="19"/>
        <v>5.762449576632511E-5</v>
      </c>
      <c r="O149" s="572">
        <f t="shared" si="19"/>
        <v>8.2822795964448826E-5</v>
      </c>
      <c r="P149" s="572">
        <f t="shared" si="19"/>
        <v>1.080885242557396E-4</v>
      </c>
      <c r="Q149" s="572">
        <f t="shared" si="19"/>
        <v>1.313657066049777E-4</v>
      </c>
      <c r="R149" s="572">
        <f t="shared" si="19"/>
        <v>1.5256283657628139E-4</v>
      </c>
      <c r="S149" s="572">
        <f t="shared" si="19"/>
        <v>1.6903747560248619E-4</v>
      </c>
      <c r="T149" s="572">
        <f t="shared" si="19"/>
        <v>1.852557722608108E-4</v>
      </c>
      <c r="U149" s="572">
        <f t="shared" si="19"/>
        <v>2.0359600424150949E-4</v>
      </c>
      <c r="V149" s="572">
        <f t="shared" si="19"/>
        <v>2.1908588182021951E-4</v>
      </c>
      <c r="W149" s="572">
        <f t="shared" si="19"/>
        <v>2.3642555806566921E-4</v>
      </c>
      <c r="X149" s="572">
        <f t="shared" si="19"/>
        <v>2.5156468733034262E-4</v>
      </c>
      <c r="Y149" s="572">
        <f t="shared" si="19"/>
        <v>2.6969387346895552E-4</v>
      </c>
      <c r="Z149" s="572">
        <f t="shared" si="19"/>
        <v>2.9085115325012397E-4</v>
      </c>
      <c r="AA149" s="572">
        <f t="shared" si="19"/>
        <v>3.0973479855850972E-4</v>
      </c>
      <c r="AB149" s="572">
        <f t="shared" si="19"/>
        <v>3.330461144484584E-4</v>
      </c>
      <c r="AC149" s="572">
        <f t="shared" si="19"/>
        <v>3.5354917845680422E-4</v>
      </c>
      <c r="AD149" s="572">
        <f t="shared" si="19"/>
        <v>3.7605786330928268E-4</v>
      </c>
      <c r="AE149" s="572">
        <f t="shared" si="19"/>
        <v>4.0035265374947169E-4</v>
      </c>
      <c r="AF149" s="572">
        <f t="shared" si="19"/>
        <v>4.2387287872683359E-4</v>
      </c>
      <c r="AG149" s="572">
        <f t="shared" si="19"/>
        <v>4.5009971253825049E-4</v>
      </c>
      <c r="AH149" s="572">
        <f t="shared" si="19"/>
        <v>4.7619198320438021E-4</v>
      </c>
      <c r="AI149" s="572">
        <f t="shared" si="19"/>
        <v>5.0446574040930326E-4</v>
      </c>
      <c r="AJ149" s="572">
        <f t="shared" si="19"/>
        <v>5.3214126222195246E-4</v>
      </c>
      <c r="AK149" s="572">
        <f t="shared" si="19"/>
        <v>5.5199864253537782E-4</v>
      </c>
      <c r="AL149" s="572">
        <f t="shared" si="19"/>
        <v>5.6954536712445038E-4</v>
      </c>
      <c r="AM149" s="572"/>
    </row>
    <row r="150" spans="1:39" ht="15.75" customHeight="1" x14ac:dyDescent="0.25">
      <c r="A150" s="3"/>
      <c r="B150" s="3"/>
      <c r="C150" s="3"/>
      <c r="D150" s="3" t="s">
        <v>2077</v>
      </c>
      <c r="E150" s="3"/>
      <c r="F150" s="572">
        <f t="shared" si="19"/>
        <v>0</v>
      </c>
      <c r="G150" s="572">
        <f t="shared" si="19"/>
        <v>0</v>
      </c>
      <c r="H150" s="572">
        <f t="shared" si="19"/>
        <v>0</v>
      </c>
      <c r="I150" s="572">
        <f t="shared" si="19"/>
        <v>1.094958153041211E-3</v>
      </c>
      <c r="J150" s="572">
        <f t="shared" si="19"/>
        <v>3.3027020891527839E-3</v>
      </c>
      <c r="K150" s="572">
        <f t="shared" si="19"/>
        <v>5.4743631396104624E-3</v>
      </c>
      <c r="L150" s="572">
        <f t="shared" si="19"/>
        <v>6.8121740657830568E-3</v>
      </c>
      <c r="M150" s="572">
        <f t="shared" si="19"/>
        <v>8.3410670284168095E-3</v>
      </c>
      <c r="N150" s="572">
        <f t="shared" si="19"/>
        <v>9.9572823704379143E-3</v>
      </c>
      <c r="O150" s="572">
        <f t="shared" si="19"/>
        <v>1.168215537078551E-2</v>
      </c>
      <c r="P150" s="572">
        <f t="shared" si="19"/>
        <v>1.3329499808776166E-2</v>
      </c>
      <c r="Q150" s="572">
        <f t="shared" si="19"/>
        <v>1.492037867650221E-2</v>
      </c>
      <c r="R150" s="572">
        <f t="shared" si="19"/>
        <v>1.6438992374813818E-2</v>
      </c>
      <c r="S150" s="572">
        <f t="shared" si="19"/>
        <v>1.765665900123696E-2</v>
      </c>
      <c r="T150" s="572">
        <f t="shared" si="19"/>
        <v>1.8547113209606399E-2</v>
      </c>
      <c r="U150" s="572">
        <f t="shared" si="19"/>
        <v>1.9104708688916918E-2</v>
      </c>
      <c r="V150" s="572">
        <f t="shared" si="19"/>
        <v>1.9508098767425455E-2</v>
      </c>
      <c r="W150" s="572">
        <f t="shared" si="19"/>
        <v>1.9767586817745951E-2</v>
      </c>
      <c r="X150" s="572">
        <f t="shared" si="19"/>
        <v>1.993421451922665E-2</v>
      </c>
      <c r="Y150" s="572">
        <f t="shared" si="19"/>
        <v>2.0052653708937083E-2</v>
      </c>
      <c r="Z150" s="572">
        <f t="shared" si="19"/>
        <v>2.0231674925075455E-2</v>
      </c>
      <c r="AA150" s="572">
        <f t="shared" si="19"/>
        <v>2.0413129257294611E-2</v>
      </c>
      <c r="AB150" s="572">
        <f t="shared" si="19"/>
        <v>2.0583513151279879E-2</v>
      </c>
      <c r="AC150" s="572">
        <f t="shared" si="19"/>
        <v>2.0981077544913854E-2</v>
      </c>
      <c r="AD150" s="572">
        <f t="shared" si="19"/>
        <v>2.0336016869175022E-2</v>
      </c>
      <c r="AE150" s="572">
        <f t="shared" si="19"/>
        <v>1.8312702314863333E-2</v>
      </c>
      <c r="AF150" s="572">
        <f t="shared" si="19"/>
        <v>1.7082077012691398E-2</v>
      </c>
      <c r="AG150" s="572">
        <f t="shared" si="19"/>
        <v>1.5882723113878155E-2</v>
      </c>
      <c r="AH150" s="572">
        <f t="shared" si="19"/>
        <v>1.4583039348503281E-2</v>
      </c>
      <c r="AI150" s="572">
        <f t="shared" si="19"/>
        <v>1.3401369922684994E-2</v>
      </c>
      <c r="AJ150" s="572">
        <f t="shared" si="19"/>
        <v>1.2489218392264533E-2</v>
      </c>
      <c r="AK150" s="572">
        <f t="shared" si="19"/>
        <v>1.1546807967944583E-2</v>
      </c>
      <c r="AL150" s="572">
        <f t="shared" si="19"/>
        <v>1.0679883275602767E-2</v>
      </c>
      <c r="AM150" s="572"/>
    </row>
    <row r="151" spans="1:39" ht="15.75" customHeight="1" x14ac:dyDescent="0.25">
      <c r="A151" s="3"/>
      <c r="B151" s="3"/>
      <c r="C151" s="3"/>
      <c r="D151" s="3" t="s">
        <v>2078</v>
      </c>
      <c r="E151" s="3"/>
      <c r="F151" s="572">
        <f t="shared" si="19"/>
        <v>0</v>
      </c>
      <c r="G151" s="572">
        <f t="shared" si="19"/>
        <v>0</v>
      </c>
      <c r="H151" s="572">
        <f t="shared" si="19"/>
        <v>0</v>
      </c>
      <c r="I151" s="572">
        <f t="shared" si="19"/>
        <v>0</v>
      </c>
      <c r="J151" s="572">
        <f t="shared" si="19"/>
        <v>0</v>
      </c>
      <c r="K151" s="572">
        <f t="shared" si="19"/>
        <v>0</v>
      </c>
      <c r="L151" s="572">
        <f t="shared" si="19"/>
        <v>3.0469016963371702E-6</v>
      </c>
      <c r="M151" s="572">
        <f t="shared" si="19"/>
        <v>8.6518110182798053E-6</v>
      </c>
      <c r="N151" s="572">
        <f t="shared" si="19"/>
        <v>1.844517591183488E-5</v>
      </c>
      <c r="O151" s="572">
        <f t="shared" si="19"/>
        <v>3.5786809654347221E-5</v>
      </c>
      <c r="P151" s="572">
        <f t="shared" si="19"/>
        <v>1.651955955267768E-4</v>
      </c>
      <c r="Q151" s="572">
        <f t="shared" si="19"/>
        <v>4.1358921209775327E-4</v>
      </c>
      <c r="R151" s="572">
        <f t="shared" si="19"/>
        <v>8.1173569754559188E-4</v>
      </c>
      <c r="S151" s="572">
        <f t="shared" si="19"/>
        <v>1.3502779681188589E-3</v>
      </c>
      <c r="T151" s="572">
        <f t="shared" si="19"/>
        <v>2.0675901294666841E-3</v>
      </c>
      <c r="U151" s="572">
        <f t="shared" si="19"/>
        <v>3.080495081027423E-3</v>
      </c>
      <c r="V151" s="572">
        <f t="shared" si="19"/>
        <v>5.012036933085804E-3</v>
      </c>
      <c r="W151" s="572">
        <f t="shared" si="19"/>
        <v>7.1895367644093308E-3</v>
      </c>
      <c r="X151" s="572">
        <f t="shared" si="19"/>
        <v>9.4723877763723281E-3</v>
      </c>
      <c r="Y151" s="572">
        <f t="shared" si="19"/>
        <v>1.2203848200017841E-2</v>
      </c>
      <c r="Z151" s="572">
        <f t="shared" si="19"/>
        <v>1.7058702289811462E-2</v>
      </c>
      <c r="AA151" s="572">
        <f t="shared" si="19"/>
        <v>3.0748644235615671E-2</v>
      </c>
      <c r="AB151" s="572">
        <f t="shared" si="19"/>
        <v>3.2645818495296318E-2</v>
      </c>
      <c r="AC151" s="572">
        <f t="shared" si="19"/>
        <v>4.8837634649829952E-2</v>
      </c>
      <c r="AD151" s="572">
        <f t="shared" si="19"/>
        <v>6.0687208721937488E-2</v>
      </c>
      <c r="AE151" s="572">
        <f t="shared" si="19"/>
        <v>7.3553730118908534E-2</v>
      </c>
      <c r="AF151" s="572">
        <f t="shared" si="19"/>
        <v>8.4213997171858915E-2</v>
      </c>
      <c r="AG151" s="572">
        <f t="shared" si="19"/>
        <v>8.0964713183116183E-2</v>
      </c>
      <c r="AH151" s="572">
        <f t="shared" si="19"/>
        <v>9.7705256137823007E-2</v>
      </c>
      <c r="AI151" s="572">
        <f t="shared" si="19"/>
        <v>0.1037901447480068</v>
      </c>
      <c r="AJ151" s="572">
        <f t="shared" si="19"/>
        <v>0.1381303149748907</v>
      </c>
      <c r="AK151" s="572">
        <f t="shared" si="19"/>
        <v>0.16864826115628431</v>
      </c>
      <c r="AL151" s="572">
        <f t="shared" si="19"/>
        <v>0.1885012873241986</v>
      </c>
      <c r="AM151" s="572"/>
    </row>
    <row r="152" spans="1:39" ht="15.75" customHeight="1" x14ac:dyDescent="0.25">
      <c r="A152" s="3"/>
      <c r="B152" s="3"/>
      <c r="C152" s="3"/>
      <c r="D152" s="3" t="s">
        <v>2079</v>
      </c>
      <c r="E152" s="3"/>
      <c r="F152" s="572">
        <f t="shared" si="19"/>
        <v>4.7799061303962012E-3</v>
      </c>
      <c r="G152" s="572">
        <f t="shared" si="19"/>
        <v>1.0063064170992987E-2</v>
      </c>
      <c r="H152" s="572">
        <f t="shared" si="19"/>
        <v>1.0121952622423285E-2</v>
      </c>
      <c r="I152" s="572">
        <f t="shared" si="19"/>
        <v>1.0277569196453418E-2</v>
      </c>
      <c r="J152" s="572">
        <f t="shared" si="19"/>
        <v>1.1054365180283189E-2</v>
      </c>
      <c r="K152" s="572">
        <f t="shared" si="19"/>
        <v>2.4079612325935897E-2</v>
      </c>
      <c r="L152" s="572">
        <f t="shared" si="19"/>
        <v>3.9032626489515901E-2</v>
      </c>
      <c r="M152" s="572">
        <f t="shared" si="19"/>
        <v>4.8525526869761776E-2</v>
      </c>
      <c r="N152" s="572">
        <f t="shared" si="19"/>
        <v>6.1510154373347108E-2</v>
      </c>
      <c r="O152" s="572">
        <f t="shared" si="19"/>
        <v>6.521356967274583E-2</v>
      </c>
      <c r="P152" s="572">
        <f t="shared" si="19"/>
        <v>6.8124855701185302E-2</v>
      </c>
      <c r="Q152" s="572">
        <f t="shared" si="19"/>
        <v>7.3909174482029411E-2</v>
      </c>
      <c r="R152" s="572">
        <f t="shared" si="19"/>
        <v>9.1898280694211548E-2</v>
      </c>
      <c r="S152" s="572">
        <f t="shared" si="19"/>
        <v>0.11218616720953045</v>
      </c>
      <c r="T152" s="572">
        <f t="shared" si="19"/>
        <v>0.12081233334864004</v>
      </c>
      <c r="U152" s="572">
        <f t="shared" si="19"/>
        <v>0.12962208341834908</v>
      </c>
      <c r="V152" s="572">
        <f t="shared" si="19"/>
        <v>0.13639499854822631</v>
      </c>
      <c r="W152" s="572">
        <f t="shared" si="19"/>
        <v>0.14443914301242577</v>
      </c>
      <c r="X152" s="572">
        <f t="shared" si="19"/>
        <v>0.15200494418124483</v>
      </c>
      <c r="Y152" s="572">
        <f t="shared" si="19"/>
        <v>0.16350602825587535</v>
      </c>
      <c r="Z152" s="572">
        <f t="shared" si="19"/>
        <v>0.1761068664680159</v>
      </c>
      <c r="AA152" s="572">
        <f t="shared" si="19"/>
        <v>0.18880506808610562</v>
      </c>
      <c r="AB152" s="572">
        <f t="shared" si="19"/>
        <v>0.20129233643355085</v>
      </c>
      <c r="AC152" s="572">
        <f t="shared" si="19"/>
        <v>0.21359172065041793</v>
      </c>
      <c r="AD152" s="572">
        <f t="shared" ref="AD152:AL152" si="20">SUMIF($D$16:$D$49,$D152,AD$16:AD$49)</f>
        <v>0.22481759650762301</v>
      </c>
      <c r="AE152" s="572">
        <f t="shared" si="20"/>
        <v>0.24760162556363813</v>
      </c>
      <c r="AF152" s="572">
        <f t="shared" si="20"/>
        <v>0.26443392305588692</v>
      </c>
      <c r="AG152" s="572">
        <f t="shared" si="20"/>
        <v>0.28314448226679401</v>
      </c>
      <c r="AH152" s="572">
        <f t="shared" si="20"/>
        <v>0.29128932994965445</v>
      </c>
      <c r="AI152" s="572">
        <f t="shared" si="20"/>
        <v>0.29276460851793995</v>
      </c>
      <c r="AJ152" s="572">
        <f t="shared" si="20"/>
        <v>0.29282951913359256</v>
      </c>
      <c r="AK152" s="572">
        <f t="shared" si="20"/>
        <v>0.29980647056303189</v>
      </c>
      <c r="AL152" s="572">
        <f t="shared" si="20"/>
        <v>0.30845442602229906</v>
      </c>
      <c r="AM152" s="572"/>
    </row>
    <row r="153" spans="1:39" ht="15.75" customHeight="1" x14ac:dyDescent="0.25">
      <c r="A153" s="3"/>
      <c r="B153" s="3"/>
      <c r="C153" s="3"/>
      <c r="D153" s="3" t="s">
        <v>2083</v>
      </c>
      <c r="E153" s="3"/>
      <c r="F153" s="572">
        <f t="shared" ref="F153:AL154" si="21">SUMIF($D$16:$D$49,$D153,F$16:F$49)</f>
        <v>0</v>
      </c>
      <c r="G153" s="572">
        <f t="shared" si="21"/>
        <v>0</v>
      </c>
      <c r="H153" s="572">
        <f t="shared" si="21"/>
        <v>0</v>
      </c>
      <c r="I153" s="572">
        <f t="shared" si="21"/>
        <v>0</v>
      </c>
      <c r="J153" s="572">
        <f t="shared" si="21"/>
        <v>4.4884165832836251E-7</v>
      </c>
      <c r="K153" s="572">
        <f t="shared" si="21"/>
        <v>1.4425854706833569E-6</v>
      </c>
      <c r="L153" s="572">
        <f t="shared" si="21"/>
        <v>1.303903514699833E-5</v>
      </c>
      <c r="M153" s="572">
        <f t="shared" si="21"/>
        <v>3.5782524872607343E-5</v>
      </c>
      <c r="N153" s="572">
        <f t="shared" si="21"/>
        <v>7.034657170195606E-5</v>
      </c>
      <c r="O153" s="572">
        <f t="shared" si="21"/>
        <v>1.1730201498121869E-4</v>
      </c>
      <c r="P153" s="572">
        <f t="shared" si="21"/>
        <v>1.77164732379384E-4</v>
      </c>
      <c r="Q153" s="572">
        <f t="shared" si="21"/>
        <v>2.3890872183542661E-4</v>
      </c>
      <c r="R153" s="572">
        <f t="shared" si="21"/>
        <v>2.9247235308203383E-4</v>
      </c>
      <c r="S153" s="572">
        <f t="shared" si="21"/>
        <v>3.3651268041300341E-4</v>
      </c>
      <c r="T153" s="572">
        <f t="shared" si="21"/>
        <v>3.7015761635671358E-4</v>
      </c>
      <c r="U153" s="572">
        <f t="shared" si="21"/>
        <v>3.9282960897999531E-4</v>
      </c>
      <c r="V153" s="572">
        <f t="shared" si="21"/>
        <v>4.033571200107217E-4</v>
      </c>
      <c r="W153" s="572">
        <f t="shared" si="21"/>
        <v>4.1350030420114872E-4</v>
      </c>
      <c r="X153" s="572">
        <f t="shared" si="21"/>
        <v>4.2435406911593812E-4</v>
      </c>
      <c r="Y153" s="572">
        <f t="shared" si="21"/>
        <v>4.3680144684259792E-4</v>
      </c>
      <c r="Z153" s="572">
        <f t="shared" si="21"/>
        <v>4.508120476563058E-4</v>
      </c>
      <c r="AA153" s="572">
        <f t="shared" si="21"/>
        <v>4.6517504069101248E-4</v>
      </c>
      <c r="AB153" s="572">
        <f t="shared" si="21"/>
        <v>4.7968976394474697E-4</v>
      </c>
      <c r="AC153" s="572">
        <f t="shared" si="21"/>
        <v>4.9384717915311894E-4</v>
      </c>
      <c r="AD153" s="572">
        <f t="shared" si="21"/>
        <v>5.0801962985677228E-4</v>
      </c>
      <c r="AE153" s="572">
        <f t="shared" si="21"/>
        <v>5.2206059846655298E-4</v>
      </c>
      <c r="AF153" s="572">
        <f t="shared" si="21"/>
        <v>5.3563902659882739E-4</v>
      </c>
      <c r="AG153" s="572">
        <f t="shared" si="21"/>
        <v>5.5035359376891116E-4</v>
      </c>
      <c r="AH153" s="572">
        <f t="shared" si="21"/>
        <v>5.6542619143398667E-4</v>
      </c>
      <c r="AI153" s="572">
        <f t="shared" si="21"/>
        <v>5.8101252390705045E-4</v>
      </c>
      <c r="AJ153" s="572">
        <f t="shared" si="21"/>
        <v>5.4511363290616125E-4</v>
      </c>
      <c r="AK153" s="572">
        <f t="shared" si="21"/>
        <v>5.0178884012394391E-4</v>
      </c>
      <c r="AL153" s="572">
        <f t="shared" si="21"/>
        <v>4.5545000749478819E-4</v>
      </c>
      <c r="AM153" s="572"/>
    </row>
    <row r="154" spans="1:39" ht="15.75" customHeight="1" x14ac:dyDescent="0.25">
      <c r="A154" s="3"/>
      <c r="B154" s="3"/>
      <c r="C154" s="3"/>
      <c r="D154" s="3" t="s">
        <v>2082</v>
      </c>
      <c r="E154" s="3"/>
      <c r="F154" s="572">
        <f t="shared" si="21"/>
        <v>0</v>
      </c>
      <c r="G154" s="572">
        <f t="shared" si="21"/>
        <v>0</v>
      </c>
      <c r="H154" s="572">
        <f t="shared" si="21"/>
        <v>0</v>
      </c>
      <c r="I154" s="572">
        <f t="shared" si="21"/>
        <v>0</v>
      </c>
      <c r="J154" s="572">
        <f t="shared" si="21"/>
        <v>1.730075103327022E-6</v>
      </c>
      <c r="K154" s="572">
        <f t="shared" si="21"/>
        <v>8.4656947013083059E-3</v>
      </c>
      <c r="L154" s="572">
        <f t="shared" si="21"/>
        <v>2.0348098606656748E-2</v>
      </c>
      <c r="M154" s="572">
        <f t="shared" si="21"/>
        <v>2.3912308190053948E-2</v>
      </c>
      <c r="N154" s="572">
        <f t="shared" si="21"/>
        <v>2.4380728978988422E-2</v>
      </c>
      <c r="O154" s="572">
        <f t="shared" si="21"/>
        <v>2.4892452553644376E-2</v>
      </c>
      <c r="P154" s="572">
        <f t="shared" si="21"/>
        <v>1.9782892878697736E-2</v>
      </c>
      <c r="Q154" s="572">
        <f t="shared" si="21"/>
        <v>1.4496324674131257E-2</v>
      </c>
      <c r="R154" s="572">
        <f t="shared" si="21"/>
        <v>8.9657137557472757E-3</v>
      </c>
      <c r="S154" s="572">
        <f t="shared" si="21"/>
        <v>3.1023941639133279E-3</v>
      </c>
      <c r="T154" s="572">
        <f t="shared" si="21"/>
        <v>3.1572046912755293E-3</v>
      </c>
      <c r="U154" s="572">
        <f t="shared" si="21"/>
        <v>2.6495933988572584E-3</v>
      </c>
      <c r="V154" s="572">
        <f t="shared" si="21"/>
        <v>2.1159046653234301E-3</v>
      </c>
      <c r="W154" s="572">
        <f t="shared" si="21"/>
        <v>1.5642516166701867E-3</v>
      </c>
      <c r="X154" s="572">
        <f t="shared" si="21"/>
        <v>9.9538097420498938E-4</v>
      </c>
      <c r="Y154" s="572">
        <f t="shared" si="21"/>
        <v>4.0866952997223088E-4</v>
      </c>
      <c r="Z154" s="572">
        <f t="shared" si="21"/>
        <v>4.0949655637933401E-4</v>
      </c>
      <c r="AA154" s="572">
        <f t="shared" si="21"/>
        <v>4.102413353428481E-4</v>
      </c>
      <c r="AB154" s="572">
        <f t="shared" si="21"/>
        <v>4.1069513067581867E-4</v>
      </c>
      <c r="AC154" s="572">
        <f t="shared" si="21"/>
        <v>4.1049918227609259E-4</v>
      </c>
      <c r="AD154" s="572">
        <f t="shared" si="21"/>
        <v>4.1000958621623801E-4</v>
      </c>
      <c r="AE154" s="572">
        <f t="shared" si="21"/>
        <v>4.0906078520429898E-4</v>
      </c>
      <c r="AF154" s="572">
        <f t="shared" si="21"/>
        <v>4.0747959881769658E-4</v>
      </c>
      <c r="AG154" s="572">
        <f t="shared" si="21"/>
        <v>4.0646834581289058E-4</v>
      </c>
      <c r="AH154" s="572">
        <f t="shared" si="21"/>
        <v>4.0545808953945921E-4</v>
      </c>
      <c r="AI154" s="572">
        <f t="shared" si="21"/>
        <v>4.0449205830880489E-4</v>
      </c>
      <c r="AJ154" s="572">
        <f t="shared" si="21"/>
        <v>4.0837034701596048E-4</v>
      </c>
      <c r="AK154" s="572">
        <f t="shared" si="21"/>
        <v>4.0785503540037322E-4</v>
      </c>
      <c r="AL154" s="572">
        <f t="shared" si="21"/>
        <v>4.0573062202426801E-4</v>
      </c>
      <c r="AM154" s="572"/>
    </row>
    <row r="155" spans="1:39" ht="15.75" customHeight="1" x14ac:dyDescent="0.25">
      <c r="A155" s="3"/>
      <c r="B155" s="3"/>
      <c r="C155" s="3"/>
      <c r="D155" s="3"/>
      <c r="E155" s="3"/>
      <c r="F155" s="572"/>
      <c r="G155" s="572"/>
      <c r="H155" s="572"/>
      <c r="I155" s="572"/>
      <c r="J155" s="572"/>
      <c r="K155" s="572"/>
      <c r="L155" s="572"/>
      <c r="M155" s="572"/>
      <c r="N155" s="572"/>
      <c r="O155" s="572"/>
      <c r="P155" s="572"/>
      <c r="Q155" s="572"/>
      <c r="R155" s="572"/>
      <c r="S155" s="572"/>
      <c r="T155" s="572"/>
      <c r="U155" s="572"/>
      <c r="V155" s="572"/>
      <c r="W155" s="572"/>
      <c r="X155" s="572"/>
      <c r="Y155" s="572"/>
      <c r="Z155" s="572"/>
      <c r="AA155" s="572"/>
      <c r="AB155" s="572"/>
      <c r="AC155" s="572"/>
      <c r="AD155" s="572"/>
      <c r="AE155" s="572"/>
      <c r="AF155" s="572"/>
      <c r="AG155" s="572"/>
      <c r="AH155" s="572"/>
      <c r="AI155" s="572"/>
      <c r="AJ155" s="572"/>
      <c r="AK155" s="572"/>
      <c r="AL155" s="572"/>
      <c r="AM155" s="572"/>
    </row>
    <row r="156" spans="1:39" ht="15.75" customHeight="1" x14ac:dyDescent="0.25">
      <c r="A156" s="3"/>
      <c r="B156" s="3"/>
      <c r="C156" s="3"/>
      <c r="D156" s="3" t="s">
        <v>3</v>
      </c>
      <c r="E156" s="3"/>
      <c r="F156" s="572">
        <f t="shared" ref="F156:AL156" si="22">F145</f>
        <v>2.6131014791080082E-7</v>
      </c>
      <c r="G156" s="572">
        <f t="shared" si="22"/>
        <v>4.1898124909234098E-7</v>
      </c>
      <c r="H156" s="572">
        <f t="shared" si="22"/>
        <v>5.8111866987456702E-7</v>
      </c>
      <c r="I156" s="572">
        <f t="shared" si="22"/>
        <v>7.4840461171582204E-7</v>
      </c>
      <c r="J156" s="572">
        <f t="shared" si="22"/>
        <v>9.2201719908830302E-7</v>
      </c>
      <c r="K156" s="572">
        <f t="shared" si="22"/>
        <v>2.3052706395561522E-6</v>
      </c>
      <c r="L156" s="572">
        <f t="shared" si="22"/>
        <v>4.4136082214367739E-6</v>
      </c>
      <c r="M156" s="572">
        <f t="shared" si="22"/>
        <v>6.5946290152229707E-6</v>
      </c>
      <c r="N156" s="572">
        <f t="shared" si="22"/>
        <v>8.8565132283437395E-6</v>
      </c>
      <c r="O156" s="572">
        <f t="shared" si="22"/>
        <v>1.1509845363912519E-5</v>
      </c>
      <c r="P156" s="572">
        <f t="shared" si="22"/>
        <v>1.2569649352965852E-5</v>
      </c>
      <c r="Q156" s="572">
        <f t="shared" si="22"/>
        <v>1.3247157241468287E-5</v>
      </c>
      <c r="R156" s="572">
        <f t="shared" si="22"/>
        <v>1.7288683860185458E-5</v>
      </c>
      <c r="S156" s="572">
        <f t="shared" si="22"/>
        <v>2.1944993352741679E-5</v>
      </c>
      <c r="T156" s="572">
        <f t="shared" si="22"/>
        <v>2.3330088569784589E-5</v>
      </c>
      <c r="U156" s="572">
        <f t="shared" si="22"/>
        <v>2.4713909211711638E-5</v>
      </c>
      <c r="V156" s="572">
        <f t="shared" si="22"/>
        <v>2.6092421796137101E-5</v>
      </c>
      <c r="W156" s="572">
        <f t="shared" si="22"/>
        <v>2.7471143032289743E-5</v>
      </c>
      <c r="X156" s="572">
        <f t="shared" si="22"/>
        <v>2.8923391721581608E-5</v>
      </c>
      <c r="Y156" s="572">
        <f t="shared" si="22"/>
        <v>3.1802293449473981E-5</v>
      </c>
      <c r="Z156" s="572">
        <f t="shared" si="22"/>
        <v>3.5335146091815057E-5</v>
      </c>
      <c r="AA156" s="572">
        <f t="shared" si="22"/>
        <v>3.771742776819257E-5</v>
      </c>
      <c r="AB156" s="572">
        <f t="shared" si="22"/>
        <v>3.956228490669917E-5</v>
      </c>
      <c r="AC156" s="572">
        <f t="shared" si="22"/>
        <v>4.1703195498338638E-5</v>
      </c>
      <c r="AD156" s="572">
        <f t="shared" si="22"/>
        <v>4.4100162870311796E-5</v>
      </c>
      <c r="AE156" s="572">
        <f t="shared" si="22"/>
        <v>4.6478452427122152E-5</v>
      </c>
      <c r="AF156" s="572">
        <f t="shared" si="22"/>
        <v>4.9640579107816882E-5</v>
      </c>
      <c r="AG156" s="572">
        <f t="shared" si="22"/>
        <v>5.2781854283047353E-5</v>
      </c>
      <c r="AH156" s="572">
        <f t="shared" si="22"/>
        <v>5.6556118564366453E-5</v>
      </c>
      <c r="AI156" s="572">
        <f t="shared" si="22"/>
        <v>6.0255123344093292E-5</v>
      </c>
      <c r="AJ156" s="572">
        <f t="shared" si="22"/>
        <v>6.4760276546437561E-5</v>
      </c>
      <c r="AK156" s="572">
        <f t="shared" si="22"/>
        <v>6.8680952135492248E-5</v>
      </c>
      <c r="AL156" s="572">
        <f t="shared" si="22"/>
        <v>7.2638169923938342E-5</v>
      </c>
      <c r="AM156" s="572"/>
    </row>
    <row r="157" spans="1:39" ht="15.75" customHeight="1" x14ac:dyDescent="0.25">
      <c r="A157" s="3"/>
      <c r="B157" s="3"/>
      <c r="C157" s="3"/>
      <c r="D157" s="3" t="s">
        <v>2070</v>
      </c>
      <c r="E157" s="3"/>
      <c r="F157" s="572">
        <f t="shared" ref="F157:AL157" si="23">SUM(F146:F152)</f>
        <v>4.7857865388024291E-3</v>
      </c>
      <c r="G157" s="572">
        <f t="shared" si="23"/>
        <v>1.0077548756257193E-2</v>
      </c>
      <c r="H157" s="572">
        <f t="shared" si="23"/>
        <v>2.7454846765031453E-2</v>
      </c>
      <c r="I157" s="572">
        <f t="shared" si="23"/>
        <v>8.9449206978261073E-2</v>
      </c>
      <c r="J157" s="572">
        <f t="shared" si="23"/>
        <v>0.21727649529520757</v>
      </c>
      <c r="K157" s="572">
        <f t="shared" si="23"/>
        <v>0.46950787988810433</v>
      </c>
      <c r="L157" s="572">
        <f t="shared" si="23"/>
        <v>0.6512959753582771</v>
      </c>
      <c r="M157" s="572">
        <f t="shared" si="23"/>
        <v>0.83094933227733447</v>
      </c>
      <c r="N157" s="572">
        <f t="shared" si="23"/>
        <v>0.96346534503167647</v>
      </c>
      <c r="O157" s="572">
        <f t="shared" si="23"/>
        <v>1.1005547052931088</v>
      </c>
      <c r="P157" s="572">
        <f t="shared" si="23"/>
        <v>1.2235828531297652</v>
      </c>
      <c r="Q157" s="572">
        <f t="shared" si="23"/>
        <v>1.3467147742253325</v>
      </c>
      <c r="R157" s="572">
        <f t="shared" si="23"/>
        <v>1.4439096170736352</v>
      </c>
      <c r="S157" s="572">
        <f t="shared" si="23"/>
        <v>1.534403684441358</v>
      </c>
      <c r="T157" s="572">
        <f t="shared" si="23"/>
        <v>1.6082141820355442</v>
      </c>
      <c r="U157" s="572">
        <f t="shared" si="23"/>
        <v>1.6954898163201382</v>
      </c>
      <c r="V157" s="572">
        <f t="shared" si="23"/>
        <v>1.8112400446937782</v>
      </c>
      <c r="W157" s="572">
        <f t="shared" si="23"/>
        <v>1.9395785224919528</v>
      </c>
      <c r="X157" s="572">
        <f t="shared" si="23"/>
        <v>2.0806107855625049</v>
      </c>
      <c r="Y157" s="572">
        <f t="shared" si="23"/>
        <v>2.1420877411515127</v>
      </c>
      <c r="Z157" s="572">
        <f t="shared" si="23"/>
        <v>2.0400422710103445</v>
      </c>
      <c r="AA157" s="572">
        <f t="shared" si="23"/>
        <v>2.1699973545073417</v>
      </c>
      <c r="AB157" s="572">
        <f t="shared" si="23"/>
        <v>2.306985444929452</v>
      </c>
      <c r="AC157" s="572">
        <f t="shared" si="23"/>
        <v>2.6808818075841065</v>
      </c>
      <c r="AD157" s="572">
        <f t="shared" si="23"/>
        <v>3.0826117887529034</v>
      </c>
      <c r="AE157" s="572">
        <f t="shared" si="23"/>
        <v>2.9971826033221327</v>
      </c>
      <c r="AF157" s="572">
        <f t="shared" si="23"/>
        <v>3.0294704655916154</v>
      </c>
      <c r="AG157" s="572">
        <f t="shared" si="23"/>
        <v>2.5857497024501561</v>
      </c>
      <c r="AH157" s="572">
        <f t="shared" si="23"/>
        <v>2.9316799623912022</v>
      </c>
      <c r="AI157" s="572">
        <f t="shared" si="23"/>
        <v>2.7889103746407504</v>
      </c>
      <c r="AJ157" s="572">
        <f t="shared" si="23"/>
        <v>3.140421090378827</v>
      </c>
      <c r="AK157" s="572">
        <f t="shared" si="23"/>
        <v>3.2594567684653413</v>
      </c>
      <c r="AL157" s="572">
        <f t="shared" si="23"/>
        <v>3.3583853759843847</v>
      </c>
      <c r="AM157" s="572"/>
    </row>
    <row r="158" spans="1:39" ht="15.75" customHeight="1" x14ac:dyDescent="0.25">
      <c r="A158" s="3"/>
      <c r="B158" s="3"/>
      <c r="C158" s="3"/>
      <c r="D158" s="3" t="s">
        <v>2081</v>
      </c>
      <c r="E158" s="3"/>
      <c r="F158" s="572">
        <f t="shared" ref="F158:AL158" si="24">SUM(F153:F154)</f>
        <v>0</v>
      </c>
      <c r="G158" s="572">
        <f t="shared" si="24"/>
        <v>0</v>
      </c>
      <c r="H158" s="572">
        <f t="shared" si="24"/>
        <v>0</v>
      </c>
      <c r="I158" s="572">
        <f t="shared" si="24"/>
        <v>0</v>
      </c>
      <c r="J158" s="572">
        <f t="shared" si="24"/>
        <v>2.1789167616553847E-6</v>
      </c>
      <c r="K158" s="572">
        <f t="shared" si="24"/>
        <v>8.467137286778989E-3</v>
      </c>
      <c r="L158" s="572">
        <f t="shared" si="24"/>
        <v>2.0361137641803747E-2</v>
      </c>
      <c r="M158" s="572">
        <f t="shared" si="24"/>
        <v>2.3948090714926557E-2</v>
      </c>
      <c r="N158" s="572">
        <f t="shared" si="24"/>
        <v>2.4451075550690378E-2</v>
      </c>
      <c r="O158" s="572">
        <f t="shared" si="24"/>
        <v>2.5009754568625593E-2</v>
      </c>
      <c r="P158" s="572">
        <f t="shared" si="24"/>
        <v>1.9960057611077119E-2</v>
      </c>
      <c r="Q158" s="572">
        <f t="shared" si="24"/>
        <v>1.4735233395966683E-2</v>
      </c>
      <c r="R158" s="572">
        <f t="shared" si="24"/>
        <v>9.25818610882931E-3</v>
      </c>
      <c r="S158" s="572">
        <f t="shared" si="24"/>
        <v>3.4389068443263313E-3</v>
      </c>
      <c r="T158" s="572">
        <f t="shared" si="24"/>
        <v>3.5273623076322426E-3</v>
      </c>
      <c r="U158" s="572">
        <f t="shared" si="24"/>
        <v>3.0424230078372537E-3</v>
      </c>
      <c r="V158" s="572">
        <f t="shared" si="24"/>
        <v>2.5192617853341519E-3</v>
      </c>
      <c r="W158" s="572">
        <f t="shared" si="24"/>
        <v>1.9777519208713356E-3</v>
      </c>
      <c r="X158" s="572">
        <f t="shared" si="24"/>
        <v>1.4197350433209275E-3</v>
      </c>
      <c r="Y158" s="572">
        <f t="shared" si="24"/>
        <v>8.4547097681482875E-4</v>
      </c>
      <c r="Z158" s="572">
        <f t="shared" si="24"/>
        <v>8.6030860403563982E-4</v>
      </c>
      <c r="AA158" s="572">
        <f t="shared" si="24"/>
        <v>8.7541637603386058E-4</v>
      </c>
      <c r="AB158" s="572">
        <f t="shared" si="24"/>
        <v>8.903848946205657E-4</v>
      </c>
      <c r="AC158" s="572">
        <f t="shared" si="24"/>
        <v>9.0434636142921153E-4</v>
      </c>
      <c r="AD158" s="572">
        <f t="shared" si="24"/>
        <v>9.1802921607301029E-4</v>
      </c>
      <c r="AE158" s="572">
        <f t="shared" si="24"/>
        <v>9.3112138367085196E-4</v>
      </c>
      <c r="AF158" s="572">
        <f t="shared" si="24"/>
        <v>9.4311862541652397E-4</v>
      </c>
      <c r="AG158" s="572">
        <f t="shared" si="24"/>
        <v>9.5682193958180175E-4</v>
      </c>
      <c r="AH158" s="572">
        <f t="shared" si="24"/>
        <v>9.7088428097344588E-4</v>
      </c>
      <c r="AI158" s="572">
        <f t="shared" si="24"/>
        <v>9.8550458221585528E-4</v>
      </c>
      <c r="AJ158" s="572">
        <f t="shared" si="24"/>
        <v>9.5348397992212172E-4</v>
      </c>
      <c r="AK158" s="572">
        <f t="shared" si="24"/>
        <v>9.0964387552431713E-4</v>
      </c>
      <c r="AL158" s="572">
        <f t="shared" si="24"/>
        <v>8.6118062951905626E-4</v>
      </c>
      <c r="AM158" s="572"/>
    </row>
    <row r="159" spans="1:39" ht="15.75" customHeight="1" x14ac:dyDescent="0.25">
      <c r="A159" s="3"/>
      <c r="B159" s="3"/>
      <c r="C159" s="3"/>
      <c r="D159" s="3"/>
      <c r="E159" s="3"/>
      <c r="F159" s="572"/>
      <c r="G159" s="572"/>
      <c r="H159" s="572"/>
      <c r="I159" s="572"/>
      <c r="J159" s="572"/>
      <c r="K159" s="572"/>
      <c r="L159" s="572"/>
      <c r="M159" s="572"/>
      <c r="N159" s="572"/>
      <c r="O159" s="572"/>
      <c r="P159" s="572"/>
      <c r="Q159" s="572"/>
      <c r="R159" s="572"/>
      <c r="S159" s="572"/>
      <c r="T159" s="572"/>
      <c r="U159" s="572"/>
      <c r="V159" s="572"/>
      <c r="W159" s="572"/>
      <c r="X159" s="572"/>
      <c r="Y159" s="572"/>
      <c r="Z159" s="572"/>
      <c r="AA159" s="572"/>
      <c r="AB159" s="572"/>
      <c r="AC159" s="572"/>
      <c r="AD159" s="572"/>
      <c r="AE159" s="572"/>
      <c r="AF159" s="572"/>
      <c r="AG159" s="572"/>
      <c r="AH159" s="572"/>
      <c r="AI159" s="572"/>
      <c r="AJ159" s="572"/>
      <c r="AK159" s="572"/>
      <c r="AL159" s="572"/>
      <c r="AM159" s="572"/>
    </row>
    <row r="160" spans="1:39" ht="15.75" customHeight="1" x14ac:dyDescent="0.25">
      <c r="A160" s="3"/>
      <c r="B160" s="3"/>
      <c r="C160" s="3"/>
      <c r="D160" s="3" t="s">
        <v>2137</v>
      </c>
      <c r="E160" s="3"/>
      <c r="F160" s="572">
        <f t="shared" ref="F160:AL160" si="25">SUM(F156:F158)</f>
        <v>4.7860478489503396E-3</v>
      </c>
      <c r="G160" s="572">
        <f t="shared" si="25"/>
        <v>1.0077967737506285E-2</v>
      </c>
      <c r="H160" s="572">
        <f t="shared" si="25"/>
        <v>2.7455427883701328E-2</v>
      </c>
      <c r="I160" s="572">
        <f t="shared" si="25"/>
        <v>8.9449955382872787E-2</v>
      </c>
      <c r="J160" s="572">
        <f t="shared" si="25"/>
        <v>0.21727959622916831</v>
      </c>
      <c r="K160" s="572">
        <f t="shared" si="25"/>
        <v>0.47797732244552288</v>
      </c>
      <c r="L160" s="572">
        <f t="shared" si="25"/>
        <v>0.67166152660830225</v>
      </c>
      <c r="M160" s="572">
        <f t="shared" si="25"/>
        <v>0.85490401762127621</v>
      </c>
      <c r="N160" s="572">
        <f t="shared" si="25"/>
        <v>0.98792527709559519</v>
      </c>
      <c r="O160" s="572">
        <f t="shared" si="25"/>
        <v>1.1255759697070984</v>
      </c>
      <c r="P160" s="572">
        <f t="shared" si="25"/>
        <v>1.2435554803901954</v>
      </c>
      <c r="Q160" s="572">
        <f t="shared" si="25"/>
        <v>1.3614632547785406</v>
      </c>
      <c r="R160" s="572">
        <f t="shared" si="25"/>
        <v>1.4531850918663245</v>
      </c>
      <c r="S160" s="572">
        <f t="shared" si="25"/>
        <v>1.5378645362790371</v>
      </c>
      <c r="T160" s="572">
        <f t="shared" si="25"/>
        <v>1.6117648744317461</v>
      </c>
      <c r="U160" s="572">
        <f t="shared" si="25"/>
        <v>1.6985569532371871</v>
      </c>
      <c r="V160" s="572">
        <f t="shared" si="25"/>
        <v>1.8137853989009085</v>
      </c>
      <c r="W160" s="572">
        <f t="shared" si="25"/>
        <v>1.9415837455558564</v>
      </c>
      <c r="X160" s="572">
        <f t="shared" si="25"/>
        <v>2.0820594439975473</v>
      </c>
      <c r="Y160" s="572">
        <f t="shared" si="25"/>
        <v>2.1429650144217769</v>
      </c>
      <c r="Z160" s="572">
        <f t="shared" si="25"/>
        <v>2.0409379147604718</v>
      </c>
      <c r="AA160" s="572">
        <f t="shared" si="25"/>
        <v>2.1709104883111436</v>
      </c>
      <c r="AB160" s="572">
        <f t="shared" si="25"/>
        <v>2.3079153921089794</v>
      </c>
      <c r="AC160" s="572">
        <f t="shared" si="25"/>
        <v>2.6818278571410339</v>
      </c>
      <c r="AD160" s="572">
        <f t="shared" si="25"/>
        <v>3.0835739181318469</v>
      </c>
      <c r="AE160" s="572">
        <f t="shared" si="25"/>
        <v>2.9981602031582306</v>
      </c>
      <c r="AF160" s="572">
        <f t="shared" si="25"/>
        <v>3.0304632247961396</v>
      </c>
      <c r="AG160" s="572">
        <f t="shared" si="25"/>
        <v>2.5867593062440211</v>
      </c>
      <c r="AH160" s="572">
        <f t="shared" si="25"/>
        <v>2.93270740279074</v>
      </c>
      <c r="AI160" s="572">
        <f t="shared" si="25"/>
        <v>2.7899561343463106</v>
      </c>
      <c r="AJ160" s="572">
        <f t="shared" si="25"/>
        <v>3.1414393346352956</v>
      </c>
      <c r="AK160" s="572">
        <f t="shared" si="25"/>
        <v>3.2604350932930011</v>
      </c>
      <c r="AL160" s="572">
        <f t="shared" si="25"/>
        <v>3.3593191947838275</v>
      </c>
      <c r="AM160" s="572"/>
    </row>
    <row r="161" spans="1:39" ht="15.7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row>
    <row r="162" spans="1:39" ht="15.75" customHeight="1" x14ac:dyDescent="0.25">
      <c r="A162" s="3"/>
      <c r="B162" s="2141" t="s">
        <v>2097</v>
      </c>
      <c r="C162" s="2142"/>
      <c r="D162" s="2142"/>
      <c r="E162" s="2142"/>
      <c r="F162" s="2142"/>
      <c r="G162" s="2142"/>
      <c r="H162" s="2142"/>
      <c r="I162" s="2142"/>
      <c r="J162" s="2142"/>
      <c r="K162" s="2142"/>
      <c r="L162" s="2142"/>
      <c r="M162" s="2142"/>
      <c r="N162" s="2142"/>
      <c r="O162" s="2142"/>
      <c r="P162" s="2142"/>
      <c r="Q162" s="2142"/>
      <c r="R162" s="2142"/>
      <c r="S162" s="2142"/>
      <c r="T162" s="2142"/>
      <c r="U162" s="2142"/>
      <c r="V162" s="2142"/>
      <c r="W162" s="2142"/>
      <c r="X162" s="2142"/>
      <c r="Y162" s="2142"/>
      <c r="Z162" s="2142"/>
      <c r="AA162" s="2142"/>
      <c r="AB162" s="2142"/>
      <c r="AC162" s="2142"/>
      <c r="AD162" s="2142"/>
      <c r="AE162" s="2142"/>
      <c r="AF162" s="2142"/>
      <c r="AG162" s="2142"/>
      <c r="AH162" s="2142"/>
      <c r="AI162" s="2142"/>
      <c r="AJ162" s="2142"/>
      <c r="AK162" s="2142"/>
      <c r="AL162" s="2142"/>
      <c r="AM162" s="2145"/>
    </row>
    <row r="163" spans="1:39" ht="15.75" customHeight="1" x14ac:dyDescent="0.25">
      <c r="A163" s="3"/>
      <c r="B163" s="3"/>
      <c r="C163" s="3"/>
      <c r="D163" s="60" t="s">
        <v>782</v>
      </c>
      <c r="E163" s="60"/>
      <c r="F163" s="60" t="s">
        <v>2033</v>
      </c>
      <c r="G163" s="60" t="s">
        <v>2034</v>
      </c>
      <c r="H163" s="60" t="s">
        <v>2035</v>
      </c>
      <c r="I163" s="60" t="s">
        <v>2036</v>
      </c>
      <c r="J163" s="60" t="s">
        <v>2037</v>
      </c>
      <c r="K163" s="60" t="s">
        <v>2038</v>
      </c>
      <c r="L163" s="60" t="s">
        <v>2039</v>
      </c>
      <c r="M163" s="60" t="s">
        <v>2040</v>
      </c>
      <c r="N163" s="60" t="s">
        <v>2041</v>
      </c>
      <c r="O163" s="60" t="s">
        <v>2042</v>
      </c>
      <c r="P163" s="60" t="s">
        <v>2043</v>
      </c>
      <c r="Q163" s="60" t="s">
        <v>2044</v>
      </c>
      <c r="R163" s="60" t="s">
        <v>2045</v>
      </c>
      <c r="S163" s="60" t="s">
        <v>2046</v>
      </c>
      <c r="T163" s="60" t="s">
        <v>2047</v>
      </c>
      <c r="U163" s="60" t="s">
        <v>2048</v>
      </c>
      <c r="V163" s="60" t="s">
        <v>2049</v>
      </c>
      <c r="W163" s="60" t="s">
        <v>2050</v>
      </c>
      <c r="X163" s="60" t="s">
        <v>2051</v>
      </c>
      <c r="Y163" s="60" t="s">
        <v>2052</v>
      </c>
      <c r="Z163" s="60" t="s">
        <v>2053</v>
      </c>
      <c r="AA163" s="60" t="s">
        <v>2054</v>
      </c>
      <c r="AB163" s="60" t="s">
        <v>2055</v>
      </c>
      <c r="AC163" s="60" t="s">
        <v>2056</v>
      </c>
      <c r="AD163" s="60" t="s">
        <v>2057</v>
      </c>
      <c r="AE163" s="60" t="s">
        <v>2058</v>
      </c>
      <c r="AF163" s="60" t="s">
        <v>2059</v>
      </c>
      <c r="AG163" s="60" t="s">
        <v>2060</v>
      </c>
      <c r="AH163" s="60" t="s">
        <v>2061</v>
      </c>
      <c r="AI163" s="60" t="s">
        <v>2062</v>
      </c>
      <c r="AJ163" s="60" t="s">
        <v>2063</v>
      </c>
      <c r="AK163" s="60" t="s">
        <v>2064</v>
      </c>
      <c r="AL163" s="60" t="s">
        <v>2065</v>
      </c>
      <c r="AM163" s="60"/>
    </row>
    <row r="164" spans="1:39" ht="15.75" customHeight="1" x14ac:dyDescent="0.25">
      <c r="A164" s="3"/>
      <c r="B164" s="3"/>
      <c r="C164" s="3"/>
      <c r="D164" s="3" t="s">
        <v>2067</v>
      </c>
      <c r="E164" s="3"/>
      <c r="F164" s="572">
        <f t="shared" ref="F164:AL171" si="26">SUMIF($D$16:$D$49,$D164,F$106:F$139)</f>
        <v>2.6131014791080082E-7</v>
      </c>
      <c r="G164" s="572">
        <f t="shared" si="26"/>
        <v>4.1898124909234098E-7</v>
      </c>
      <c r="H164" s="572">
        <f t="shared" si="26"/>
        <v>5.8111866987456702E-7</v>
      </c>
      <c r="I164" s="572">
        <f t="shared" si="26"/>
        <v>7.4840461171582204E-7</v>
      </c>
      <c r="J164" s="572">
        <f t="shared" si="26"/>
        <v>9.2201719908830302E-7</v>
      </c>
      <c r="K164" s="572">
        <f t="shared" si="26"/>
        <v>2.3052706395561522E-6</v>
      </c>
      <c r="L164" s="572">
        <f t="shared" si="26"/>
        <v>4.4136082214367739E-6</v>
      </c>
      <c r="M164" s="572">
        <f t="shared" si="26"/>
        <v>6.5946290152229707E-6</v>
      </c>
      <c r="N164" s="572">
        <f t="shared" si="26"/>
        <v>8.8565132283437395E-6</v>
      </c>
      <c r="O164" s="572">
        <f t="shared" si="26"/>
        <v>1.1509845363912519E-5</v>
      </c>
      <c r="P164" s="572">
        <f t="shared" si="26"/>
        <v>1.2569649352965852E-5</v>
      </c>
      <c r="Q164" s="572">
        <f t="shared" si="26"/>
        <v>1.3247157241468287E-5</v>
      </c>
      <c r="R164" s="572">
        <f t="shared" si="26"/>
        <v>1.7288683860185458E-5</v>
      </c>
      <c r="S164" s="572">
        <f t="shared" si="26"/>
        <v>2.1944993352741679E-5</v>
      </c>
      <c r="T164" s="572">
        <f t="shared" si="26"/>
        <v>2.3330088569784589E-5</v>
      </c>
      <c r="U164" s="572">
        <f t="shared" si="26"/>
        <v>2.4713909211711638E-5</v>
      </c>
      <c r="V164" s="572">
        <f t="shared" si="26"/>
        <v>2.6092421796137101E-5</v>
      </c>
      <c r="W164" s="572">
        <f t="shared" si="26"/>
        <v>2.7471143032289743E-5</v>
      </c>
      <c r="X164" s="572">
        <f t="shared" si="26"/>
        <v>2.8923391721581608E-5</v>
      </c>
      <c r="Y164" s="572">
        <f t="shared" si="26"/>
        <v>3.1802293449473981E-5</v>
      </c>
      <c r="Z164" s="572">
        <f t="shared" si="26"/>
        <v>3.5335146091815057E-5</v>
      </c>
      <c r="AA164" s="572">
        <f t="shared" si="26"/>
        <v>3.771742776819257E-5</v>
      </c>
      <c r="AB164" s="572">
        <f t="shared" si="26"/>
        <v>3.956228490669917E-5</v>
      </c>
      <c r="AC164" s="572">
        <f t="shared" si="26"/>
        <v>4.1703195498338638E-5</v>
      </c>
      <c r="AD164" s="572">
        <f t="shared" si="26"/>
        <v>4.4100162870311796E-5</v>
      </c>
      <c r="AE164" s="572">
        <f t="shared" si="26"/>
        <v>4.6478452427122152E-5</v>
      </c>
      <c r="AF164" s="572">
        <f t="shared" si="26"/>
        <v>4.9640579107816882E-5</v>
      </c>
      <c r="AG164" s="572">
        <f t="shared" si="26"/>
        <v>5.2781854283047353E-5</v>
      </c>
      <c r="AH164" s="572">
        <f t="shared" si="26"/>
        <v>5.6556118564366453E-5</v>
      </c>
      <c r="AI164" s="572">
        <f t="shared" si="26"/>
        <v>6.0255123344093292E-5</v>
      </c>
      <c r="AJ164" s="572">
        <f t="shared" si="26"/>
        <v>6.4760276546437561E-5</v>
      </c>
      <c r="AK164" s="572">
        <f t="shared" si="26"/>
        <v>6.8680952135492248E-5</v>
      </c>
      <c r="AL164" s="572">
        <f t="shared" si="26"/>
        <v>7.2638169923938342E-5</v>
      </c>
      <c r="AM164" s="572"/>
    </row>
    <row r="165" spans="1:39" ht="15.75" customHeight="1" x14ac:dyDescent="0.25">
      <c r="A165" s="3"/>
      <c r="B165" s="3"/>
      <c r="C165" s="3"/>
      <c r="D165" s="3" t="s">
        <v>2071</v>
      </c>
      <c r="E165" s="3"/>
      <c r="F165" s="572">
        <f t="shared" si="26"/>
        <v>2.4576398438319589E-6</v>
      </c>
      <c r="G165" s="572">
        <f t="shared" si="26"/>
        <v>6.0536431158403157E-6</v>
      </c>
      <c r="H165" s="572">
        <f t="shared" si="26"/>
        <v>1.1606811852281037E-5</v>
      </c>
      <c r="I165" s="572">
        <f t="shared" si="26"/>
        <v>2.1617437682942917E-3</v>
      </c>
      <c r="J165" s="572">
        <f t="shared" si="26"/>
        <v>5.7490643797077764E-3</v>
      </c>
      <c r="K165" s="572">
        <f t="shared" si="26"/>
        <v>1.2184976515315473E-2</v>
      </c>
      <c r="L165" s="572">
        <f t="shared" si="26"/>
        <v>2.0740879790053592E-2</v>
      </c>
      <c r="M165" s="572">
        <f t="shared" si="26"/>
        <v>3.2046403790466527E-2</v>
      </c>
      <c r="N165" s="572">
        <f t="shared" si="26"/>
        <v>4.1964553511565236E-2</v>
      </c>
      <c r="O165" s="572">
        <f t="shared" si="26"/>
        <v>5.5007608030684982E-2</v>
      </c>
      <c r="P165" s="572">
        <f t="shared" si="26"/>
        <v>6.5848219471590377E-2</v>
      </c>
      <c r="Q165" s="572">
        <f t="shared" si="26"/>
        <v>8.0284197696066137E-2</v>
      </c>
      <c r="R165" s="572">
        <f t="shared" si="26"/>
        <v>9.7651490314319564E-2</v>
      </c>
      <c r="S165" s="572">
        <f t="shared" si="26"/>
        <v>0.11670257891288797</v>
      </c>
      <c r="T165" s="572">
        <f t="shared" si="26"/>
        <v>0.13634645755665237</v>
      </c>
      <c r="U165" s="572">
        <f t="shared" si="26"/>
        <v>0.17138741370678845</v>
      </c>
      <c r="V165" s="572">
        <f t="shared" si="26"/>
        <v>0.21597993848023594</v>
      </c>
      <c r="W165" s="572">
        <f t="shared" si="26"/>
        <v>0.2734106627002349</v>
      </c>
      <c r="X165" s="572">
        <f t="shared" si="26"/>
        <v>0.33495338991408496</v>
      </c>
      <c r="Y165" s="572">
        <f t="shared" si="26"/>
        <v>0.32869493164052588</v>
      </c>
      <c r="Z165" s="572">
        <f t="shared" si="26"/>
        <v>0.38002193513227206</v>
      </c>
      <c r="AA165" s="572">
        <f t="shared" si="26"/>
        <v>0.46887623186559685</v>
      </c>
      <c r="AB165" s="572">
        <f t="shared" si="26"/>
        <v>0.57176434024731582</v>
      </c>
      <c r="AC165" s="572">
        <f t="shared" si="26"/>
        <v>0.65485918873795113</v>
      </c>
      <c r="AD165" s="572">
        <f t="shared" si="26"/>
        <v>0.8365073724309593</v>
      </c>
      <c r="AE165" s="572">
        <f t="shared" si="26"/>
        <v>0.82909865844646979</v>
      </c>
      <c r="AF165" s="572">
        <f t="shared" si="26"/>
        <v>0.99040588116599526</v>
      </c>
      <c r="AG165" s="572">
        <f t="shared" si="26"/>
        <v>0.89318413928937135</v>
      </c>
      <c r="AH165" s="572">
        <f t="shared" si="26"/>
        <v>1.0582766487366537</v>
      </c>
      <c r="AI165" s="572">
        <f t="shared" si="26"/>
        <v>1.0302690115397393</v>
      </c>
      <c r="AJ165" s="572">
        <f t="shared" si="26"/>
        <v>1.2373990793215808</v>
      </c>
      <c r="AK165" s="572">
        <f t="shared" si="26"/>
        <v>1.42194071767986</v>
      </c>
      <c r="AL165" s="572">
        <f t="shared" si="26"/>
        <v>1.5458723842521827</v>
      </c>
      <c r="AM165" s="572"/>
    </row>
    <row r="166" spans="1:39" ht="15.75" customHeight="1" x14ac:dyDescent="0.25">
      <c r="A166" s="3"/>
      <c r="B166" s="3"/>
      <c r="C166" s="3"/>
      <c r="D166" s="3" t="s">
        <v>2072</v>
      </c>
      <c r="E166" s="3"/>
      <c r="F166" s="572">
        <f t="shared" si="26"/>
        <v>8.6202583729934789E-8</v>
      </c>
      <c r="G166" s="572">
        <f t="shared" si="26"/>
        <v>2.1233366592507473E-7</v>
      </c>
      <c r="H166" s="572">
        <f t="shared" si="26"/>
        <v>2.0367205085037522E-2</v>
      </c>
      <c r="I166" s="572">
        <f t="shared" si="26"/>
        <v>8.8181790900263457E-2</v>
      </c>
      <c r="J166" s="572">
        <f t="shared" si="26"/>
        <v>0.22876139735592074</v>
      </c>
      <c r="K166" s="572">
        <f t="shared" si="26"/>
        <v>0.49482542640959881</v>
      </c>
      <c r="L166" s="572">
        <f t="shared" si="26"/>
        <v>0.67176291843943436</v>
      </c>
      <c r="M166" s="572">
        <f t="shared" si="26"/>
        <v>0.84575140030044904</v>
      </c>
      <c r="N166" s="572">
        <f t="shared" si="26"/>
        <v>0.95963783620826337</v>
      </c>
      <c r="O166" s="572">
        <f t="shared" si="26"/>
        <v>1.0808915028035166</v>
      </c>
      <c r="P166" s="572">
        <f t="shared" si="26"/>
        <v>1.1932729745940474</v>
      </c>
      <c r="Q166" s="572">
        <f t="shared" si="26"/>
        <v>1.2945233838032602</v>
      </c>
      <c r="R166" s="572">
        <f t="shared" si="26"/>
        <v>1.3452895227280683</v>
      </c>
      <c r="S166" s="572">
        <f t="shared" si="26"/>
        <v>1.3832587648920485</v>
      </c>
      <c r="T166" s="572">
        <f t="shared" si="26"/>
        <v>1.4167605016776859</v>
      </c>
      <c r="U166" s="572">
        <f t="shared" si="26"/>
        <v>1.4357987416647078</v>
      </c>
      <c r="V166" s="572">
        <f t="shared" si="26"/>
        <v>1.4772510393139189</v>
      </c>
      <c r="W166" s="572">
        <f t="shared" si="26"/>
        <v>1.5141750203872175</v>
      </c>
      <c r="X166" s="572">
        <f t="shared" si="26"/>
        <v>1.5564811549920887</v>
      </c>
      <c r="Y166" s="572">
        <f t="shared" si="26"/>
        <v>1.5794413956894484</v>
      </c>
      <c r="Z166" s="572">
        <f t="shared" si="26"/>
        <v>1.3778869618031646</v>
      </c>
      <c r="AA166" s="572">
        <f t="shared" si="26"/>
        <v>1.3162903645155071</v>
      </c>
      <c r="AB166" s="572">
        <f t="shared" si="26"/>
        <v>1.2564101912541956</v>
      </c>
      <c r="AC166" s="572">
        <f t="shared" si="26"/>
        <v>1.5009056061622243</v>
      </c>
      <c r="AD166" s="572">
        <f t="shared" si="26"/>
        <v>1.6642089732663572</v>
      </c>
      <c r="AE166" s="572">
        <f t="shared" si="26"/>
        <v>1.5290059931134969</v>
      </c>
      <c r="AF166" s="572">
        <f t="shared" si="26"/>
        <v>1.3531241402527119</v>
      </c>
      <c r="AG166" s="572">
        <f t="shared" si="26"/>
        <v>1.1112519556185321</v>
      </c>
      <c r="AH166" s="572">
        <f t="shared" si="26"/>
        <v>1.1752093187041406</v>
      </c>
      <c r="AI166" s="572">
        <f t="shared" si="26"/>
        <v>1.1192782233941851</v>
      </c>
      <c r="AJ166" s="572">
        <f t="shared" si="26"/>
        <v>1.2218696031937946</v>
      </c>
      <c r="AK166" s="572">
        <f t="shared" si="26"/>
        <v>1.1323489053690987</v>
      </c>
      <c r="AL166" s="572">
        <f t="shared" si="26"/>
        <v>1.0959531153438715</v>
      </c>
      <c r="AM166" s="572"/>
    </row>
    <row r="167" spans="1:39" ht="15.75" customHeight="1" x14ac:dyDescent="0.25">
      <c r="A167" s="3"/>
      <c r="B167" s="3"/>
      <c r="C167" s="3"/>
      <c r="D167" s="3" t="s">
        <v>2075</v>
      </c>
      <c r="E167" s="3"/>
      <c r="F167" s="572">
        <f t="shared" si="26"/>
        <v>4.5076940923130153E-6</v>
      </c>
      <c r="G167" s="572">
        <f t="shared" si="26"/>
        <v>1.1103323938505679E-5</v>
      </c>
      <c r="H167" s="572">
        <f t="shared" si="26"/>
        <v>2.1288699948621633E-5</v>
      </c>
      <c r="I167" s="572">
        <f t="shared" si="26"/>
        <v>1.5961701598265531E-3</v>
      </c>
      <c r="J167" s="572">
        <f t="shared" si="26"/>
        <v>4.4472267640225226E-3</v>
      </c>
      <c r="K167" s="572">
        <f t="shared" si="26"/>
        <v>1.1107737278983924E-2</v>
      </c>
      <c r="L167" s="572">
        <f t="shared" si="26"/>
        <v>2.0659970010604808E-2</v>
      </c>
      <c r="M167" s="572">
        <f t="shared" si="26"/>
        <v>3.4206585858856019E-2</v>
      </c>
      <c r="N167" s="572">
        <f t="shared" si="26"/>
        <v>4.9596095105295827E-2</v>
      </c>
      <c r="O167" s="572">
        <f t="shared" si="26"/>
        <v>7.082357343129618E-2</v>
      </c>
      <c r="P167" s="572">
        <f t="shared" si="26"/>
        <v>8.733230728730064E-2</v>
      </c>
      <c r="Q167" s="572">
        <f t="shared" si="26"/>
        <v>0.10817501738544939</v>
      </c>
      <c r="R167" s="572">
        <f t="shared" si="26"/>
        <v>0.13167252832941642</v>
      </c>
      <c r="S167" s="572">
        <f t="shared" si="26"/>
        <v>0.15591047969059296</v>
      </c>
      <c r="T167" s="572">
        <f t="shared" si="26"/>
        <v>0.17823636493764719</v>
      </c>
      <c r="U167" s="572">
        <f t="shared" si="26"/>
        <v>0.21575961040070421</v>
      </c>
      <c r="V167" s="572">
        <f t="shared" si="26"/>
        <v>0.25644128740352529</v>
      </c>
      <c r="W167" s="572">
        <f t="shared" si="26"/>
        <v>0.30218145073643815</v>
      </c>
      <c r="X167" s="572">
        <f t="shared" si="26"/>
        <v>0.35409892626905459</v>
      </c>
      <c r="Y167" s="572">
        <f t="shared" si="26"/>
        <v>0.39392619852708727</v>
      </c>
      <c r="Z167" s="572">
        <f t="shared" si="26"/>
        <v>0.40366959468879882</v>
      </c>
      <c r="AA167" s="572">
        <f t="shared" si="26"/>
        <v>0.50097650150941908</v>
      </c>
      <c r="AB167" s="572">
        <f t="shared" si="26"/>
        <v>0.60517065792466496</v>
      </c>
      <c r="AC167" s="572">
        <f t="shared" si="26"/>
        <v>0.68604492864480482</v>
      </c>
      <c r="AD167" s="572">
        <f t="shared" si="26"/>
        <v>0.79081708648338844</v>
      </c>
      <c r="AE167" s="572">
        <f t="shared" si="26"/>
        <v>0.79333137785513586</v>
      </c>
      <c r="AF167" s="572">
        <f t="shared" si="26"/>
        <v>0.81599223360901352</v>
      </c>
      <c r="AG167" s="572">
        <f t="shared" si="26"/>
        <v>0.61010995355122077</v>
      </c>
      <c r="AH167" s="572">
        <f t="shared" si="26"/>
        <v>0.7650968498605466</v>
      </c>
      <c r="AI167" s="572">
        <f t="shared" si="26"/>
        <v>0.67078830913150433</v>
      </c>
      <c r="AJ167" s="572">
        <f t="shared" si="26"/>
        <v>0.73767454020865331</v>
      </c>
      <c r="AK167" s="572">
        <f t="shared" si="26"/>
        <v>0.74022895886866802</v>
      </c>
      <c r="AL167" s="572">
        <f t="shared" si="26"/>
        <v>0.73678876833263518</v>
      </c>
      <c r="AM167" s="572"/>
    </row>
    <row r="168" spans="1:39" ht="15.75" customHeight="1" x14ac:dyDescent="0.25">
      <c r="A168" s="3"/>
      <c r="B168" s="3"/>
      <c r="C168" s="3"/>
      <c r="D168" s="3" t="s">
        <v>2076</v>
      </c>
      <c r="E168" s="3"/>
      <c r="F168" s="572">
        <f t="shared" si="26"/>
        <v>0</v>
      </c>
      <c r="G168" s="572">
        <f t="shared" si="26"/>
        <v>0</v>
      </c>
      <c r="H168" s="572">
        <f t="shared" si="26"/>
        <v>0</v>
      </c>
      <c r="I168" s="572">
        <f t="shared" si="26"/>
        <v>0</v>
      </c>
      <c r="J168" s="572">
        <f t="shared" si="26"/>
        <v>0</v>
      </c>
      <c r="K168" s="572">
        <f t="shared" si="26"/>
        <v>1.0954255927589853E-5</v>
      </c>
      <c r="L168" s="572">
        <f t="shared" si="26"/>
        <v>2.456470499795807E-5</v>
      </c>
      <c r="M168" s="572">
        <f t="shared" si="26"/>
        <v>4.6255211710234037E-5</v>
      </c>
      <c r="N168" s="572">
        <f t="shared" si="26"/>
        <v>6.7848196628092475E-5</v>
      </c>
      <c r="O168" s="572">
        <f t="shared" si="26"/>
        <v>9.7517162990399424E-5</v>
      </c>
      <c r="P168" s="572">
        <f t="shared" si="26"/>
        <v>1.2726552049466115E-4</v>
      </c>
      <c r="Q168" s="572">
        <f t="shared" si="26"/>
        <v>1.5467252551876407E-4</v>
      </c>
      <c r="R168" s="572">
        <f t="shared" si="26"/>
        <v>1.7963043661400874E-4</v>
      </c>
      <c r="S168" s="572">
        <f t="shared" si="26"/>
        <v>1.9902799546744342E-4</v>
      </c>
      <c r="T168" s="572">
        <f t="shared" si="26"/>
        <v>2.1812373185547078E-4</v>
      </c>
      <c r="U168" s="572">
        <f t="shared" si="26"/>
        <v>2.3971787596177731E-4</v>
      </c>
      <c r="V168" s="572">
        <f t="shared" si="26"/>
        <v>2.5795595762703266E-4</v>
      </c>
      <c r="W168" s="572">
        <f t="shared" si="26"/>
        <v>2.7837202804506213E-4</v>
      </c>
      <c r="X168" s="572">
        <f t="shared" si="26"/>
        <v>2.9619713185669375E-4</v>
      </c>
      <c r="Y168" s="572">
        <f t="shared" si="26"/>
        <v>3.1754278650377024E-4</v>
      </c>
      <c r="Z168" s="572">
        <f t="shared" si="26"/>
        <v>3.4245377721385566E-4</v>
      </c>
      <c r="AA168" s="572">
        <f t="shared" si="26"/>
        <v>3.6468774668985826E-4</v>
      </c>
      <c r="AB168" s="572">
        <f t="shared" si="26"/>
        <v>3.9213494120544299E-4</v>
      </c>
      <c r="AC168" s="572">
        <f t="shared" si="26"/>
        <v>4.1627564560236629E-4</v>
      </c>
      <c r="AD168" s="572">
        <f t="shared" si="26"/>
        <v>4.427778067996393E-4</v>
      </c>
      <c r="AE168" s="572">
        <f t="shared" si="26"/>
        <v>4.7138296328566831E-4</v>
      </c>
      <c r="AF168" s="572">
        <f t="shared" si="26"/>
        <v>4.9907613140417507E-4</v>
      </c>
      <c r="AG168" s="572">
        <f t="shared" si="26"/>
        <v>5.2995611314987558E-4</v>
      </c>
      <c r="AH168" s="572">
        <f t="shared" si="26"/>
        <v>5.6067765764386708E-4</v>
      </c>
      <c r="AI168" s="572">
        <f t="shared" si="26"/>
        <v>5.9396772661095385E-4</v>
      </c>
      <c r="AJ168" s="572">
        <f t="shared" si="26"/>
        <v>6.2655342164842794E-4</v>
      </c>
      <c r="AK168" s="572">
        <f t="shared" si="26"/>
        <v>6.4993388556584808E-4</v>
      </c>
      <c r="AL168" s="572">
        <f t="shared" si="26"/>
        <v>6.7059373871104647E-4</v>
      </c>
      <c r="AM168" s="572"/>
    </row>
    <row r="169" spans="1:39" ht="15.75" customHeight="1" x14ac:dyDescent="0.25">
      <c r="A169" s="3"/>
      <c r="B169" s="3"/>
      <c r="C169" s="3"/>
      <c r="D169" s="3" t="s">
        <v>2077</v>
      </c>
      <c r="E169" s="3"/>
      <c r="F169" s="572">
        <f t="shared" si="26"/>
        <v>0</v>
      </c>
      <c r="G169" s="572">
        <f t="shared" si="26"/>
        <v>0</v>
      </c>
      <c r="H169" s="572">
        <f t="shared" si="26"/>
        <v>0</v>
      </c>
      <c r="I169" s="572">
        <f t="shared" si="26"/>
        <v>1.1805442121498914E-3</v>
      </c>
      <c r="J169" s="572">
        <f t="shared" si="26"/>
        <v>3.5608537412825923E-3</v>
      </c>
      <c r="K169" s="572">
        <f t="shared" si="26"/>
        <v>5.9022600103244317E-3</v>
      </c>
      <c r="L169" s="572">
        <f t="shared" si="26"/>
        <v>7.3446392843244121E-3</v>
      </c>
      <c r="M169" s="572">
        <f t="shared" si="26"/>
        <v>8.9930362874617968E-3</v>
      </c>
      <c r="N169" s="572">
        <f t="shared" si="26"/>
        <v>1.0735581116514327E-2</v>
      </c>
      <c r="O169" s="572">
        <f t="shared" si="26"/>
        <v>1.2595276696293558E-2</v>
      </c>
      <c r="P169" s="572">
        <f t="shared" si="26"/>
        <v>1.4371383788866611E-2</v>
      </c>
      <c r="Q169" s="572">
        <f t="shared" si="26"/>
        <v>1.6086611749231292E-2</v>
      </c>
      <c r="R169" s="572">
        <f t="shared" si="26"/>
        <v>1.7723926021976685E-2</v>
      </c>
      <c r="S169" s="572">
        <f t="shared" si="26"/>
        <v>1.9036770064609077E-2</v>
      </c>
      <c r="T169" s="572">
        <f t="shared" si="26"/>
        <v>1.9996825532441635E-2</v>
      </c>
      <c r="U169" s="572">
        <f t="shared" si="26"/>
        <v>2.059800477750472E-2</v>
      </c>
      <c r="V169" s="572">
        <f t="shared" si="26"/>
        <v>2.1032925346020744E-2</v>
      </c>
      <c r="W169" s="572">
        <f t="shared" si="26"/>
        <v>2.1312695961068526E-2</v>
      </c>
      <c r="X169" s="572">
        <f t="shared" si="26"/>
        <v>2.1492347912168683E-2</v>
      </c>
      <c r="Y169" s="572">
        <f t="shared" si="26"/>
        <v>2.1620044755665414E-2</v>
      </c>
      <c r="Z169" s="572">
        <f t="shared" si="26"/>
        <v>2.1813058945273661E-2</v>
      </c>
      <c r="AA169" s="572">
        <f t="shared" si="26"/>
        <v>2.2008696432492578E-2</v>
      </c>
      <c r="AB169" s="572">
        <f t="shared" si="26"/>
        <v>2.2192398174270739E-2</v>
      </c>
      <c r="AC169" s="572">
        <f t="shared" si="26"/>
        <v>2.2621037700409602E-2</v>
      </c>
      <c r="AD169" s="572">
        <f t="shared" si="26"/>
        <v>2.192555664927183E-2</v>
      </c>
      <c r="AE169" s="572">
        <f t="shared" si="26"/>
        <v>1.9744092198035034E-2</v>
      </c>
      <c r="AF169" s="572">
        <f t="shared" si="26"/>
        <v>1.8417276580680923E-2</v>
      </c>
      <c r="AG169" s="572">
        <f t="shared" si="26"/>
        <v>1.7124176657518756E-2</v>
      </c>
      <c r="AH169" s="572">
        <f t="shared" si="26"/>
        <v>1.5722904707009121E-2</v>
      </c>
      <c r="AI169" s="572">
        <f t="shared" si="26"/>
        <v>1.4448871541951937E-2</v>
      </c>
      <c r="AJ169" s="572">
        <f t="shared" si="26"/>
        <v>1.3465422807540792E-2</v>
      </c>
      <c r="AK169" s="572">
        <f t="shared" si="26"/>
        <v>1.244935002995514E-2</v>
      </c>
      <c r="AL169" s="572">
        <f t="shared" si="26"/>
        <v>1.1514663233869486E-2</v>
      </c>
      <c r="AM169" s="572"/>
    </row>
    <row r="170" spans="1:39" ht="15.75" customHeight="1" x14ac:dyDescent="0.25">
      <c r="A170" s="3"/>
      <c r="B170" s="3"/>
      <c r="C170" s="3"/>
      <c r="D170" s="3" t="s">
        <v>2078</v>
      </c>
      <c r="E170" s="3"/>
      <c r="F170" s="572">
        <f t="shared" si="26"/>
        <v>0</v>
      </c>
      <c r="G170" s="572">
        <f t="shared" si="26"/>
        <v>0</v>
      </c>
      <c r="H170" s="572">
        <f t="shared" si="26"/>
        <v>0</v>
      </c>
      <c r="I170" s="572">
        <f t="shared" si="26"/>
        <v>0</v>
      </c>
      <c r="J170" s="572">
        <f t="shared" si="26"/>
        <v>0</v>
      </c>
      <c r="K170" s="572">
        <f t="shared" si="26"/>
        <v>0</v>
      </c>
      <c r="L170" s="572">
        <f t="shared" si="26"/>
        <v>3.4699574710132322E-6</v>
      </c>
      <c r="M170" s="572">
        <f t="shared" si="26"/>
        <v>9.8530964477012256E-6</v>
      </c>
      <c r="N170" s="572">
        <f t="shared" si="26"/>
        <v>2.1006249081277239E-5</v>
      </c>
      <c r="O170" s="572">
        <f t="shared" si="26"/>
        <v>4.0755731526590407E-5</v>
      </c>
      <c r="P170" s="572">
        <f t="shared" si="26"/>
        <v>1.8813265014940163E-4</v>
      </c>
      <c r="Q170" s="572">
        <f t="shared" si="26"/>
        <v>4.7101518837129656E-4</v>
      </c>
      <c r="R170" s="572">
        <f t="shared" si="26"/>
        <v>9.2444346057260159E-4</v>
      </c>
      <c r="S170" s="572">
        <f t="shared" si="26"/>
        <v>1.537761171964018E-3</v>
      </c>
      <c r="T170" s="572">
        <f t="shared" si="26"/>
        <v>2.3546705905743183E-3</v>
      </c>
      <c r="U170" s="572">
        <f t="shared" si="26"/>
        <v>3.5082152252173455E-3</v>
      </c>
      <c r="V170" s="572">
        <f t="shared" si="26"/>
        <v>5.7079475264536998E-3</v>
      </c>
      <c r="W170" s="572">
        <f t="shared" si="26"/>
        <v>8.1877885455828563E-3</v>
      </c>
      <c r="X170" s="572">
        <f t="shared" si="26"/>
        <v>1.0787608531141897E-2</v>
      </c>
      <c r="Y170" s="572">
        <f t="shared" si="26"/>
        <v>1.3898326384363006E-2</v>
      </c>
      <c r="Z170" s="572">
        <f t="shared" si="26"/>
        <v>1.9427266566387942E-2</v>
      </c>
      <c r="AA170" s="572">
        <f t="shared" si="26"/>
        <v>3.5018027630221098E-2</v>
      </c>
      <c r="AB170" s="572">
        <f t="shared" si="26"/>
        <v>3.717862047248665E-2</v>
      </c>
      <c r="AC170" s="572">
        <f t="shared" si="26"/>
        <v>5.5618635620411951E-2</v>
      </c>
      <c r="AD170" s="572">
        <f t="shared" si="26"/>
        <v>6.9113497672989369E-2</v>
      </c>
      <c r="AE170" s="572">
        <f t="shared" si="26"/>
        <v>8.3766508008387711E-2</v>
      </c>
      <c r="AF170" s="572">
        <f t="shared" si="26"/>
        <v>9.5906930309458224E-2</v>
      </c>
      <c r="AG170" s="572">
        <f t="shared" si="26"/>
        <v>9.2206490198201735E-2</v>
      </c>
      <c r="AH170" s="572">
        <f t="shared" si="26"/>
        <v>0.11127142168724008</v>
      </c>
      <c r="AI170" s="572">
        <f t="shared" si="26"/>
        <v>0.11820118404832088</v>
      </c>
      <c r="AJ170" s="572">
        <f t="shared" si="26"/>
        <v>0.15730941336136001</v>
      </c>
      <c r="AK170" s="572">
        <f t="shared" si="26"/>
        <v>0.19206471100663988</v>
      </c>
      <c r="AL170" s="572">
        <f t="shared" si="26"/>
        <v>0.21467428733671656</v>
      </c>
      <c r="AM170" s="572"/>
    </row>
    <row r="171" spans="1:39" ht="15.75" customHeight="1" x14ac:dyDescent="0.25">
      <c r="A171" s="3"/>
      <c r="B171" s="3"/>
      <c r="C171" s="3"/>
      <c r="D171" s="3" t="s">
        <v>2079</v>
      </c>
      <c r="E171" s="3"/>
      <c r="F171" s="572">
        <f t="shared" si="26"/>
        <v>5.2490612533711801E-3</v>
      </c>
      <c r="G171" s="572">
        <f t="shared" si="26"/>
        <v>1.1050769364328234E-2</v>
      </c>
      <c r="H171" s="572">
        <f t="shared" si="26"/>
        <v>1.1115437807649356E-2</v>
      </c>
      <c r="I171" s="572">
        <f t="shared" si="26"/>
        <v>1.128632838726336E-2</v>
      </c>
      <c r="J171" s="572">
        <f t="shared" si="26"/>
        <v>1.2139368089144958E-2</v>
      </c>
      <c r="K171" s="572">
        <f t="shared" si="26"/>
        <v>2.64430632335017E-2</v>
      </c>
      <c r="L171" s="572">
        <f t="shared" si="26"/>
        <v>4.286373868736304E-2</v>
      </c>
      <c r="M171" s="572">
        <f t="shared" si="26"/>
        <v>5.3288381809785804E-2</v>
      </c>
      <c r="N171" s="572">
        <f t="shared" si="26"/>
        <v>6.7547470431862572E-2</v>
      </c>
      <c r="O171" s="572">
        <f t="shared" si="26"/>
        <v>7.161438162695849E-2</v>
      </c>
      <c r="P171" s="572">
        <f t="shared" si="26"/>
        <v>7.48114148473778E-2</v>
      </c>
      <c r="Q171" s="572">
        <f t="shared" si="26"/>
        <v>8.1163473394426977E-2</v>
      </c>
      <c r="R171" s="572">
        <f t="shared" si="26"/>
        <v>0.10091823799130353</v>
      </c>
      <c r="S171" s="572">
        <f t="shared" si="26"/>
        <v>0.1231974117062746</v>
      </c>
      <c r="T171" s="572">
        <f t="shared" si="26"/>
        <v>0.13267024929151594</v>
      </c>
      <c r="U171" s="572">
        <f t="shared" si="26"/>
        <v>0.14234468985191259</v>
      </c>
      <c r="V171" s="572">
        <f t="shared" si="26"/>
        <v>0.14978237699696606</v>
      </c>
      <c r="W171" s="572">
        <f t="shared" si="26"/>
        <v>0.15861606658660865</v>
      </c>
      <c r="X171" s="572">
        <f t="shared" si="26"/>
        <v>0.16692446275226025</v>
      </c>
      <c r="Y171" s="572">
        <f t="shared" si="26"/>
        <v>0.17955439588086405</v>
      </c>
      <c r="Z171" s="572">
        <f t="shared" si="26"/>
        <v>0.19339202570349479</v>
      </c>
      <c r="AA171" s="572">
        <f t="shared" si="26"/>
        <v>0.20733657529980351</v>
      </c>
      <c r="AB171" s="572">
        <f t="shared" si="26"/>
        <v>0.22104948820121023</v>
      </c>
      <c r="AC171" s="572">
        <f t="shared" si="26"/>
        <v>0.23455607585625504</v>
      </c>
      <c r="AD171" s="572">
        <f t="shared" ref="AD171:AL171" si="27">SUMIF($D$16:$D$49,$D171,AD$106:AD$139)</f>
        <v>0.24688378865849903</v>
      </c>
      <c r="AE171" s="572">
        <f t="shared" si="27"/>
        <v>0.27190410513565533</v>
      </c>
      <c r="AF171" s="572">
        <f t="shared" si="27"/>
        <v>0.29038851846124836</v>
      </c>
      <c r="AG171" s="572">
        <f t="shared" si="27"/>
        <v>0.31093554777597232</v>
      </c>
      <c r="AH171" s="572">
        <f t="shared" si="27"/>
        <v>0.31987982475974841</v>
      </c>
      <c r="AI171" s="572">
        <f t="shared" si="27"/>
        <v>0.32149990418379232</v>
      </c>
      <c r="AJ171" s="572">
        <f t="shared" si="27"/>
        <v>0.3215711858759972</v>
      </c>
      <c r="AK171" s="572">
        <f t="shared" si="27"/>
        <v>0.32923293579657298</v>
      </c>
      <c r="AL171" s="572">
        <f t="shared" si="27"/>
        <v>0.33872970135718788</v>
      </c>
      <c r="AM171" s="572"/>
    </row>
    <row r="172" spans="1:39" ht="15.75" customHeight="1" x14ac:dyDescent="0.25">
      <c r="A172" s="3"/>
      <c r="B172" s="3"/>
      <c r="C172" s="3"/>
      <c r="D172" s="3" t="s">
        <v>2083</v>
      </c>
      <c r="E172" s="3"/>
      <c r="F172" s="572">
        <f t="shared" ref="F172:AL173" si="28">SUMIF($D$16:$D$49,$D172,F$106:F$139)</f>
        <v>0</v>
      </c>
      <c r="G172" s="572">
        <f t="shared" si="28"/>
        <v>0</v>
      </c>
      <c r="H172" s="572">
        <f t="shared" si="28"/>
        <v>0</v>
      </c>
      <c r="I172" s="572">
        <f t="shared" si="28"/>
        <v>0</v>
      </c>
      <c r="J172" s="572">
        <f t="shared" si="28"/>
        <v>4.9961560157817728E-7</v>
      </c>
      <c r="K172" s="572">
        <f t="shared" si="28"/>
        <v>1.6057738723443702E-6</v>
      </c>
      <c r="L172" s="572">
        <f t="shared" si="28"/>
        <v>1.4514039122903119E-5</v>
      </c>
      <c r="M172" s="572">
        <f t="shared" si="28"/>
        <v>3.9830321803897769E-5</v>
      </c>
      <c r="N172" s="572">
        <f t="shared" si="28"/>
        <v>7.8304328681815341E-5</v>
      </c>
      <c r="O172" s="572">
        <f t="shared" si="28"/>
        <v>1.3057147368950137E-4</v>
      </c>
      <c r="P172" s="572">
        <f t="shared" si="28"/>
        <v>1.9720599169831886E-4</v>
      </c>
      <c r="Q172" s="572">
        <f t="shared" si="28"/>
        <v>2.6593459534622149E-4</v>
      </c>
      <c r="R172" s="572">
        <f t="shared" si="28"/>
        <v>3.2555746089674354E-4</v>
      </c>
      <c r="S172" s="572">
        <f t="shared" si="28"/>
        <v>3.7457972570859206E-4</v>
      </c>
      <c r="T172" s="572">
        <f t="shared" si="28"/>
        <v>4.1203064988122872E-4</v>
      </c>
      <c r="U172" s="572">
        <f t="shared" si="28"/>
        <v>4.3726734755239298E-4</v>
      </c>
      <c r="V172" s="572">
        <f t="shared" si="28"/>
        <v>4.4898575349609749E-4</v>
      </c>
      <c r="W172" s="572">
        <f t="shared" si="28"/>
        <v>4.6027635671259091E-4</v>
      </c>
      <c r="X172" s="572">
        <f t="shared" si="28"/>
        <v>4.7235792308832932E-4</v>
      </c>
      <c r="Y172" s="572">
        <f t="shared" si="28"/>
        <v>4.8621337521845742E-4</v>
      </c>
      <c r="Z172" s="572">
        <f t="shared" si="28"/>
        <v>5.018088856264762E-4</v>
      </c>
      <c r="AA172" s="572">
        <f t="shared" si="28"/>
        <v>5.1779665162890985E-4</v>
      </c>
      <c r="AB172" s="572">
        <f t="shared" si="28"/>
        <v>5.339533119022976E-4</v>
      </c>
      <c r="AC172" s="572">
        <f t="shared" si="28"/>
        <v>5.497122446681777E-4</v>
      </c>
      <c r="AD172" s="572">
        <f t="shared" si="28"/>
        <v>5.6548791377722168E-4</v>
      </c>
      <c r="AE172" s="572">
        <f t="shared" si="28"/>
        <v>5.8111722725236214E-4</v>
      </c>
      <c r="AF172" s="572">
        <f t="shared" si="28"/>
        <v>5.9623167666656807E-4</v>
      </c>
      <c r="AG172" s="572">
        <f t="shared" si="28"/>
        <v>6.126107876341726E-4</v>
      </c>
      <c r="AH172" s="572">
        <f t="shared" si="28"/>
        <v>6.2938843028398513E-4</v>
      </c>
      <c r="AI172" s="572">
        <f t="shared" si="28"/>
        <v>6.4673792253906975E-4</v>
      </c>
      <c r="AJ172" s="572">
        <f t="shared" si="28"/>
        <v>6.0677807101771795E-4</v>
      </c>
      <c r="AK172" s="572">
        <f t="shared" si="28"/>
        <v>5.585522835768788E-4</v>
      </c>
      <c r="AL172" s="572">
        <f t="shared" si="28"/>
        <v>5.0697150155528466E-4</v>
      </c>
      <c r="AM172" s="572"/>
    </row>
    <row r="173" spans="1:39" ht="15.75" customHeight="1" x14ac:dyDescent="0.25">
      <c r="A173" s="3"/>
      <c r="B173" s="3"/>
      <c r="C173" s="3"/>
      <c r="D173" s="3" t="s">
        <v>2082</v>
      </c>
      <c r="E173" s="3"/>
      <c r="F173" s="572">
        <f t="shared" si="28"/>
        <v>0</v>
      </c>
      <c r="G173" s="572">
        <f t="shared" si="28"/>
        <v>0</v>
      </c>
      <c r="H173" s="572">
        <f t="shared" si="28"/>
        <v>0</v>
      </c>
      <c r="I173" s="572">
        <f t="shared" si="28"/>
        <v>0</v>
      </c>
      <c r="J173" s="572">
        <f t="shared" si="28"/>
        <v>3.1252988760546909E-6</v>
      </c>
      <c r="K173" s="572">
        <f t="shared" si="28"/>
        <v>1.5292877219111043E-2</v>
      </c>
      <c r="L173" s="572">
        <f t="shared" si="28"/>
        <v>3.6757878073003937E-2</v>
      </c>
      <c r="M173" s="572">
        <f t="shared" si="28"/>
        <v>4.3196454169263189E-2</v>
      </c>
      <c r="N173" s="572">
        <f t="shared" si="28"/>
        <v>4.4042634177496535E-2</v>
      </c>
      <c r="O173" s="572">
        <f t="shared" si="28"/>
        <v>4.4967038620776154E-2</v>
      </c>
      <c r="P173" s="572">
        <f t="shared" si="28"/>
        <v>3.5736860648423331E-2</v>
      </c>
      <c r="Q173" s="572">
        <f t="shared" si="28"/>
        <v>2.6186925136291384E-2</v>
      </c>
      <c r="R173" s="572">
        <f t="shared" si="28"/>
        <v>1.6196138000009439E-2</v>
      </c>
      <c r="S173" s="572">
        <f t="shared" si="28"/>
        <v>5.6043283756359663E-3</v>
      </c>
      <c r="T173" s="572">
        <f t="shared" si="28"/>
        <v>5.7033410018691479E-3</v>
      </c>
      <c r="U173" s="572">
        <f t="shared" si="28"/>
        <v>4.786365202022835E-3</v>
      </c>
      <c r="V173" s="572">
        <f t="shared" si="28"/>
        <v>3.8222817377450134E-3</v>
      </c>
      <c r="W173" s="572">
        <f t="shared" si="28"/>
        <v>2.8257465875583939E-3</v>
      </c>
      <c r="X173" s="572">
        <f t="shared" si="28"/>
        <v>1.7981086681998543E-3</v>
      </c>
      <c r="Y173" s="572">
        <f t="shared" si="28"/>
        <v>7.382421839629181E-4</v>
      </c>
      <c r="Z173" s="572">
        <f t="shared" si="28"/>
        <v>7.3973616806546742E-4</v>
      </c>
      <c r="AA173" s="572">
        <f t="shared" si="28"/>
        <v>7.4108157604983965E-4</v>
      </c>
      <c r="AB173" s="572">
        <f t="shared" si="28"/>
        <v>7.4190133586336706E-4</v>
      </c>
      <c r="AC173" s="572">
        <f t="shared" si="28"/>
        <v>7.4154736434371975E-4</v>
      </c>
      <c r="AD173" s="572">
        <f t="shared" si="28"/>
        <v>7.4066293220973801E-4</v>
      </c>
      <c r="AE173" s="572">
        <f t="shared" si="28"/>
        <v>7.3894896804106681E-4</v>
      </c>
      <c r="AF173" s="572">
        <f t="shared" si="28"/>
        <v>7.3609262959230324E-4</v>
      </c>
      <c r="AG173" s="572">
        <f t="shared" si="28"/>
        <v>7.3426584885125372E-4</v>
      </c>
      <c r="AH173" s="572">
        <f t="shared" si="28"/>
        <v>7.3244086865830696E-4</v>
      </c>
      <c r="AI173" s="572">
        <f t="shared" si="28"/>
        <v>7.3069577891417281E-4</v>
      </c>
      <c r="AJ173" s="572">
        <f t="shared" si="28"/>
        <v>7.3770172409781253E-4</v>
      </c>
      <c r="AK173" s="572">
        <f t="shared" si="28"/>
        <v>7.3677083802823349E-4</v>
      </c>
      <c r="AL173" s="572">
        <f t="shared" si="28"/>
        <v>7.3293318570675375E-4</v>
      </c>
      <c r="AM173" s="572"/>
    </row>
    <row r="174" spans="1:39" ht="15.75" customHeight="1" x14ac:dyDescent="0.25">
      <c r="A174" s="3"/>
      <c r="B174" s="3"/>
      <c r="C174" s="3"/>
      <c r="D174" s="3"/>
      <c r="E174" s="3"/>
      <c r="F174" s="572"/>
      <c r="G174" s="572"/>
      <c r="H174" s="572"/>
      <c r="I174" s="572"/>
      <c r="J174" s="572"/>
      <c r="K174" s="572"/>
      <c r="L174" s="572"/>
      <c r="M174" s="572"/>
      <c r="N174" s="572"/>
      <c r="O174" s="572"/>
      <c r="P174" s="572"/>
      <c r="Q174" s="572"/>
      <c r="R174" s="572"/>
      <c r="S174" s="572"/>
      <c r="T174" s="572"/>
      <c r="U174" s="572"/>
      <c r="V174" s="572"/>
      <c r="W174" s="572"/>
      <c r="X174" s="572"/>
      <c r="Y174" s="572"/>
      <c r="Z174" s="572"/>
      <c r="AA174" s="572"/>
      <c r="AB174" s="572"/>
      <c r="AC174" s="572"/>
      <c r="AD174" s="572"/>
      <c r="AE174" s="572"/>
      <c r="AF174" s="572"/>
      <c r="AG174" s="572"/>
      <c r="AH174" s="572"/>
      <c r="AI174" s="572"/>
      <c r="AJ174" s="572"/>
      <c r="AK174" s="572"/>
      <c r="AL174" s="572"/>
      <c r="AM174" s="572"/>
    </row>
    <row r="175" spans="1:39" ht="15.75" customHeight="1" x14ac:dyDescent="0.25">
      <c r="A175" s="3"/>
      <c r="B175" s="3"/>
      <c r="C175" s="3"/>
      <c r="D175" s="3" t="s">
        <v>3</v>
      </c>
      <c r="E175" s="3"/>
      <c r="F175" s="572">
        <f t="shared" ref="F175:AL175" si="29">F164</f>
        <v>2.6131014791080082E-7</v>
      </c>
      <c r="G175" s="572">
        <f t="shared" si="29"/>
        <v>4.1898124909234098E-7</v>
      </c>
      <c r="H175" s="572">
        <f t="shared" si="29"/>
        <v>5.8111866987456702E-7</v>
      </c>
      <c r="I175" s="572">
        <f t="shared" si="29"/>
        <v>7.4840461171582204E-7</v>
      </c>
      <c r="J175" s="572">
        <f t="shared" si="29"/>
        <v>9.2201719908830302E-7</v>
      </c>
      <c r="K175" s="572">
        <f t="shared" si="29"/>
        <v>2.3052706395561522E-6</v>
      </c>
      <c r="L175" s="572">
        <f t="shared" si="29"/>
        <v>4.4136082214367739E-6</v>
      </c>
      <c r="M175" s="572">
        <f t="shared" si="29"/>
        <v>6.5946290152229707E-6</v>
      </c>
      <c r="N175" s="572">
        <f t="shared" si="29"/>
        <v>8.8565132283437395E-6</v>
      </c>
      <c r="O175" s="572">
        <f t="shared" si="29"/>
        <v>1.1509845363912519E-5</v>
      </c>
      <c r="P175" s="572">
        <f t="shared" si="29"/>
        <v>1.2569649352965852E-5</v>
      </c>
      <c r="Q175" s="572">
        <f t="shared" si="29"/>
        <v>1.3247157241468287E-5</v>
      </c>
      <c r="R175" s="572">
        <f t="shared" si="29"/>
        <v>1.7288683860185458E-5</v>
      </c>
      <c r="S175" s="572">
        <f t="shared" si="29"/>
        <v>2.1944993352741679E-5</v>
      </c>
      <c r="T175" s="572">
        <f t="shared" si="29"/>
        <v>2.3330088569784589E-5</v>
      </c>
      <c r="U175" s="572">
        <f t="shared" si="29"/>
        <v>2.4713909211711638E-5</v>
      </c>
      <c r="V175" s="572">
        <f t="shared" si="29"/>
        <v>2.6092421796137101E-5</v>
      </c>
      <c r="W175" s="572">
        <f t="shared" si="29"/>
        <v>2.7471143032289743E-5</v>
      </c>
      <c r="X175" s="572">
        <f t="shared" si="29"/>
        <v>2.8923391721581608E-5</v>
      </c>
      <c r="Y175" s="572">
        <f t="shared" si="29"/>
        <v>3.1802293449473981E-5</v>
      </c>
      <c r="Z175" s="572">
        <f t="shared" si="29"/>
        <v>3.5335146091815057E-5</v>
      </c>
      <c r="AA175" s="572">
        <f t="shared" si="29"/>
        <v>3.771742776819257E-5</v>
      </c>
      <c r="AB175" s="572">
        <f t="shared" si="29"/>
        <v>3.956228490669917E-5</v>
      </c>
      <c r="AC175" s="572">
        <f t="shared" si="29"/>
        <v>4.1703195498338638E-5</v>
      </c>
      <c r="AD175" s="572">
        <f t="shared" si="29"/>
        <v>4.4100162870311796E-5</v>
      </c>
      <c r="AE175" s="572">
        <f t="shared" si="29"/>
        <v>4.6478452427122152E-5</v>
      </c>
      <c r="AF175" s="572">
        <f t="shared" si="29"/>
        <v>4.9640579107816882E-5</v>
      </c>
      <c r="AG175" s="572">
        <f t="shared" si="29"/>
        <v>5.2781854283047353E-5</v>
      </c>
      <c r="AH175" s="572">
        <f t="shared" si="29"/>
        <v>5.6556118564366453E-5</v>
      </c>
      <c r="AI175" s="572">
        <f t="shared" si="29"/>
        <v>6.0255123344093292E-5</v>
      </c>
      <c r="AJ175" s="572">
        <f t="shared" si="29"/>
        <v>6.4760276546437561E-5</v>
      </c>
      <c r="AK175" s="572">
        <f t="shared" si="29"/>
        <v>6.8680952135492248E-5</v>
      </c>
      <c r="AL175" s="572">
        <f t="shared" si="29"/>
        <v>7.2638169923938342E-5</v>
      </c>
      <c r="AM175" s="572"/>
    </row>
    <row r="176" spans="1:39" ht="15.75" customHeight="1" x14ac:dyDescent="0.25">
      <c r="A176" s="3"/>
      <c r="B176" s="3"/>
      <c r="C176" s="3"/>
      <c r="D176" s="3" t="s">
        <v>2070</v>
      </c>
      <c r="E176" s="3"/>
      <c r="F176" s="572">
        <f t="shared" ref="F176:AL176" si="30">SUM(F165:F171)</f>
        <v>5.2561127898910548E-3</v>
      </c>
      <c r="G176" s="572">
        <f t="shared" si="30"/>
        <v>1.1068138665048506E-2</v>
      </c>
      <c r="H176" s="572">
        <f t="shared" si="30"/>
        <v>3.1515538404487779E-2</v>
      </c>
      <c r="I176" s="572">
        <f t="shared" si="30"/>
        <v>0.10440657742779755</v>
      </c>
      <c r="J176" s="572">
        <f t="shared" si="30"/>
        <v>0.25465791033007856</v>
      </c>
      <c r="K176" s="572">
        <f t="shared" si="30"/>
        <v>0.55047441770365191</v>
      </c>
      <c r="L176" s="572">
        <f t="shared" si="30"/>
        <v>0.76340018087424921</v>
      </c>
      <c r="M176" s="572">
        <f t="shared" si="30"/>
        <v>0.9743419163551772</v>
      </c>
      <c r="N176" s="572">
        <f t="shared" si="30"/>
        <v>1.1295703908192107</v>
      </c>
      <c r="O176" s="572">
        <f t="shared" si="30"/>
        <v>1.2910706154832667</v>
      </c>
      <c r="P176" s="572">
        <f t="shared" si="30"/>
        <v>1.4359516981598268</v>
      </c>
      <c r="Q176" s="572">
        <f t="shared" si="30"/>
        <v>1.5808583717423241</v>
      </c>
      <c r="R176" s="572">
        <f t="shared" si="30"/>
        <v>1.6943597792822711</v>
      </c>
      <c r="S176" s="572">
        <f t="shared" si="30"/>
        <v>1.7998427944338444</v>
      </c>
      <c r="T176" s="572">
        <f t="shared" si="30"/>
        <v>1.886583193318373</v>
      </c>
      <c r="U176" s="572">
        <f t="shared" si="30"/>
        <v>1.9896363935027968</v>
      </c>
      <c r="V176" s="572">
        <f t="shared" si="30"/>
        <v>2.1264534710247474</v>
      </c>
      <c r="W176" s="572">
        <f t="shared" si="30"/>
        <v>2.2781620569451952</v>
      </c>
      <c r="X176" s="572">
        <f t="shared" si="30"/>
        <v>2.4450340875026564</v>
      </c>
      <c r="Y176" s="572">
        <f t="shared" si="30"/>
        <v>2.5174528356644577</v>
      </c>
      <c r="Z176" s="572">
        <f t="shared" si="30"/>
        <v>2.3965532966166059</v>
      </c>
      <c r="AA176" s="572">
        <f t="shared" si="30"/>
        <v>2.5508710849997303</v>
      </c>
      <c r="AB176" s="572">
        <f t="shared" si="30"/>
        <v>2.7141578312153496</v>
      </c>
      <c r="AC176" s="572">
        <f t="shared" si="30"/>
        <v>3.155021748367659</v>
      </c>
      <c r="AD176" s="572">
        <f t="shared" si="30"/>
        <v>3.6298990529682649</v>
      </c>
      <c r="AE176" s="572">
        <f t="shared" si="30"/>
        <v>3.5273221177204666</v>
      </c>
      <c r="AF176" s="572">
        <f t="shared" si="30"/>
        <v>3.5647340565105123</v>
      </c>
      <c r="AG176" s="572">
        <f t="shared" si="30"/>
        <v>3.0353422192039665</v>
      </c>
      <c r="AH176" s="572">
        <f t="shared" si="30"/>
        <v>3.4460176461129821</v>
      </c>
      <c r="AI176" s="572">
        <f t="shared" si="30"/>
        <v>3.2750794715661051</v>
      </c>
      <c r="AJ176" s="572">
        <f t="shared" si="30"/>
        <v>3.689915798190575</v>
      </c>
      <c r="AK176" s="572">
        <f t="shared" si="30"/>
        <v>3.8289155126363608</v>
      </c>
      <c r="AL176" s="572">
        <f t="shared" si="30"/>
        <v>3.9442035135951743</v>
      </c>
      <c r="AM176" s="572"/>
    </row>
    <row r="177" spans="1:39" ht="15.75" customHeight="1" x14ac:dyDescent="0.25">
      <c r="A177" s="3"/>
      <c r="B177" s="3"/>
      <c r="C177" s="3"/>
      <c r="D177" s="3" t="s">
        <v>2081</v>
      </c>
      <c r="E177" s="3"/>
      <c r="F177" s="572">
        <f t="shared" ref="F177:AL177" si="31">SUM(F172:F173)</f>
        <v>0</v>
      </c>
      <c r="G177" s="572">
        <f t="shared" si="31"/>
        <v>0</v>
      </c>
      <c r="H177" s="572">
        <f t="shared" si="31"/>
        <v>0</v>
      </c>
      <c r="I177" s="572">
        <f t="shared" si="31"/>
        <v>0</v>
      </c>
      <c r="J177" s="572">
        <f t="shared" si="31"/>
        <v>3.624914477632868E-6</v>
      </c>
      <c r="K177" s="572">
        <f t="shared" si="31"/>
        <v>1.5294482992983388E-2</v>
      </c>
      <c r="L177" s="572">
        <f t="shared" si="31"/>
        <v>3.6772392112126843E-2</v>
      </c>
      <c r="M177" s="572">
        <f t="shared" si="31"/>
        <v>4.323628449106709E-2</v>
      </c>
      <c r="N177" s="572">
        <f t="shared" si="31"/>
        <v>4.4120938506178348E-2</v>
      </c>
      <c r="O177" s="572">
        <f t="shared" si="31"/>
        <v>4.5097610094465654E-2</v>
      </c>
      <c r="P177" s="572">
        <f t="shared" si="31"/>
        <v>3.5934066640121651E-2</v>
      </c>
      <c r="Q177" s="572">
        <f t="shared" si="31"/>
        <v>2.6452859731637607E-2</v>
      </c>
      <c r="R177" s="572">
        <f t="shared" si="31"/>
        <v>1.6521695460906184E-2</v>
      </c>
      <c r="S177" s="572">
        <f t="shared" si="31"/>
        <v>5.9789081013445584E-3</v>
      </c>
      <c r="T177" s="572">
        <f t="shared" si="31"/>
        <v>6.1153716517503764E-3</v>
      </c>
      <c r="U177" s="572">
        <f t="shared" si="31"/>
        <v>5.223632549575228E-3</v>
      </c>
      <c r="V177" s="572">
        <f t="shared" si="31"/>
        <v>4.2712674912411108E-3</v>
      </c>
      <c r="W177" s="572">
        <f t="shared" si="31"/>
        <v>3.2860229442709847E-3</v>
      </c>
      <c r="X177" s="572">
        <f t="shared" si="31"/>
        <v>2.2704665912881834E-3</v>
      </c>
      <c r="Y177" s="572">
        <f t="shared" si="31"/>
        <v>1.2244555591813754E-3</v>
      </c>
      <c r="Z177" s="572">
        <f t="shared" si="31"/>
        <v>1.2415450536919436E-3</v>
      </c>
      <c r="AA177" s="572">
        <f t="shared" si="31"/>
        <v>1.2588782276787495E-3</v>
      </c>
      <c r="AB177" s="572">
        <f t="shared" si="31"/>
        <v>1.2758546477656648E-3</v>
      </c>
      <c r="AC177" s="572">
        <f t="shared" si="31"/>
        <v>1.2912596090118974E-3</v>
      </c>
      <c r="AD177" s="572">
        <f t="shared" si="31"/>
        <v>1.3061508459869596E-3</v>
      </c>
      <c r="AE177" s="572">
        <f t="shared" si="31"/>
        <v>1.3200661952934289E-3</v>
      </c>
      <c r="AF177" s="572">
        <f t="shared" si="31"/>
        <v>1.3323243062588713E-3</v>
      </c>
      <c r="AG177" s="572">
        <f t="shared" si="31"/>
        <v>1.3468766364854263E-3</v>
      </c>
      <c r="AH177" s="572">
        <f t="shared" si="31"/>
        <v>1.3618292989422921E-3</v>
      </c>
      <c r="AI177" s="572">
        <f t="shared" si="31"/>
        <v>1.3774337014532427E-3</v>
      </c>
      <c r="AJ177" s="572">
        <f t="shared" si="31"/>
        <v>1.3444797951155305E-3</v>
      </c>
      <c r="AK177" s="572">
        <f t="shared" si="31"/>
        <v>1.2953231216051124E-3</v>
      </c>
      <c r="AL177" s="572">
        <f t="shared" si="31"/>
        <v>1.2399046872620385E-3</v>
      </c>
      <c r="AM177" s="572"/>
    </row>
    <row r="178" spans="1:39" ht="15.75" customHeight="1" x14ac:dyDescent="0.25">
      <c r="A178" s="3"/>
      <c r="B178" s="3"/>
      <c r="C178" s="3"/>
      <c r="D178" s="3"/>
      <c r="E178" s="3"/>
      <c r="F178" s="572"/>
      <c r="G178" s="572"/>
      <c r="H178" s="572"/>
      <c r="I178" s="572"/>
      <c r="J178" s="572"/>
      <c r="K178" s="572"/>
      <c r="L178" s="572"/>
      <c r="M178" s="572"/>
      <c r="N178" s="572"/>
      <c r="O178" s="572"/>
      <c r="P178" s="572"/>
      <c r="Q178" s="572"/>
      <c r="R178" s="572"/>
      <c r="S178" s="572"/>
      <c r="T178" s="572"/>
      <c r="U178" s="572"/>
      <c r="V178" s="572"/>
      <c r="W178" s="572"/>
      <c r="X178" s="572"/>
      <c r="Y178" s="572"/>
      <c r="Z178" s="572"/>
      <c r="AA178" s="572"/>
      <c r="AB178" s="572"/>
      <c r="AC178" s="572"/>
      <c r="AD178" s="572"/>
      <c r="AE178" s="572"/>
      <c r="AF178" s="572"/>
      <c r="AG178" s="572"/>
      <c r="AH178" s="572"/>
      <c r="AI178" s="572"/>
      <c r="AJ178" s="572"/>
      <c r="AK178" s="572"/>
      <c r="AL178" s="572"/>
      <c r="AM178" s="572"/>
    </row>
    <row r="179" spans="1:39" ht="15.75" customHeight="1" x14ac:dyDescent="0.25">
      <c r="A179" s="3"/>
      <c r="B179" s="3"/>
      <c r="C179" s="3"/>
      <c r="D179" s="3" t="s">
        <v>2137</v>
      </c>
      <c r="E179" s="3"/>
      <c r="F179" s="572">
        <f t="shared" ref="F179:AL179" si="32">SUM(F175:F177)</f>
        <v>5.2563741000389652E-3</v>
      </c>
      <c r="G179" s="572">
        <f t="shared" si="32"/>
        <v>1.1068557646297598E-2</v>
      </c>
      <c r="H179" s="572">
        <f t="shared" si="32"/>
        <v>3.1516119523157651E-2</v>
      </c>
      <c r="I179" s="572">
        <f t="shared" si="32"/>
        <v>0.10440732583240926</v>
      </c>
      <c r="J179" s="572">
        <f t="shared" si="32"/>
        <v>0.25466245726175529</v>
      </c>
      <c r="K179" s="572">
        <f t="shared" si="32"/>
        <v>0.56577120596727493</v>
      </c>
      <c r="L179" s="572">
        <f t="shared" si="32"/>
        <v>0.80017698659459746</v>
      </c>
      <c r="M179" s="572">
        <f t="shared" si="32"/>
        <v>1.0175847954752595</v>
      </c>
      <c r="N179" s="572">
        <f t="shared" si="32"/>
        <v>1.1737001858386173</v>
      </c>
      <c r="O179" s="572">
        <f t="shared" si="32"/>
        <v>1.3361797354230962</v>
      </c>
      <c r="P179" s="572">
        <f t="shared" si="32"/>
        <v>1.4718983344493013</v>
      </c>
      <c r="Q179" s="572">
        <f t="shared" si="32"/>
        <v>1.6073244786312031</v>
      </c>
      <c r="R179" s="572">
        <f t="shared" si="32"/>
        <v>1.7108987634270374</v>
      </c>
      <c r="S179" s="572">
        <f t="shared" si="32"/>
        <v>1.8058436475285418</v>
      </c>
      <c r="T179" s="572">
        <f t="shared" si="32"/>
        <v>1.892721895058693</v>
      </c>
      <c r="U179" s="572">
        <f t="shared" si="32"/>
        <v>1.9948847399615837</v>
      </c>
      <c r="V179" s="572">
        <f t="shared" si="32"/>
        <v>2.1307508309377847</v>
      </c>
      <c r="W179" s="572">
        <f t="shared" si="32"/>
        <v>2.2814755510324987</v>
      </c>
      <c r="X179" s="572">
        <f t="shared" si="32"/>
        <v>2.4473334774856661</v>
      </c>
      <c r="Y179" s="572">
        <f t="shared" si="32"/>
        <v>2.5187090935170882</v>
      </c>
      <c r="Z179" s="572">
        <f t="shared" si="32"/>
        <v>2.3978301768163894</v>
      </c>
      <c r="AA179" s="572">
        <f t="shared" si="32"/>
        <v>2.552167680655177</v>
      </c>
      <c r="AB179" s="572">
        <f t="shared" si="32"/>
        <v>2.7154732481480219</v>
      </c>
      <c r="AC179" s="572">
        <f t="shared" si="32"/>
        <v>3.156354711172169</v>
      </c>
      <c r="AD179" s="572">
        <f t="shared" si="32"/>
        <v>3.6312493039771221</v>
      </c>
      <c r="AE179" s="572">
        <f t="shared" si="32"/>
        <v>3.5286886623681872</v>
      </c>
      <c r="AF179" s="572">
        <f t="shared" si="32"/>
        <v>3.5661160213958789</v>
      </c>
      <c r="AG179" s="572">
        <f t="shared" si="32"/>
        <v>3.0367418776947352</v>
      </c>
      <c r="AH179" s="572">
        <f t="shared" si="32"/>
        <v>3.4474360315304886</v>
      </c>
      <c r="AI179" s="572">
        <f t="shared" si="32"/>
        <v>3.2765171603909025</v>
      </c>
      <c r="AJ179" s="572">
        <f t="shared" si="32"/>
        <v>3.6913250382622369</v>
      </c>
      <c r="AK179" s="572">
        <f t="shared" si="32"/>
        <v>3.8302795167101014</v>
      </c>
      <c r="AL179" s="572">
        <f t="shared" si="32"/>
        <v>3.9455160564523601</v>
      </c>
      <c r="AM179" s="572"/>
    </row>
    <row r="180" spans="1:39" ht="15.7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row>
    <row r="181" spans="1:39" ht="15.75" customHeight="1" x14ac:dyDescent="0.25">
      <c r="A181" s="3"/>
      <c r="B181" s="2140" t="s">
        <v>2138</v>
      </c>
      <c r="C181" s="2138"/>
      <c r="D181" s="2138"/>
      <c r="E181" s="2138"/>
      <c r="F181" s="2138"/>
      <c r="G181" s="2138"/>
      <c r="H181" s="2138"/>
      <c r="I181" s="2138"/>
      <c r="J181" s="2138"/>
      <c r="K181" s="2138"/>
      <c r="L181" s="2138"/>
      <c r="M181" s="2138"/>
      <c r="N181" s="2138"/>
      <c r="O181" s="2138"/>
      <c r="P181" s="2138"/>
      <c r="Q181" s="2138"/>
      <c r="R181" s="2138"/>
      <c r="S181" s="2138"/>
      <c r="T181" s="2138"/>
      <c r="U181" s="2138"/>
      <c r="V181" s="2138"/>
      <c r="W181" s="2138"/>
      <c r="X181" s="2138"/>
      <c r="Y181" s="2138"/>
      <c r="Z181" s="2138"/>
      <c r="AA181" s="2138"/>
      <c r="AB181" s="2138"/>
      <c r="AC181" s="2138"/>
      <c r="AD181" s="2138"/>
      <c r="AE181" s="2138"/>
      <c r="AF181" s="2138"/>
      <c r="AG181" s="2138"/>
      <c r="AH181" s="2138"/>
      <c r="AI181" s="2138"/>
      <c r="AJ181" s="2138"/>
      <c r="AK181" s="2138"/>
      <c r="AL181" s="2138"/>
      <c r="AM181" s="2139"/>
    </row>
    <row r="182" spans="1:39" ht="15.7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row>
    <row r="183" spans="1:39" ht="15.75" customHeight="1" x14ac:dyDescent="0.25">
      <c r="A183" s="3"/>
      <c r="B183" s="2141" t="s">
        <v>2</v>
      </c>
      <c r="C183" s="2142"/>
      <c r="D183" s="2142"/>
      <c r="E183" s="2142"/>
      <c r="F183" s="2142"/>
      <c r="G183" s="2142"/>
      <c r="H183" s="2142"/>
      <c r="I183" s="2142"/>
      <c r="J183" s="2142"/>
      <c r="K183" s="2142"/>
      <c r="L183" s="2142"/>
      <c r="M183" s="2142"/>
      <c r="N183" s="2142"/>
      <c r="O183" s="2142"/>
      <c r="P183" s="2142"/>
      <c r="Q183" s="2142"/>
      <c r="R183" s="2142"/>
      <c r="S183" s="2142"/>
      <c r="T183" s="2142"/>
      <c r="U183" s="2142"/>
      <c r="V183" s="2142"/>
      <c r="W183" s="2142"/>
      <c r="X183" s="2142"/>
      <c r="Y183" s="2142"/>
      <c r="Z183" s="2142"/>
      <c r="AA183" s="2142"/>
      <c r="AB183" s="2142"/>
      <c r="AC183" s="2142"/>
      <c r="AD183" s="2142"/>
      <c r="AE183" s="2142"/>
      <c r="AF183" s="2142"/>
      <c r="AG183" s="2142"/>
      <c r="AH183" s="2142"/>
      <c r="AI183" s="2142"/>
      <c r="AJ183" s="2142"/>
      <c r="AK183" s="2142"/>
      <c r="AL183" s="2142"/>
      <c r="AM183" s="2145"/>
    </row>
    <row r="184" spans="1:39" ht="15.75" customHeight="1" x14ac:dyDescent="0.25">
      <c r="A184" s="3"/>
      <c r="B184" s="60" t="s">
        <v>2029</v>
      </c>
      <c r="C184" s="3"/>
      <c r="D184" s="60"/>
      <c r="E184" s="60"/>
      <c r="F184" s="60" t="s">
        <v>2033</v>
      </c>
      <c r="G184" s="60" t="s">
        <v>2034</v>
      </c>
      <c r="H184" s="60" t="s">
        <v>2035</v>
      </c>
      <c r="I184" s="60" t="s">
        <v>2036</v>
      </c>
      <c r="J184" s="60" t="s">
        <v>2037</v>
      </c>
      <c r="K184" s="60" t="s">
        <v>2038</v>
      </c>
      <c r="L184" s="60" t="s">
        <v>2039</v>
      </c>
      <c r="M184" s="60" t="s">
        <v>2040</v>
      </c>
      <c r="N184" s="60" t="s">
        <v>2041</v>
      </c>
      <c r="O184" s="60" t="s">
        <v>2042</v>
      </c>
      <c r="P184" s="60" t="s">
        <v>2043</v>
      </c>
      <c r="Q184" s="60" t="s">
        <v>2044</v>
      </c>
      <c r="R184" s="60" t="s">
        <v>2045</v>
      </c>
      <c r="S184" s="60" t="s">
        <v>2046</v>
      </c>
      <c r="T184" s="60" t="s">
        <v>2047</v>
      </c>
      <c r="U184" s="60" t="s">
        <v>2048</v>
      </c>
      <c r="V184" s="60" t="s">
        <v>2049</v>
      </c>
      <c r="W184" s="60" t="s">
        <v>2050</v>
      </c>
      <c r="X184" s="60" t="s">
        <v>2051</v>
      </c>
      <c r="Y184" s="60" t="s">
        <v>2052</v>
      </c>
      <c r="Z184" s="60" t="s">
        <v>2053</v>
      </c>
      <c r="AA184" s="60" t="s">
        <v>2054</v>
      </c>
      <c r="AB184" s="60" t="s">
        <v>2055</v>
      </c>
      <c r="AC184" s="60" t="s">
        <v>2056</v>
      </c>
      <c r="AD184" s="60" t="s">
        <v>2057</v>
      </c>
      <c r="AE184" s="60" t="s">
        <v>2058</v>
      </c>
      <c r="AF184" s="60" t="s">
        <v>2059</v>
      </c>
      <c r="AG184" s="60" t="s">
        <v>2060</v>
      </c>
      <c r="AH184" s="60" t="s">
        <v>2061</v>
      </c>
      <c r="AI184" s="60" t="s">
        <v>2062</v>
      </c>
      <c r="AJ184" s="60" t="s">
        <v>2063</v>
      </c>
      <c r="AK184" s="60" t="s">
        <v>2064</v>
      </c>
      <c r="AL184" s="60" t="s">
        <v>2065</v>
      </c>
      <c r="AM184" s="60"/>
    </row>
    <row r="185" spans="1:39" ht="15.75" customHeight="1" x14ac:dyDescent="0.25">
      <c r="A185" s="3"/>
      <c r="B185" s="3" t="s">
        <v>2066</v>
      </c>
      <c r="C185" s="3"/>
      <c r="D185" s="3"/>
      <c r="E185" s="3"/>
      <c r="F185" s="572">
        <f t="shared" ref="F185:AL190" si="33">SUMIF($B$16:$B$49,$B185,F$16:F$49)</f>
        <v>0</v>
      </c>
      <c r="G185" s="572">
        <f t="shared" si="33"/>
        <v>0</v>
      </c>
      <c r="H185" s="572">
        <f t="shared" si="33"/>
        <v>0</v>
      </c>
      <c r="I185" s="572">
        <f t="shared" si="33"/>
        <v>0</v>
      </c>
      <c r="J185" s="572">
        <f t="shared" si="33"/>
        <v>7.2105919715150286E-5</v>
      </c>
      <c r="K185" s="572">
        <f t="shared" si="33"/>
        <v>6.1285513036061275E-4</v>
      </c>
      <c r="L185" s="572">
        <f t="shared" si="33"/>
        <v>1.5063543721975246E-3</v>
      </c>
      <c r="M185" s="572">
        <f t="shared" si="33"/>
        <v>3.0434438681324707E-3</v>
      </c>
      <c r="N185" s="572">
        <f t="shared" si="33"/>
        <v>5.1295941830848436E-3</v>
      </c>
      <c r="O185" s="572">
        <f t="shared" si="33"/>
        <v>8.0316148717966118E-3</v>
      </c>
      <c r="P185" s="572">
        <f t="shared" si="33"/>
        <v>1.0889911130349221E-2</v>
      </c>
      <c r="Q185" s="572">
        <f t="shared" si="33"/>
        <v>1.3712062262757939E-2</v>
      </c>
      <c r="R185" s="572">
        <f t="shared" si="33"/>
        <v>1.648562969924406E-2</v>
      </c>
      <c r="S185" s="572">
        <f t="shared" si="33"/>
        <v>1.8665333965892102E-2</v>
      </c>
      <c r="T185" s="572">
        <f t="shared" si="33"/>
        <v>2.0647262373855866E-2</v>
      </c>
      <c r="U185" s="572">
        <f t="shared" si="33"/>
        <v>2.2410144640867428E-2</v>
      </c>
      <c r="V185" s="572">
        <f t="shared" si="33"/>
        <v>2.4110369744410529E-2</v>
      </c>
      <c r="W185" s="572">
        <f t="shared" si="33"/>
        <v>2.574518539645845E-2</v>
      </c>
      <c r="X185" s="572">
        <f t="shared" si="33"/>
        <v>2.7361503739153973E-2</v>
      </c>
      <c r="Y185" s="572">
        <f t="shared" si="33"/>
        <v>2.843524224429549E-2</v>
      </c>
      <c r="Z185" s="572">
        <f t="shared" si="33"/>
        <v>3.0012131374129055E-2</v>
      </c>
      <c r="AA185" s="572">
        <f t="shared" si="33"/>
        <v>3.187452525702545E-2</v>
      </c>
      <c r="AB185" s="572">
        <f t="shared" si="33"/>
        <v>3.3837802970205E-2</v>
      </c>
      <c r="AC185" s="572">
        <f t="shared" si="33"/>
        <v>3.5594791565102715E-2</v>
      </c>
      <c r="AD185" s="572">
        <f t="shared" si="33"/>
        <v>3.7951465300442244E-2</v>
      </c>
      <c r="AE185" s="572">
        <f t="shared" si="33"/>
        <v>3.9063849322567672E-2</v>
      </c>
      <c r="AF185" s="572">
        <f t="shared" si="33"/>
        <v>4.1136276684157522E-2</v>
      </c>
      <c r="AG185" s="572">
        <f t="shared" si="33"/>
        <v>4.1654561205707652E-2</v>
      </c>
      <c r="AH185" s="572">
        <f t="shared" si="33"/>
        <v>4.371463553219207E-2</v>
      </c>
      <c r="AI185" s="572">
        <f t="shared" si="33"/>
        <v>4.4439641097130965E-2</v>
      </c>
      <c r="AJ185" s="572">
        <f t="shared" si="33"/>
        <v>4.6456465734988968E-2</v>
      </c>
      <c r="AK185" s="572">
        <f t="shared" si="33"/>
        <v>4.7456699884263986E-2</v>
      </c>
      <c r="AL185" s="572">
        <f t="shared" si="33"/>
        <v>4.8308508674681477E-2</v>
      </c>
      <c r="AM185" s="572"/>
    </row>
    <row r="186" spans="1:39" ht="15.75" customHeight="1" x14ac:dyDescent="0.25">
      <c r="A186" s="3"/>
      <c r="B186" s="3" t="s">
        <v>2068</v>
      </c>
      <c r="C186" s="3"/>
      <c r="D186" s="3"/>
      <c r="E186" s="3"/>
      <c r="F186" s="572">
        <f t="shared" si="33"/>
        <v>1.2498464374573599E-4</v>
      </c>
      <c r="G186" s="572">
        <f t="shared" si="33"/>
        <v>1.9759599133754223E-4</v>
      </c>
      <c r="H186" s="572">
        <f t="shared" si="33"/>
        <v>2.7646125233332587E-4</v>
      </c>
      <c r="I186" s="572">
        <f t="shared" si="33"/>
        <v>3.6181180050382433E-4</v>
      </c>
      <c r="J186" s="572">
        <f t="shared" si="33"/>
        <v>3.897996485494196E-4</v>
      </c>
      <c r="K186" s="572">
        <f t="shared" si="33"/>
        <v>7.1059808027374252E-4</v>
      </c>
      <c r="L186" s="572">
        <f t="shared" si="33"/>
        <v>1.6094511220163697E-3</v>
      </c>
      <c r="M186" s="572">
        <f t="shared" si="33"/>
        <v>2.5545761530009511E-3</v>
      </c>
      <c r="N186" s="572">
        <f t="shared" si="33"/>
        <v>3.5550703975006622E-3</v>
      </c>
      <c r="O186" s="572">
        <f t="shared" si="33"/>
        <v>4.6011209287602599E-3</v>
      </c>
      <c r="P186" s="572">
        <f t="shared" si="33"/>
        <v>4.9468350824592279E-3</v>
      </c>
      <c r="Q186" s="572">
        <f t="shared" si="33"/>
        <v>5.9345380482300741E-3</v>
      </c>
      <c r="R186" s="572">
        <f t="shared" si="33"/>
        <v>2.6261543295702759E-2</v>
      </c>
      <c r="S186" s="572">
        <f t="shared" si="33"/>
        <v>5.0150414900290999E-2</v>
      </c>
      <c r="T186" s="572">
        <f t="shared" si="33"/>
        <v>5.6296376737982094E-2</v>
      </c>
      <c r="U186" s="572">
        <f t="shared" si="33"/>
        <v>6.2565220005701597E-2</v>
      </c>
      <c r="V186" s="572">
        <f t="shared" si="33"/>
        <v>6.8946562255248575E-2</v>
      </c>
      <c r="W186" s="572">
        <f t="shared" si="33"/>
        <v>7.5423791953472971E-2</v>
      </c>
      <c r="X186" s="572">
        <f t="shared" si="33"/>
        <v>8.1740815288038171E-2</v>
      </c>
      <c r="Y186" s="572">
        <f t="shared" si="33"/>
        <v>0.10761159151881834</v>
      </c>
      <c r="Z186" s="572">
        <f t="shared" si="33"/>
        <v>0.12794764263886921</v>
      </c>
      <c r="AA186" s="572">
        <f t="shared" si="33"/>
        <v>0.1392134734480811</v>
      </c>
      <c r="AB186" s="572">
        <f t="shared" si="33"/>
        <v>0.15046983128053817</v>
      </c>
      <c r="AC186" s="572">
        <f t="shared" si="33"/>
        <v>0.18357247635046137</v>
      </c>
      <c r="AD186" s="572">
        <f t="shared" si="33"/>
        <v>0.21234430451263558</v>
      </c>
      <c r="AE186" s="572">
        <f t="shared" si="33"/>
        <v>0.23110579810893955</v>
      </c>
      <c r="AF186" s="572">
        <f t="shared" si="33"/>
        <v>0.23949444068247275</v>
      </c>
      <c r="AG186" s="572">
        <f t="shared" si="33"/>
        <v>0.23805963762431312</v>
      </c>
      <c r="AH186" s="572">
        <f t="shared" si="33"/>
        <v>0.25513604821928398</v>
      </c>
      <c r="AI186" s="572">
        <f t="shared" si="33"/>
        <v>0.25069838634141794</v>
      </c>
      <c r="AJ186" s="572">
        <f t="shared" si="33"/>
        <v>0.25757600940917913</v>
      </c>
      <c r="AK186" s="572">
        <f t="shared" si="33"/>
        <v>0.20133840239177225</v>
      </c>
      <c r="AL186" s="572">
        <f t="shared" si="33"/>
        <v>0.2175595808811642</v>
      </c>
      <c r="AM186" s="572"/>
    </row>
    <row r="187" spans="1:39" ht="15.75" customHeight="1" x14ac:dyDescent="0.25">
      <c r="A187" s="3"/>
      <c r="B187" s="3" t="s">
        <v>2073</v>
      </c>
      <c r="C187" s="3"/>
      <c r="D187" s="3"/>
      <c r="E187" s="3"/>
      <c r="F187" s="572">
        <f t="shared" si="33"/>
        <v>0</v>
      </c>
      <c r="G187" s="572">
        <f t="shared" si="33"/>
        <v>0</v>
      </c>
      <c r="H187" s="572">
        <f t="shared" si="33"/>
        <v>0</v>
      </c>
      <c r="I187" s="572">
        <f t="shared" si="33"/>
        <v>0</v>
      </c>
      <c r="J187" s="572">
        <f t="shared" si="33"/>
        <v>0</v>
      </c>
      <c r="K187" s="572">
        <f t="shared" si="33"/>
        <v>0</v>
      </c>
      <c r="L187" s="572">
        <f t="shared" si="33"/>
        <v>0</v>
      </c>
      <c r="M187" s="572">
        <f t="shared" si="33"/>
        <v>3.2235782254365608E-4</v>
      </c>
      <c r="N187" s="572">
        <f t="shared" si="33"/>
        <v>6.5270642478647929E-4</v>
      </c>
      <c r="O187" s="572">
        <f t="shared" si="33"/>
        <v>9.9047932329365059E-4</v>
      </c>
      <c r="P187" s="572">
        <f t="shared" si="33"/>
        <v>1.371567092698403E-3</v>
      </c>
      <c r="Q187" s="572">
        <f t="shared" si="33"/>
        <v>3.1367205233573548E-3</v>
      </c>
      <c r="R187" s="572">
        <f t="shared" si="33"/>
        <v>4.9577196476018647E-3</v>
      </c>
      <c r="S187" s="572">
        <f t="shared" si="33"/>
        <v>6.8239834112029498E-3</v>
      </c>
      <c r="T187" s="572">
        <f t="shared" si="33"/>
        <v>8.7482454746959041E-3</v>
      </c>
      <c r="U187" s="572">
        <f t="shared" si="33"/>
        <v>1.0728317244315449E-2</v>
      </c>
      <c r="V187" s="572">
        <f t="shared" si="33"/>
        <v>1.274075218509407E-2</v>
      </c>
      <c r="W187" s="572">
        <f t="shared" si="33"/>
        <v>1.5873296838508563E-2</v>
      </c>
      <c r="X187" s="572">
        <f t="shared" si="33"/>
        <v>1.866954517859909E-2</v>
      </c>
      <c r="Y187" s="572">
        <f t="shared" si="33"/>
        <v>2.1214494125891267E-2</v>
      </c>
      <c r="Z187" s="572">
        <f t="shared" si="33"/>
        <v>2.1552270045706118E-2</v>
      </c>
      <c r="AA187" s="572">
        <f t="shared" si="33"/>
        <v>2.4259664127360824E-2</v>
      </c>
      <c r="AB187" s="572">
        <f t="shared" si="33"/>
        <v>2.4306866839050797E-2</v>
      </c>
      <c r="AC187" s="572">
        <f t="shared" si="33"/>
        <v>2.8509269544091088E-2</v>
      </c>
      <c r="AD187" s="572">
        <f t="shared" si="33"/>
        <v>2.9432072155723694E-2</v>
      </c>
      <c r="AE187" s="572">
        <f t="shared" si="33"/>
        <v>2.5623627137663661E-2</v>
      </c>
      <c r="AF187" s="572">
        <f t="shared" si="33"/>
        <v>3.0328428800894203E-2</v>
      </c>
      <c r="AG187" s="572">
        <f t="shared" si="33"/>
        <v>3.3174207015971305E-2</v>
      </c>
      <c r="AH187" s="572">
        <f t="shared" si="33"/>
        <v>4.1168884090298202E-2</v>
      </c>
      <c r="AI187" s="572">
        <f t="shared" si="33"/>
        <v>4.0876081697963168E-2</v>
      </c>
      <c r="AJ187" s="572">
        <f t="shared" si="33"/>
        <v>4.4901273365417868E-2</v>
      </c>
      <c r="AK187" s="572">
        <f t="shared" si="33"/>
        <v>4.5575131534607419E-2</v>
      </c>
      <c r="AL187" s="572">
        <f t="shared" si="33"/>
        <v>2.7703232964750114E-2</v>
      </c>
      <c r="AM187" s="572"/>
    </row>
    <row r="188" spans="1:39" ht="15.75" customHeight="1" x14ac:dyDescent="0.25">
      <c r="A188" s="3"/>
      <c r="B188" s="3" t="s">
        <v>2074</v>
      </c>
      <c r="C188" s="3"/>
      <c r="D188" s="3"/>
      <c r="E188" s="3"/>
      <c r="F188" s="572">
        <f t="shared" si="33"/>
        <v>4.3648724486724348E-3</v>
      </c>
      <c r="G188" s="572">
        <f t="shared" si="33"/>
        <v>9.5683674503027998E-3</v>
      </c>
      <c r="H188" s="572">
        <f t="shared" si="33"/>
        <v>9.5453743608877092E-3</v>
      </c>
      <c r="I188" s="572">
        <f t="shared" si="33"/>
        <v>9.5139138736681089E-3</v>
      </c>
      <c r="J188" s="572">
        <f t="shared" si="33"/>
        <v>2.2336436916164441E-2</v>
      </c>
      <c r="K188" s="572">
        <f t="shared" si="33"/>
        <v>0.14249635803079547</v>
      </c>
      <c r="L188" s="572">
        <f t="shared" si="33"/>
        <v>0.16428444804518955</v>
      </c>
      <c r="M188" s="572">
        <f t="shared" si="33"/>
        <v>0.18357195880718782</v>
      </c>
      <c r="N188" s="572">
        <f t="shared" si="33"/>
        <v>0.19409531908322991</v>
      </c>
      <c r="O188" s="572">
        <f t="shared" si="33"/>
        <v>0.20002539765614638</v>
      </c>
      <c r="P188" s="572">
        <f t="shared" si="33"/>
        <v>0.20302055561944649</v>
      </c>
      <c r="Q188" s="572">
        <f t="shared" si="33"/>
        <v>0.19716429964788568</v>
      </c>
      <c r="R188" s="572">
        <f t="shared" si="33"/>
        <v>0.18992898294159932</v>
      </c>
      <c r="S188" s="572">
        <f t="shared" si="33"/>
        <v>0.18244408859058514</v>
      </c>
      <c r="T188" s="572">
        <f t="shared" si="33"/>
        <v>0.17347940243594798</v>
      </c>
      <c r="U188" s="572">
        <f t="shared" si="33"/>
        <v>0.16432449450813258</v>
      </c>
      <c r="V188" s="572">
        <f t="shared" si="33"/>
        <v>0.17484916357473831</v>
      </c>
      <c r="W188" s="572">
        <f t="shared" si="33"/>
        <v>0.18660684616148177</v>
      </c>
      <c r="X188" s="572">
        <f t="shared" si="33"/>
        <v>0.19690119142231979</v>
      </c>
      <c r="Y188" s="572">
        <f t="shared" si="33"/>
        <v>0.21703192252970996</v>
      </c>
      <c r="Z188" s="572">
        <f t="shared" si="33"/>
        <v>0.21694866571903881</v>
      </c>
      <c r="AA188" s="572">
        <f t="shared" si="33"/>
        <v>0.2319557928079265</v>
      </c>
      <c r="AB188" s="572">
        <f t="shared" si="33"/>
        <v>0.24585585413519162</v>
      </c>
      <c r="AC188" s="572">
        <f t="shared" si="33"/>
        <v>0.30931219857155656</v>
      </c>
      <c r="AD188" s="572">
        <f t="shared" si="33"/>
        <v>0.35785848599361852</v>
      </c>
      <c r="AE188" s="572">
        <f t="shared" si="33"/>
        <v>0.35417630598851529</v>
      </c>
      <c r="AF188" s="572">
        <f t="shared" si="33"/>
        <v>0.31155823757133505</v>
      </c>
      <c r="AG188" s="572">
        <f t="shared" si="33"/>
        <v>0.2619618412667587</v>
      </c>
      <c r="AH188" s="572">
        <f t="shared" si="33"/>
        <v>0.25713474347671533</v>
      </c>
      <c r="AI188" s="572">
        <f t="shared" si="33"/>
        <v>0.25691276844907202</v>
      </c>
      <c r="AJ188" s="572">
        <f t="shared" si="33"/>
        <v>0.28403062158509718</v>
      </c>
      <c r="AK188" s="572">
        <f t="shared" si="33"/>
        <v>0.29011712984193122</v>
      </c>
      <c r="AL188" s="572">
        <f t="shared" si="33"/>
        <v>0.29573110855496204</v>
      </c>
      <c r="AM188" s="572"/>
    </row>
    <row r="189" spans="1:39" ht="15.75" customHeight="1" x14ac:dyDescent="0.25">
      <c r="A189" s="3"/>
      <c r="B189" s="3" t="s">
        <v>2069</v>
      </c>
      <c r="C189" s="3"/>
      <c r="D189" s="3"/>
      <c r="E189" s="3"/>
      <c r="F189" s="572">
        <f t="shared" si="33"/>
        <v>2.9619075653216937E-4</v>
      </c>
      <c r="G189" s="572">
        <f t="shared" si="33"/>
        <v>3.1200429586594226E-4</v>
      </c>
      <c r="H189" s="572">
        <f t="shared" si="33"/>
        <v>1.7633592270480294E-2</v>
      </c>
      <c r="I189" s="572">
        <f t="shared" si="33"/>
        <v>7.9574229708700844E-2</v>
      </c>
      <c r="J189" s="572">
        <f t="shared" si="33"/>
        <v>0.19448125374473932</v>
      </c>
      <c r="K189" s="572">
        <f t="shared" si="33"/>
        <v>0.31400197478674224</v>
      </c>
      <c r="L189" s="572">
        <f t="shared" si="33"/>
        <v>0.46015383285188821</v>
      </c>
      <c r="M189" s="572">
        <f t="shared" si="33"/>
        <v>0.61738084871837051</v>
      </c>
      <c r="N189" s="572">
        <f t="shared" si="33"/>
        <v>0.7356267450632179</v>
      </c>
      <c r="O189" s="572">
        <f t="shared" si="33"/>
        <v>0.86217801886727308</v>
      </c>
      <c r="P189" s="572">
        <f t="shared" si="33"/>
        <v>0.97826330945906137</v>
      </c>
      <c r="Q189" s="572">
        <f t="shared" si="33"/>
        <v>1.1012392171784913</v>
      </c>
      <c r="R189" s="572">
        <f t="shared" si="33"/>
        <v>1.1802655703733531</v>
      </c>
      <c r="S189" s="572">
        <f t="shared" si="33"/>
        <v>1.2497770583538761</v>
      </c>
      <c r="T189" s="572">
        <f t="shared" si="33"/>
        <v>1.3219874532615901</v>
      </c>
      <c r="U189" s="572">
        <f t="shared" si="33"/>
        <v>1.4078983065449879</v>
      </c>
      <c r="V189" s="572">
        <f t="shared" si="33"/>
        <v>1.5025656872957627</v>
      </c>
      <c r="W189" s="572">
        <f t="shared" si="33"/>
        <v>1.6074718288358312</v>
      </c>
      <c r="X189" s="572">
        <f t="shared" si="33"/>
        <v>1.7270147715717168</v>
      </c>
      <c r="Y189" s="572">
        <f t="shared" si="33"/>
        <v>1.7383094998113409</v>
      </c>
      <c r="Z189" s="572">
        <f t="shared" si="33"/>
        <v>1.6134449309464605</v>
      </c>
      <c r="AA189" s="572">
        <f t="shared" si="33"/>
        <v>1.7118967392457112</v>
      </c>
      <c r="AB189" s="572">
        <f t="shared" si="33"/>
        <v>1.8210645635757408</v>
      </c>
      <c r="AC189" s="572">
        <f t="shared" si="33"/>
        <v>2.0918267720574595</v>
      </c>
      <c r="AD189" s="572">
        <f t="shared" si="33"/>
        <v>2.4123552464598168</v>
      </c>
      <c r="AE189" s="572">
        <f t="shared" si="33"/>
        <v>2.3139651753098818</v>
      </c>
      <c r="AF189" s="572">
        <f t="shared" si="33"/>
        <v>2.3731707047113733</v>
      </c>
      <c r="AG189" s="572">
        <f t="shared" si="33"/>
        <v>1.9765263214466349</v>
      </c>
      <c r="AH189" s="572">
        <f t="shared" si="33"/>
        <v>2.2995525386553797</v>
      </c>
      <c r="AI189" s="572">
        <f t="shared" si="33"/>
        <v>2.1603959533344215</v>
      </c>
      <c r="AJ189" s="572">
        <f t="shared" si="33"/>
        <v>2.4707507223107195</v>
      </c>
      <c r="AK189" s="572">
        <f t="shared" si="33"/>
        <v>2.6375174546459652</v>
      </c>
      <c r="AL189" s="572">
        <f t="shared" si="33"/>
        <v>2.7310221568546873</v>
      </c>
      <c r="AM189" s="572"/>
    </row>
    <row r="190" spans="1:39" ht="15.75" customHeight="1" x14ac:dyDescent="0.25">
      <c r="A190" s="3"/>
      <c r="B190" s="3" t="s">
        <v>2080</v>
      </c>
      <c r="C190" s="3"/>
      <c r="D190" s="3"/>
      <c r="E190" s="3"/>
      <c r="F190" s="572">
        <f t="shared" si="33"/>
        <v>0</v>
      </c>
      <c r="G190" s="572">
        <f t="shared" si="33"/>
        <v>0</v>
      </c>
      <c r="H190" s="572">
        <f t="shared" si="33"/>
        <v>0</v>
      </c>
      <c r="I190" s="572">
        <f t="shared" si="33"/>
        <v>0</v>
      </c>
      <c r="J190" s="572">
        <f t="shared" si="33"/>
        <v>0</v>
      </c>
      <c r="K190" s="572">
        <f t="shared" si="33"/>
        <v>2.0155536417350836E-2</v>
      </c>
      <c r="L190" s="572">
        <f t="shared" si="33"/>
        <v>4.4107440217010532E-2</v>
      </c>
      <c r="M190" s="572">
        <f t="shared" si="33"/>
        <v>4.803083225204071E-2</v>
      </c>
      <c r="N190" s="572">
        <f t="shared" si="33"/>
        <v>4.8865841943775495E-2</v>
      </c>
      <c r="O190" s="572">
        <f t="shared" si="33"/>
        <v>4.9749338059828216E-2</v>
      </c>
      <c r="P190" s="572">
        <f t="shared" si="33"/>
        <v>4.5063302006180542E-2</v>
      </c>
      <c r="Q190" s="572">
        <f t="shared" si="33"/>
        <v>4.0276417117818243E-2</v>
      </c>
      <c r="R190" s="572">
        <f t="shared" si="33"/>
        <v>3.5285645908823694E-2</v>
      </c>
      <c r="S190" s="572">
        <f t="shared" si="33"/>
        <v>3.0003657057189485E-2</v>
      </c>
      <c r="T190" s="572">
        <f t="shared" si="33"/>
        <v>3.0606134147674113E-2</v>
      </c>
      <c r="U190" s="572">
        <f t="shared" si="33"/>
        <v>3.0630470293182332E-2</v>
      </c>
      <c r="V190" s="572">
        <f t="shared" si="33"/>
        <v>3.057286384565408E-2</v>
      </c>
      <c r="W190" s="572">
        <f t="shared" si="33"/>
        <v>3.0462796370103348E-2</v>
      </c>
      <c r="X190" s="572">
        <f t="shared" si="33"/>
        <v>3.0371616797719554E-2</v>
      </c>
      <c r="Y190" s="572">
        <f t="shared" si="33"/>
        <v>3.0362264191720709E-2</v>
      </c>
      <c r="Z190" s="572">
        <f t="shared" si="33"/>
        <v>3.103227403626806E-2</v>
      </c>
      <c r="AA190" s="572">
        <f t="shared" si="33"/>
        <v>3.1710293425038373E-2</v>
      </c>
      <c r="AB190" s="572">
        <f t="shared" si="33"/>
        <v>3.2380473308252521E-2</v>
      </c>
      <c r="AC190" s="572">
        <f t="shared" si="33"/>
        <v>3.3012349052362798E-2</v>
      </c>
      <c r="AD190" s="572">
        <f t="shared" si="33"/>
        <v>3.3632343709609977E-2</v>
      </c>
      <c r="AE190" s="572">
        <f t="shared" si="33"/>
        <v>3.42254472906625E-2</v>
      </c>
      <c r="AF190" s="572">
        <f t="shared" si="33"/>
        <v>3.4775136345906607E-2</v>
      </c>
      <c r="AG190" s="572">
        <f t="shared" si="33"/>
        <v>3.5382737684634943E-2</v>
      </c>
      <c r="AH190" s="572">
        <f t="shared" si="33"/>
        <v>3.6000552816871603E-2</v>
      </c>
      <c r="AI190" s="572">
        <f t="shared" si="33"/>
        <v>3.6633303426304963E-2</v>
      </c>
      <c r="AJ190" s="572">
        <f t="shared" si="33"/>
        <v>3.7724242229892728E-2</v>
      </c>
      <c r="AK190" s="572">
        <f t="shared" si="33"/>
        <v>3.8430274994460813E-2</v>
      </c>
      <c r="AL190" s="572">
        <f t="shared" si="33"/>
        <v>3.8994606853582803E-2</v>
      </c>
      <c r="AM190" s="572"/>
    </row>
    <row r="191" spans="1:39" ht="15.75" customHeight="1" x14ac:dyDescent="0.25">
      <c r="A191" s="3"/>
      <c r="B191" s="3"/>
      <c r="C191" s="3"/>
      <c r="D191" s="3"/>
      <c r="E191" s="3"/>
      <c r="F191" s="572"/>
      <c r="G191" s="572"/>
      <c r="H191" s="572"/>
      <c r="I191" s="572"/>
      <c r="J191" s="572"/>
      <c r="K191" s="572"/>
      <c r="L191" s="572"/>
      <c r="M191" s="572"/>
      <c r="N191" s="572"/>
      <c r="O191" s="572"/>
      <c r="P191" s="572"/>
      <c r="Q191" s="572"/>
      <c r="R191" s="572"/>
      <c r="S191" s="572"/>
      <c r="T191" s="572"/>
      <c r="U191" s="572"/>
      <c r="V191" s="572"/>
      <c r="W191" s="572"/>
      <c r="X191" s="572"/>
      <c r="Y191" s="572"/>
      <c r="Z191" s="572"/>
      <c r="AA191" s="572"/>
      <c r="AB191" s="572"/>
      <c r="AC191" s="572"/>
      <c r="AD191" s="572"/>
      <c r="AE191" s="572"/>
      <c r="AF191" s="572"/>
      <c r="AG191" s="572"/>
      <c r="AH191" s="572"/>
      <c r="AI191" s="572"/>
      <c r="AJ191" s="572"/>
      <c r="AK191" s="572"/>
      <c r="AL191" s="572"/>
      <c r="AM191" s="572"/>
    </row>
    <row r="192" spans="1:39" ht="15.75" customHeight="1" x14ac:dyDescent="0.25">
      <c r="A192" s="3"/>
      <c r="B192" s="3" t="s">
        <v>2137</v>
      </c>
      <c r="C192" s="3"/>
      <c r="D192" s="3"/>
      <c r="E192" s="3"/>
      <c r="F192" s="572">
        <f t="shared" ref="F192:AL192" si="34">SUM(F185:F190)</f>
        <v>4.7860478489503405E-3</v>
      </c>
      <c r="G192" s="572">
        <f t="shared" si="34"/>
        <v>1.0077967737506284E-2</v>
      </c>
      <c r="H192" s="572">
        <f t="shared" si="34"/>
        <v>2.7455427883701332E-2</v>
      </c>
      <c r="I192" s="572">
        <f t="shared" si="34"/>
        <v>8.9449955382872773E-2</v>
      </c>
      <c r="J192" s="572">
        <f t="shared" si="34"/>
        <v>0.21727959622916831</v>
      </c>
      <c r="K192" s="572">
        <f t="shared" si="34"/>
        <v>0.47797732244552288</v>
      </c>
      <c r="L192" s="572">
        <f t="shared" si="34"/>
        <v>0.67166152660830214</v>
      </c>
      <c r="M192" s="572">
        <f t="shared" si="34"/>
        <v>0.85490401762127621</v>
      </c>
      <c r="N192" s="572">
        <f t="shared" si="34"/>
        <v>0.9879252770955953</v>
      </c>
      <c r="O192" s="572">
        <f t="shared" si="34"/>
        <v>1.1255759697070982</v>
      </c>
      <c r="P192" s="572">
        <f t="shared" si="34"/>
        <v>1.2435554803901954</v>
      </c>
      <c r="Q192" s="572">
        <f t="shared" si="34"/>
        <v>1.3614632547785406</v>
      </c>
      <c r="R192" s="572">
        <f t="shared" si="34"/>
        <v>1.4531850918663249</v>
      </c>
      <c r="S192" s="572">
        <f t="shared" si="34"/>
        <v>1.5378645362790369</v>
      </c>
      <c r="T192" s="572">
        <f t="shared" si="34"/>
        <v>1.6117648744317461</v>
      </c>
      <c r="U192" s="572">
        <f t="shared" si="34"/>
        <v>1.6985569532371874</v>
      </c>
      <c r="V192" s="572">
        <f t="shared" si="34"/>
        <v>1.8137853989009083</v>
      </c>
      <c r="W192" s="572">
        <f t="shared" si="34"/>
        <v>1.9415837455558564</v>
      </c>
      <c r="X192" s="572">
        <f t="shared" si="34"/>
        <v>2.0820594439975477</v>
      </c>
      <c r="Y192" s="572">
        <f t="shared" si="34"/>
        <v>2.1429650144217764</v>
      </c>
      <c r="Z192" s="572">
        <f t="shared" si="34"/>
        <v>2.0409379147604718</v>
      </c>
      <c r="AA192" s="572">
        <f t="shared" si="34"/>
        <v>2.1709104883111436</v>
      </c>
      <c r="AB192" s="572">
        <f t="shared" si="34"/>
        <v>2.307915392108979</v>
      </c>
      <c r="AC192" s="572">
        <f t="shared" si="34"/>
        <v>2.6818278571410339</v>
      </c>
      <c r="AD192" s="572">
        <f t="shared" si="34"/>
        <v>3.0835739181318469</v>
      </c>
      <c r="AE192" s="572">
        <f t="shared" si="34"/>
        <v>2.9981602031582302</v>
      </c>
      <c r="AF192" s="572">
        <f t="shared" si="34"/>
        <v>3.0304632247961396</v>
      </c>
      <c r="AG192" s="572">
        <f t="shared" si="34"/>
        <v>2.5867593062440206</v>
      </c>
      <c r="AH192" s="572">
        <f t="shared" si="34"/>
        <v>2.9327074027907405</v>
      </c>
      <c r="AI192" s="572">
        <f t="shared" si="34"/>
        <v>2.7899561343463106</v>
      </c>
      <c r="AJ192" s="572">
        <f t="shared" si="34"/>
        <v>3.1414393346352956</v>
      </c>
      <c r="AK192" s="572">
        <f t="shared" si="34"/>
        <v>3.2604350932930011</v>
      </c>
      <c r="AL192" s="572">
        <f t="shared" si="34"/>
        <v>3.3593191947838279</v>
      </c>
      <c r="AM192" s="572"/>
    </row>
    <row r="193" spans="1:39" ht="15.7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row>
    <row r="194" spans="1:39" ht="15.75" customHeight="1" x14ac:dyDescent="0.25">
      <c r="A194" s="3"/>
      <c r="B194" s="2141" t="s">
        <v>2097</v>
      </c>
      <c r="C194" s="2142"/>
      <c r="D194" s="2142"/>
      <c r="E194" s="2142"/>
      <c r="F194" s="2142"/>
      <c r="G194" s="2142"/>
      <c r="H194" s="2142"/>
      <c r="I194" s="2142"/>
      <c r="J194" s="2142"/>
      <c r="K194" s="2142"/>
      <c r="L194" s="2142"/>
      <c r="M194" s="2142"/>
      <c r="N194" s="2142"/>
      <c r="O194" s="2142"/>
      <c r="P194" s="2142"/>
      <c r="Q194" s="2142"/>
      <c r="R194" s="2142"/>
      <c r="S194" s="2142"/>
      <c r="T194" s="2142"/>
      <c r="U194" s="2142"/>
      <c r="V194" s="2142"/>
      <c r="W194" s="2142"/>
      <c r="X194" s="2142"/>
      <c r="Y194" s="2142"/>
      <c r="Z194" s="2142"/>
      <c r="AA194" s="2142"/>
      <c r="AB194" s="2142"/>
      <c r="AC194" s="2142"/>
      <c r="AD194" s="2142"/>
      <c r="AE194" s="2142"/>
      <c r="AF194" s="2142"/>
      <c r="AG194" s="2142"/>
      <c r="AH194" s="2142"/>
      <c r="AI194" s="2142"/>
      <c r="AJ194" s="2142"/>
      <c r="AK194" s="2142"/>
      <c r="AL194" s="2142"/>
      <c r="AM194" s="2145"/>
    </row>
    <row r="195" spans="1:39" ht="15.75" customHeight="1" x14ac:dyDescent="0.25">
      <c r="A195" s="3"/>
      <c r="B195" s="60" t="s">
        <v>2029</v>
      </c>
      <c r="C195" s="3"/>
      <c r="D195" s="60"/>
      <c r="E195" s="60"/>
      <c r="F195" s="60" t="s">
        <v>2033</v>
      </c>
      <c r="G195" s="60" t="s">
        <v>2034</v>
      </c>
      <c r="H195" s="60" t="s">
        <v>2035</v>
      </c>
      <c r="I195" s="60" t="s">
        <v>2036</v>
      </c>
      <c r="J195" s="60" t="s">
        <v>2037</v>
      </c>
      <c r="K195" s="60" t="s">
        <v>2038</v>
      </c>
      <c r="L195" s="60" t="s">
        <v>2039</v>
      </c>
      <c r="M195" s="60" t="s">
        <v>2040</v>
      </c>
      <c r="N195" s="60" t="s">
        <v>2041</v>
      </c>
      <c r="O195" s="60" t="s">
        <v>2042</v>
      </c>
      <c r="P195" s="60" t="s">
        <v>2043</v>
      </c>
      <c r="Q195" s="60" t="s">
        <v>2044</v>
      </c>
      <c r="R195" s="60" t="s">
        <v>2045</v>
      </c>
      <c r="S195" s="60" t="s">
        <v>2046</v>
      </c>
      <c r="T195" s="60" t="s">
        <v>2047</v>
      </c>
      <c r="U195" s="60" t="s">
        <v>2048</v>
      </c>
      <c r="V195" s="60" t="s">
        <v>2049</v>
      </c>
      <c r="W195" s="60" t="s">
        <v>2050</v>
      </c>
      <c r="X195" s="60" t="s">
        <v>2051</v>
      </c>
      <c r="Y195" s="60" t="s">
        <v>2052</v>
      </c>
      <c r="Z195" s="60" t="s">
        <v>2053</v>
      </c>
      <c r="AA195" s="60" t="s">
        <v>2054</v>
      </c>
      <c r="AB195" s="60" t="s">
        <v>2055</v>
      </c>
      <c r="AC195" s="60" t="s">
        <v>2056</v>
      </c>
      <c r="AD195" s="60" t="s">
        <v>2057</v>
      </c>
      <c r="AE195" s="60" t="s">
        <v>2058</v>
      </c>
      <c r="AF195" s="60" t="s">
        <v>2059</v>
      </c>
      <c r="AG195" s="60" t="s">
        <v>2060</v>
      </c>
      <c r="AH195" s="60" t="s">
        <v>2061</v>
      </c>
      <c r="AI195" s="60" t="s">
        <v>2062</v>
      </c>
      <c r="AJ195" s="60" t="s">
        <v>2063</v>
      </c>
      <c r="AK195" s="60" t="s">
        <v>2064</v>
      </c>
      <c r="AL195" s="60" t="s">
        <v>2065</v>
      </c>
      <c r="AM195" s="60"/>
    </row>
    <row r="196" spans="1:39" ht="15.75" customHeight="1" x14ac:dyDescent="0.25">
      <c r="A196" s="3"/>
      <c r="B196" s="3" t="s">
        <v>2066</v>
      </c>
      <c r="C196" s="3"/>
      <c r="D196" s="3"/>
      <c r="E196" s="3"/>
      <c r="F196" s="572">
        <f t="shared" ref="F196:AL201" si="35">SUMIF($B$106:$B$139,$B196,F$106:F$139)</f>
        <v>0</v>
      </c>
      <c r="G196" s="572">
        <f t="shared" si="35"/>
        <v>0</v>
      </c>
      <c r="H196" s="572">
        <f t="shared" si="35"/>
        <v>0</v>
      </c>
      <c r="I196" s="572">
        <f t="shared" si="35"/>
        <v>0</v>
      </c>
      <c r="J196" s="572">
        <f t="shared" si="35"/>
        <v>8.041536009609893E-5</v>
      </c>
      <c r="K196" s="572">
        <f t="shared" si="35"/>
        <v>6.8721211440538868E-4</v>
      </c>
      <c r="L196" s="572">
        <f t="shared" si="35"/>
        <v>1.688946003420019E-3</v>
      </c>
      <c r="M196" s="572">
        <f t="shared" si="35"/>
        <v>3.4060252039047586E-3</v>
      </c>
      <c r="N196" s="572">
        <f t="shared" si="35"/>
        <v>5.7343496473683279E-3</v>
      </c>
      <c r="O196" s="572">
        <f t="shared" si="35"/>
        <v>8.9714074461216611E-3</v>
      </c>
      <c r="P196" s="572">
        <f t="shared" si="35"/>
        <v>1.2158975390291064E-2</v>
      </c>
      <c r="Q196" s="572">
        <f t="shared" si="35"/>
        <v>1.531218016218865E-2</v>
      </c>
      <c r="R196" s="572">
        <f t="shared" si="35"/>
        <v>1.8414137991853308E-2</v>
      </c>
      <c r="S196" s="572">
        <f t="shared" si="35"/>
        <v>2.0823004310631631E-2</v>
      </c>
      <c r="T196" s="572">
        <f t="shared" si="35"/>
        <v>2.3020205269869202E-2</v>
      </c>
      <c r="U196" s="572">
        <f t="shared" si="35"/>
        <v>2.4982940585599439E-2</v>
      </c>
      <c r="V196" s="572">
        <f t="shared" si="35"/>
        <v>2.6877862105110815E-2</v>
      </c>
      <c r="W196" s="572">
        <f t="shared" si="35"/>
        <v>2.8700247145594205E-2</v>
      </c>
      <c r="X196" s="572">
        <f t="shared" si="35"/>
        <v>3.0501856586754684E-2</v>
      </c>
      <c r="Y196" s="572">
        <f t="shared" si="35"/>
        <v>3.1660171427254982E-2</v>
      </c>
      <c r="Z196" s="572">
        <f t="shared" si="35"/>
        <v>3.3406836229695133E-2</v>
      </c>
      <c r="AA196" s="572">
        <f t="shared" si="35"/>
        <v>3.5490100267624815E-2</v>
      </c>
      <c r="AB196" s="572">
        <f t="shared" si="35"/>
        <v>3.7694032415878785E-2</v>
      </c>
      <c r="AC196" s="572">
        <f t="shared" si="35"/>
        <v>3.965857489831854E-2</v>
      </c>
      <c r="AD196" s="572">
        <f t="shared" si="35"/>
        <v>4.2333416046542609E-2</v>
      </c>
      <c r="AE196" s="572">
        <f t="shared" si="35"/>
        <v>4.3544469042782141E-2</v>
      </c>
      <c r="AF196" s="572">
        <f t="shared" si="35"/>
        <v>4.5894465371586472E-2</v>
      </c>
      <c r="AG196" s="572">
        <f t="shared" si="35"/>
        <v>4.6409962659313526E-2</v>
      </c>
      <c r="AH196" s="572">
        <f t="shared" si="35"/>
        <v>4.8747555297435248E-2</v>
      </c>
      <c r="AI196" s="572">
        <f t="shared" si="35"/>
        <v>4.9513100663234957E-2</v>
      </c>
      <c r="AJ196" s="572">
        <f t="shared" si="35"/>
        <v>5.1798961188409487E-2</v>
      </c>
      <c r="AK196" s="572">
        <f t="shared" si="35"/>
        <v>5.2915918406908471E-2</v>
      </c>
      <c r="AL196" s="572">
        <f t="shared" si="35"/>
        <v>5.3868659146652662E-2</v>
      </c>
      <c r="AM196" s="572"/>
    </row>
    <row r="197" spans="1:39" ht="15.75" customHeight="1" x14ac:dyDescent="0.25">
      <c r="A197" s="3"/>
      <c r="B197" s="3" t="s">
        <v>2068</v>
      </c>
      <c r="C197" s="3"/>
      <c r="D197" s="3"/>
      <c r="E197" s="3"/>
      <c r="F197" s="572">
        <f t="shared" si="35"/>
        <v>1.3722643036573532E-4</v>
      </c>
      <c r="G197" s="572">
        <f t="shared" si="35"/>
        <v>2.1694921750816109E-4</v>
      </c>
      <c r="H197" s="572">
        <f t="shared" si="35"/>
        <v>3.0353931087764743E-4</v>
      </c>
      <c r="I197" s="572">
        <f t="shared" si="35"/>
        <v>3.9725072697652567E-4</v>
      </c>
      <c r="J197" s="572">
        <f t="shared" si="35"/>
        <v>4.2796858492208021E-4</v>
      </c>
      <c r="K197" s="572">
        <f t="shared" si="35"/>
        <v>7.8011810663850207E-4</v>
      </c>
      <c r="L197" s="572">
        <f t="shared" si="35"/>
        <v>1.8040760322062615E-3</v>
      </c>
      <c r="M197" s="572">
        <f t="shared" si="35"/>
        <v>2.8813867998296241E-3</v>
      </c>
      <c r="N197" s="572">
        <f t="shared" si="35"/>
        <v>4.0226528556836462E-3</v>
      </c>
      <c r="O197" s="572">
        <f t="shared" si="35"/>
        <v>5.2161587253756409E-3</v>
      </c>
      <c r="P197" s="572">
        <f t="shared" si="35"/>
        <v>5.6091488392320827E-3</v>
      </c>
      <c r="Q197" s="572">
        <f t="shared" si="35"/>
        <v>6.7087166989186391E-3</v>
      </c>
      <c r="R197" s="572">
        <f t="shared" si="35"/>
        <v>2.9599344862798797E-2</v>
      </c>
      <c r="S197" s="572">
        <f t="shared" si="35"/>
        <v>5.6487493647624197E-2</v>
      </c>
      <c r="T197" s="572">
        <f t="shared" si="35"/>
        <v>6.3398872372006185E-2</v>
      </c>
      <c r="U197" s="572">
        <f t="shared" si="35"/>
        <v>7.0452117545713011E-2</v>
      </c>
      <c r="V197" s="572">
        <f t="shared" si="35"/>
        <v>7.7631078737293899E-2</v>
      </c>
      <c r="W197" s="572">
        <f t="shared" si="35"/>
        <v>8.4921204185991417E-2</v>
      </c>
      <c r="X197" s="572">
        <f t="shared" si="35"/>
        <v>9.2031929563550885E-2</v>
      </c>
      <c r="Y197" s="572">
        <f t="shared" si="35"/>
        <v>0.12209507663325639</v>
      </c>
      <c r="Z197" s="572">
        <f t="shared" si="35"/>
        <v>0.14558468936665919</v>
      </c>
      <c r="AA197" s="572">
        <f t="shared" si="35"/>
        <v>0.15838189655601276</v>
      </c>
      <c r="AB197" s="572">
        <f t="shared" si="35"/>
        <v>0.17118152610717319</v>
      </c>
      <c r="AC197" s="572">
        <f t="shared" si="35"/>
        <v>0.20969284460378651</v>
      </c>
      <c r="AD197" s="572">
        <f t="shared" si="35"/>
        <v>0.2430929165418349</v>
      </c>
      <c r="AE197" s="572">
        <f t="shared" si="35"/>
        <v>0.26374413744021208</v>
      </c>
      <c r="AF197" s="572">
        <f t="shared" si="35"/>
        <v>0.27263833179349872</v>
      </c>
      <c r="AG197" s="572">
        <f t="shared" si="35"/>
        <v>0.26983518752509272</v>
      </c>
      <c r="AH197" s="572">
        <f t="shared" si="35"/>
        <v>0.2896393642396895</v>
      </c>
      <c r="AI197" s="572">
        <f t="shared" si="35"/>
        <v>0.28453723137964049</v>
      </c>
      <c r="AJ197" s="572">
        <f t="shared" si="35"/>
        <v>0.29299222412987153</v>
      </c>
      <c r="AK197" s="572">
        <f t="shared" si="35"/>
        <v>0.22648947928192831</v>
      </c>
      <c r="AL197" s="572">
        <f t="shared" si="35"/>
        <v>0.24466812033407259</v>
      </c>
      <c r="AM197" s="572"/>
    </row>
    <row r="198" spans="1:39" ht="15.75" customHeight="1" x14ac:dyDescent="0.25">
      <c r="A198" s="3"/>
      <c r="B198" s="3" t="s">
        <v>2073</v>
      </c>
      <c r="C198" s="3"/>
      <c r="D198" s="3"/>
      <c r="E198" s="3"/>
      <c r="F198" s="572">
        <f t="shared" si="35"/>
        <v>0</v>
      </c>
      <c r="G198" s="572">
        <f t="shared" si="35"/>
        <v>0</v>
      </c>
      <c r="H198" s="572">
        <f t="shared" si="35"/>
        <v>0</v>
      </c>
      <c r="I198" s="572">
        <f t="shared" si="35"/>
        <v>0</v>
      </c>
      <c r="J198" s="572">
        <f t="shared" si="35"/>
        <v>0</v>
      </c>
      <c r="K198" s="572">
        <f t="shared" si="35"/>
        <v>0</v>
      </c>
      <c r="L198" s="572">
        <f t="shared" si="35"/>
        <v>0</v>
      </c>
      <c r="M198" s="572">
        <f t="shared" si="35"/>
        <v>3.7939036037830295E-4</v>
      </c>
      <c r="N198" s="572">
        <f t="shared" si="35"/>
        <v>7.6818525378716414E-4</v>
      </c>
      <c r="O198" s="572">
        <f t="shared" si="35"/>
        <v>1.1657179727994503E-3</v>
      </c>
      <c r="P198" s="572">
        <f t="shared" si="35"/>
        <v>1.6142289629450435E-3</v>
      </c>
      <c r="Q198" s="572">
        <f t="shared" si="35"/>
        <v>3.6916787697975021E-3</v>
      </c>
      <c r="R198" s="572">
        <f t="shared" si="35"/>
        <v>5.8348546621775797E-3</v>
      </c>
      <c r="S198" s="572">
        <f t="shared" si="35"/>
        <v>8.03130355318501E-3</v>
      </c>
      <c r="T198" s="572">
        <f t="shared" si="35"/>
        <v>1.0296011981757487E-2</v>
      </c>
      <c r="U198" s="572">
        <f t="shared" si="35"/>
        <v>1.2626404141386645E-2</v>
      </c>
      <c r="V198" s="572">
        <f t="shared" si="35"/>
        <v>1.4994885263995329E-2</v>
      </c>
      <c r="W198" s="572">
        <f t="shared" si="35"/>
        <v>1.8594943580956005E-2</v>
      </c>
      <c r="X198" s="572">
        <f t="shared" si="35"/>
        <v>2.1798141380634777E-2</v>
      </c>
      <c r="Y198" s="572">
        <f t="shared" si="35"/>
        <v>2.4704011645659288E-2</v>
      </c>
      <c r="Z198" s="572">
        <f t="shared" si="35"/>
        <v>2.5009924425272202E-2</v>
      </c>
      <c r="AA198" s="572">
        <f t="shared" si="35"/>
        <v>2.8103440741658561E-2</v>
      </c>
      <c r="AB198" s="572">
        <f t="shared" si="35"/>
        <v>2.8064796336974854E-2</v>
      </c>
      <c r="AC198" s="572">
        <f t="shared" si="35"/>
        <v>3.291622731568232E-2</v>
      </c>
      <c r="AD198" s="572">
        <f t="shared" si="35"/>
        <v>3.3998418909244155E-2</v>
      </c>
      <c r="AE198" s="572">
        <f t="shared" si="35"/>
        <v>2.9555532205721966E-2</v>
      </c>
      <c r="AF198" s="572">
        <f t="shared" si="35"/>
        <v>3.4958770262506877E-2</v>
      </c>
      <c r="AG198" s="572">
        <f t="shared" si="35"/>
        <v>3.8176579780623526E-2</v>
      </c>
      <c r="AH198" s="572">
        <f t="shared" si="35"/>
        <v>4.7464848724005429E-2</v>
      </c>
      <c r="AI198" s="572">
        <f t="shared" si="35"/>
        <v>4.7109212911977734E-2</v>
      </c>
      <c r="AJ198" s="572">
        <f t="shared" si="35"/>
        <v>5.1823271361579541E-2</v>
      </c>
      <c r="AK198" s="572">
        <f t="shared" si="35"/>
        <v>5.2603757388206496E-2</v>
      </c>
      <c r="AL198" s="572">
        <f t="shared" si="35"/>
        <v>3.1978508940297724E-2</v>
      </c>
      <c r="AM198" s="572"/>
    </row>
    <row r="199" spans="1:39" ht="15.75" customHeight="1" x14ac:dyDescent="0.25">
      <c r="A199" s="3"/>
      <c r="B199" s="3" t="s">
        <v>2074</v>
      </c>
      <c r="C199" s="3"/>
      <c r="D199" s="3"/>
      <c r="E199" s="3"/>
      <c r="F199" s="572">
        <f t="shared" si="35"/>
        <v>4.7932913787858741E-3</v>
      </c>
      <c r="G199" s="572">
        <f t="shared" si="35"/>
        <v>1.0507517401233844E-2</v>
      </c>
      <c r="H199" s="572">
        <f t="shared" si="35"/>
        <v>1.04822675048025E-2</v>
      </c>
      <c r="I199" s="572">
        <f t="shared" si="35"/>
        <v>1.0447719122476235E-2</v>
      </c>
      <c r="J199" s="572">
        <f t="shared" si="35"/>
        <v>2.549206860957904E-2</v>
      </c>
      <c r="K199" s="572">
        <f t="shared" si="35"/>
        <v>0.16687855123325718</v>
      </c>
      <c r="L199" s="572">
        <f t="shared" si="35"/>
        <v>0.19240033618205754</v>
      </c>
      <c r="M199" s="572">
        <f t="shared" si="35"/>
        <v>0.21451840218562684</v>
      </c>
      <c r="N199" s="572">
        <f t="shared" si="35"/>
        <v>0.22606549534672449</v>
      </c>
      <c r="O199" s="572">
        <f t="shared" si="35"/>
        <v>0.2329816317682733</v>
      </c>
      <c r="P199" s="572">
        <f t="shared" si="35"/>
        <v>0.23647867714019255</v>
      </c>
      <c r="Q199" s="572">
        <f t="shared" si="35"/>
        <v>0.22937599191034919</v>
      </c>
      <c r="R199" s="572">
        <f t="shared" si="35"/>
        <v>0.2206502907175944</v>
      </c>
      <c r="S199" s="572">
        <f t="shared" si="35"/>
        <v>0.21161585932235283</v>
      </c>
      <c r="T199" s="572">
        <f t="shared" si="35"/>
        <v>0.20084912890974974</v>
      </c>
      <c r="U199" s="572">
        <f t="shared" si="35"/>
        <v>0.18984323571891032</v>
      </c>
      <c r="V199" s="572">
        <f t="shared" si="35"/>
        <v>0.20215658561011016</v>
      </c>
      <c r="W199" s="572">
        <f t="shared" si="35"/>
        <v>0.21590195043268443</v>
      </c>
      <c r="X199" s="572">
        <f t="shared" si="35"/>
        <v>0.22795655117344543</v>
      </c>
      <c r="Y199" s="572">
        <f t="shared" si="35"/>
        <v>0.25135087203872236</v>
      </c>
      <c r="Z199" s="572">
        <f t="shared" si="35"/>
        <v>0.25094195511468492</v>
      </c>
      <c r="AA199" s="572">
        <f t="shared" si="35"/>
        <v>0.26830525833621999</v>
      </c>
      <c r="AB199" s="572">
        <f t="shared" si="35"/>
        <v>0.28436798808598207</v>
      </c>
      <c r="AC199" s="572">
        <f t="shared" si="35"/>
        <v>0.35876233930785695</v>
      </c>
      <c r="AD199" s="572">
        <f t="shared" si="35"/>
        <v>0.4156129437258862</v>
      </c>
      <c r="AE199" s="572">
        <f t="shared" si="35"/>
        <v>0.41100189620048766</v>
      </c>
      <c r="AF199" s="572">
        <f t="shared" si="35"/>
        <v>0.3607481220033173</v>
      </c>
      <c r="AG199" s="572">
        <f t="shared" si="35"/>
        <v>0.30227159820292487</v>
      </c>
      <c r="AH199" s="572">
        <f t="shared" si="35"/>
        <v>0.29648324875590204</v>
      </c>
      <c r="AI199" s="572">
        <f t="shared" si="35"/>
        <v>0.29611404053570656</v>
      </c>
      <c r="AJ199" s="572">
        <f t="shared" si="35"/>
        <v>0.32784346905913264</v>
      </c>
      <c r="AK199" s="572">
        <f t="shared" si="35"/>
        <v>0.3348863340564267</v>
      </c>
      <c r="AL199" s="572">
        <f t="shared" si="35"/>
        <v>0.34139721980080673</v>
      </c>
      <c r="AM199" s="572"/>
    </row>
    <row r="200" spans="1:39" ht="15.75" customHeight="1" x14ac:dyDescent="0.25">
      <c r="A200" s="3"/>
      <c r="B200" s="3" t="s">
        <v>2069</v>
      </c>
      <c r="C200" s="3"/>
      <c r="D200" s="3"/>
      <c r="E200" s="3"/>
      <c r="F200" s="572">
        <f t="shared" si="35"/>
        <v>3.25856290887356E-4</v>
      </c>
      <c r="G200" s="572">
        <f t="shared" si="35"/>
        <v>3.4409102755559266E-4</v>
      </c>
      <c r="H200" s="572">
        <f t="shared" si="35"/>
        <v>2.0730312707477504E-2</v>
      </c>
      <c r="I200" s="572">
        <f t="shared" si="35"/>
        <v>9.3562355982956508E-2</v>
      </c>
      <c r="J200" s="572">
        <f t="shared" si="35"/>
        <v>0.22866200470715806</v>
      </c>
      <c r="K200" s="572">
        <f t="shared" si="35"/>
        <v>0.36930867491034097</v>
      </c>
      <c r="L200" s="572">
        <f t="shared" si="35"/>
        <v>0.54146728450490167</v>
      </c>
      <c r="M200" s="572">
        <f t="shared" si="35"/>
        <v>0.72677927735838188</v>
      </c>
      <c r="N200" s="572">
        <f t="shared" si="35"/>
        <v>0.86627904196468997</v>
      </c>
      <c r="O200" s="572">
        <f t="shared" si="35"/>
        <v>1.0157334897431303</v>
      </c>
      <c r="P200" s="572">
        <f t="shared" si="35"/>
        <v>1.1527393432464652</v>
      </c>
      <c r="Q200" s="572">
        <f t="shared" si="35"/>
        <v>1.2979868198043678</v>
      </c>
      <c r="R200" s="572">
        <f t="shared" si="35"/>
        <v>1.3915934794156202</v>
      </c>
      <c r="S200" s="572">
        <f t="shared" si="35"/>
        <v>1.4740332608979043</v>
      </c>
      <c r="T200" s="572">
        <f t="shared" si="35"/>
        <v>1.5596045318274365</v>
      </c>
      <c r="U200" s="572">
        <f t="shared" si="35"/>
        <v>1.6617594474293085</v>
      </c>
      <c r="V200" s="572">
        <f t="shared" si="35"/>
        <v>1.7743101574387927</v>
      </c>
      <c r="W200" s="572">
        <f t="shared" si="35"/>
        <v>1.8990871867405139</v>
      </c>
      <c r="X200" s="572">
        <f t="shared" si="35"/>
        <v>2.0412769713945651</v>
      </c>
      <c r="Y200" s="572">
        <f t="shared" si="35"/>
        <v>2.0555565947495671</v>
      </c>
      <c r="Z200" s="572">
        <f t="shared" si="35"/>
        <v>1.9088086323183184</v>
      </c>
      <c r="AA200" s="572">
        <f t="shared" si="35"/>
        <v>2.027064277359488</v>
      </c>
      <c r="AB200" s="572">
        <f t="shared" si="35"/>
        <v>2.1586062387404858</v>
      </c>
      <c r="AC200" s="572">
        <f t="shared" si="35"/>
        <v>2.4790721632667898</v>
      </c>
      <c r="AD200" s="572">
        <f t="shared" si="35"/>
        <v>2.8592781988894451</v>
      </c>
      <c r="AE200" s="572">
        <f t="shared" si="35"/>
        <v>2.7432579000069759</v>
      </c>
      <c r="AF200" s="572">
        <f t="shared" si="35"/>
        <v>2.8136879626132751</v>
      </c>
      <c r="AG200" s="572">
        <f t="shared" si="35"/>
        <v>2.3411929418324053</v>
      </c>
      <c r="AH200" s="572">
        <f t="shared" si="35"/>
        <v>2.7255669521833839</v>
      </c>
      <c r="AI200" s="572">
        <f t="shared" si="35"/>
        <v>2.5590146565173648</v>
      </c>
      <c r="AJ200" s="572">
        <f t="shared" si="35"/>
        <v>2.9254401780187158</v>
      </c>
      <c r="AK200" s="572">
        <f t="shared" si="35"/>
        <v>3.1211817621080615</v>
      </c>
      <c r="AL200" s="572">
        <f t="shared" si="35"/>
        <v>3.2307815608647212</v>
      </c>
      <c r="AM200" s="572"/>
    </row>
    <row r="201" spans="1:39" ht="15.75" customHeight="1" x14ac:dyDescent="0.25">
      <c r="A201" s="3"/>
      <c r="B201" s="3" t="s">
        <v>2080</v>
      </c>
      <c r="C201" s="3"/>
      <c r="D201" s="3"/>
      <c r="E201" s="3"/>
      <c r="F201" s="572">
        <f t="shared" si="35"/>
        <v>0</v>
      </c>
      <c r="G201" s="572">
        <f t="shared" si="35"/>
        <v>0</v>
      </c>
      <c r="H201" s="572">
        <f t="shared" si="35"/>
        <v>0</v>
      </c>
      <c r="I201" s="572">
        <f t="shared" si="35"/>
        <v>0</v>
      </c>
      <c r="J201" s="572">
        <f t="shared" si="35"/>
        <v>0</v>
      </c>
      <c r="K201" s="572">
        <f t="shared" si="35"/>
        <v>2.8116649602632843E-2</v>
      </c>
      <c r="L201" s="572">
        <f t="shared" si="35"/>
        <v>6.2816343872012043E-2</v>
      </c>
      <c r="M201" s="572">
        <f t="shared" si="35"/>
        <v>6.9620313567138076E-2</v>
      </c>
      <c r="N201" s="572">
        <f t="shared" si="35"/>
        <v>7.0830460770363951E-2</v>
      </c>
      <c r="O201" s="572">
        <f t="shared" si="35"/>
        <v>7.211132976739576E-2</v>
      </c>
      <c r="P201" s="572">
        <f t="shared" si="35"/>
        <v>6.3297960870175599E-2</v>
      </c>
      <c r="Q201" s="572">
        <f t="shared" si="35"/>
        <v>5.4249091285581488E-2</v>
      </c>
      <c r="R201" s="572">
        <f t="shared" si="35"/>
        <v>4.4806655776993345E-2</v>
      </c>
      <c r="S201" s="572">
        <f t="shared" si="35"/>
        <v>3.4852725796843939E-2</v>
      </c>
      <c r="T201" s="572">
        <f t="shared" si="35"/>
        <v>3.5553144697873934E-2</v>
      </c>
      <c r="U201" s="572">
        <f t="shared" si="35"/>
        <v>3.5220594540665708E-2</v>
      </c>
      <c r="V201" s="572">
        <f t="shared" si="35"/>
        <v>3.4780261782482058E-2</v>
      </c>
      <c r="W201" s="572">
        <f t="shared" si="35"/>
        <v>3.4270018946758921E-2</v>
      </c>
      <c r="X201" s="572">
        <f t="shared" si="35"/>
        <v>3.3768027386714611E-2</v>
      </c>
      <c r="Y201" s="572">
        <f t="shared" si="35"/>
        <v>3.334236702262814E-2</v>
      </c>
      <c r="Z201" s="572">
        <f t="shared" si="35"/>
        <v>3.4078139361759671E-2</v>
      </c>
      <c r="AA201" s="572">
        <f t="shared" si="35"/>
        <v>3.4822707394172821E-2</v>
      </c>
      <c r="AB201" s="572">
        <f t="shared" si="35"/>
        <v>3.555866646152727E-2</v>
      </c>
      <c r="AC201" s="572">
        <f t="shared" si="35"/>
        <v>3.6252561779735001E-2</v>
      </c>
      <c r="AD201" s="572">
        <f t="shared" si="35"/>
        <v>3.693340986416873E-2</v>
      </c>
      <c r="AE201" s="572">
        <f t="shared" si="35"/>
        <v>3.7584727472006446E-2</v>
      </c>
      <c r="AF201" s="572">
        <f t="shared" si="35"/>
        <v>3.818836935169434E-2</v>
      </c>
      <c r="AG201" s="572">
        <f t="shared" si="35"/>
        <v>3.8855607694375148E-2</v>
      </c>
      <c r="AH201" s="572">
        <f t="shared" si="35"/>
        <v>3.9534062330073408E-2</v>
      </c>
      <c r="AI201" s="572">
        <f t="shared" si="35"/>
        <v>4.0228918382978436E-2</v>
      </c>
      <c r="AJ201" s="572">
        <f t="shared" si="35"/>
        <v>4.1426934504528709E-2</v>
      </c>
      <c r="AK201" s="572">
        <f t="shared" si="35"/>
        <v>4.2202265468569568E-2</v>
      </c>
      <c r="AL201" s="572">
        <f t="shared" si="35"/>
        <v>4.2821987365809965E-2</v>
      </c>
      <c r="AM201" s="572"/>
    </row>
    <row r="202" spans="1:39" ht="15.75" customHeight="1" x14ac:dyDescent="0.25">
      <c r="A202" s="3"/>
      <c r="B202" s="3"/>
      <c r="C202" s="3"/>
      <c r="D202" s="3"/>
      <c r="E202" s="3"/>
      <c r="F202" s="572"/>
      <c r="G202" s="572"/>
      <c r="H202" s="572"/>
      <c r="I202" s="572"/>
      <c r="J202" s="572"/>
      <c r="K202" s="572"/>
      <c r="L202" s="572"/>
      <c r="M202" s="572"/>
      <c r="N202" s="572"/>
      <c r="O202" s="572"/>
      <c r="P202" s="572"/>
      <c r="Q202" s="572"/>
      <c r="R202" s="572"/>
      <c r="S202" s="572"/>
      <c r="T202" s="572"/>
      <c r="U202" s="572"/>
      <c r="V202" s="572"/>
      <c r="W202" s="572"/>
      <c r="X202" s="572"/>
      <c r="Y202" s="572"/>
      <c r="Z202" s="572"/>
      <c r="AA202" s="572"/>
      <c r="AB202" s="572"/>
      <c r="AC202" s="572"/>
      <c r="AD202" s="572"/>
      <c r="AE202" s="572"/>
      <c r="AF202" s="572"/>
      <c r="AG202" s="572"/>
      <c r="AH202" s="572"/>
      <c r="AI202" s="572"/>
      <c r="AJ202" s="572"/>
      <c r="AK202" s="572"/>
      <c r="AL202" s="572"/>
      <c r="AM202" s="572"/>
    </row>
    <row r="203" spans="1:39" ht="15.75" customHeight="1" x14ac:dyDescent="0.25">
      <c r="A203" s="3"/>
      <c r="B203" s="3" t="s">
        <v>2137</v>
      </c>
      <c r="C203" s="3"/>
      <c r="D203" s="3"/>
      <c r="E203" s="3"/>
      <c r="F203" s="572">
        <f t="shared" ref="F203:AL203" si="36">SUM(F196:F201)</f>
        <v>5.2563741000389652E-3</v>
      </c>
      <c r="G203" s="572">
        <f t="shared" si="36"/>
        <v>1.1068557646297598E-2</v>
      </c>
      <c r="H203" s="572">
        <f t="shared" si="36"/>
        <v>3.1516119523157651E-2</v>
      </c>
      <c r="I203" s="572">
        <f t="shared" si="36"/>
        <v>0.10440732583240928</v>
      </c>
      <c r="J203" s="572">
        <f t="shared" si="36"/>
        <v>0.25466245726175529</v>
      </c>
      <c r="K203" s="572">
        <f t="shared" si="36"/>
        <v>0.56577120596727482</v>
      </c>
      <c r="L203" s="572">
        <f t="shared" si="36"/>
        <v>0.80017698659459757</v>
      </c>
      <c r="M203" s="572">
        <f t="shared" si="36"/>
        <v>1.0175847954752595</v>
      </c>
      <c r="N203" s="572">
        <f t="shared" si="36"/>
        <v>1.1737001858386176</v>
      </c>
      <c r="O203" s="572">
        <f t="shared" si="36"/>
        <v>1.3361797354230962</v>
      </c>
      <c r="P203" s="572">
        <f t="shared" si="36"/>
        <v>1.4718983344493015</v>
      </c>
      <c r="Q203" s="572">
        <f t="shared" si="36"/>
        <v>1.6073244786312033</v>
      </c>
      <c r="R203" s="572">
        <f t="shared" si="36"/>
        <v>1.7108987634270376</v>
      </c>
      <c r="S203" s="572">
        <f t="shared" si="36"/>
        <v>1.8058436475285418</v>
      </c>
      <c r="T203" s="572">
        <f t="shared" si="36"/>
        <v>1.892721895058693</v>
      </c>
      <c r="U203" s="572">
        <f t="shared" si="36"/>
        <v>1.9948847399615834</v>
      </c>
      <c r="V203" s="572">
        <f t="shared" si="36"/>
        <v>2.1307508309377847</v>
      </c>
      <c r="W203" s="572">
        <f t="shared" si="36"/>
        <v>2.2814755510324991</v>
      </c>
      <c r="X203" s="572">
        <f t="shared" si="36"/>
        <v>2.4473334774856652</v>
      </c>
      <c r="Y203" s="572">
        <f t="shared" si="36"/>
        <v>2.5187090935170882</v>
      </c>
      <c r="Z203" s="572">
        <f t="shared" si="36"/>
        <v>2.3978301768163894</v>
      </c>
      <c r="AA203" s="572">
        <f t="shared" si="36"/>
        <v>2.552167680655177</v>
      </c>
      <c r="AB203" s="572">
        <f t="shared" si="36"/>
        <v>2.7154732481480219</v>
      </c>
      <c r="AC203" s="572">
        <f t="shared" si="36"/>
        <v>3.156354711172169</v>
      </c>
      <c r="AD203" s="572">
        <f t="shared" si="36"/>
        <v>3.6312493039771216</v>
      </c>
      <c r="AE203" s="572">
        <f t="shared" si="36"/>
        <v>3.5286886623681863</v>
      </c>
      <c r="AF203" s="572">
        <f t="shared" si="36"/>
        <v>3.5661160213958789</v>
      </c>
      <c r="AG203" s="572">
        <f t="shared" si="36"/>
        <v>3.0367418776947352</v>
      </c>
      <c r="AH203" s="572">
        <f t="shared" si="36"/>
        <v>3.4474360315304891</v>
      </c>
      <c r="AI203" s="572">
        <f t="shared" si="36"/>
        <v>3.2765171603909029</v>
      </c>
      <c r="AJ203" s="572">
        <f t="shared" si="36"/>
        <v>3.6913250382622378</v>
      </c>
      <c r="AK203" s="572">
        <f t="shared" si="36"/>
        <v>3.8302795167101009</v>
      </c>
      <c r="AL203" s="572">
        <f t="shared" si="36"/>
        <v>3.945516056452361</v>
      </c>
      <c r="AM203" s="572"/>
    </row>
    <row r="204" spans="1:39" ht="15.7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row>
    <row r="205" spans="1:39"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row>
    <row r="206" spans="1:39"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row>
    <row r="207" spans="1:39"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row>
    <row r="208" spans="1:39"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row>
    <row r="209" spans="1:39"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row>
    <row r="210" spans="1:39"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row>
    <row r="211" spans="1:39"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row>
    <row r="212" spans="1:39"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row>
    <row r="213" spans="1:39"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row>
    <row r="214" spans="1:39"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row>
    <row r="215" spans="1:39"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row>
    <row r="216" spans="1:39"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row>
    <row r="217" spans="1:39"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row>
    <row r="218" spans="1:39"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row>
    <row r="219" spans="1:39"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row>
    <row r="220" spans="1:39"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row>
    <row r="221" spans="1:39" ht="15.7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row>
    <row r="222" spans="1:39" ht="15.7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row>
    <row r="223" spans="1:39" ht="15.7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row>
    <row r="224" spans="1:39" ht="15.7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row>
    <row r="225" spans="1:39" ht="15.7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row>
    <row r="226" spans="1:39" ht="15.7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row>
    <row r="227" spans="1:39" ht="15.7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row>
    <row r="228" spans="1:39" ht="15.7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row>
    <row r="229" spans="1:39" ht="15.7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row>
    <row r="230" spans="1:39" ht="15.7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row>
    <row r="231" spans="1:39" ht="15.7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row>
    <row r="232" spans="1:39" ht="15.7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row>
    <row r="233" spans="1:39" ht="15.7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row>
    <row r="234" spans="1:39" ht="15.7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row>
    <row r="235" spans="1:39" ht="15.7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row>
    <row r="236" spans="1:39" ht="15.7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row>
    <row r="237" spans="1:39" ht="15.7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row>
    <row r="238" spans="1:39" ht="15.7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row>
    <row r="239" spans="1:39" ht="15.7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row>
    <row r="240" spans="1:39" ht="15.7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row>
    <row r="241" spans="1:39" ht="15.7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row>
    <row r="242" spans="1:39" ht="15.7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row>
    <row r="243" spans="1:39" ht="15.7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row>
    <row r="244" spans="1:39" ht="15.7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row>
    <row r="245" spans="1:39" ht="15.7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row>
    <row r="246" spans="1:39" ht="15.7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row>
    <row r="247" spans="1:39" ht="15.7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row>
    <row r="248" spans="1:39" ht="15.7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row>
    <row r="249" spans="1:39" ht="15.7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row>
    <row r="250" spans="1:39" ht="15.7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row>
    <row r="251" spans="1:39" ht="15.75" customHeight="1"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row>
    <row r="252" spans="1:39" ht="15.75" customHeight="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row>
    <row r="253" spans="1:39" ht="15.75" customHeight="1"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row>
    <row r="254" spans="1:39" ht="15.75" customHeight="1"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row>
    <row r="255" spans="1:39" ht="15.75" customHeight="1"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row>
    <row r="256" spans="1:39" ht="15.75" customHeight="1"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row>
    <row r="257" spans="1:39" ht="15.75" customHeight="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row>
    <row r="258" spans="1:39" ht="15.75" customHeight="1"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row>
    <row r="259" spans="1:39" ht="15.75" customHeight="1"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row>
    <row r="260" spans="1:39" ht="15.75" customHeight="1"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row>
    <row r="261" spans="1:39" ht="15.75" customHeight="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row>
    <row r="262" spans="1:39" ht="15.75" customHeight="1"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row>
    <row r="263" spans="1:39" ht="15.75"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row>
    <row r="264" spans="1:39" ht="15.75"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row>
    <row r="265" spans="1:39" ht="15.75" customHeight="1"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row>
    <row r="266" spans="1:39" ht="15.75" customHeight="1"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row>
    <row r="267" spans="1:39" ht="15.75" customHeight="1"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row>
    <row r="268" spans="1:39" ht="15.75" customHeight="1"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row>
    <row r="269" spans="1:39" ht="15.75" customHeight="1"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row>
    <row r="270" spans="1:39" ht="15.75" customHeight="1"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row>
    <row r="271" spans="1:39" ht="15.75" customHeight="1"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row>
    <row r="272" spans="1:39" ht="15.75" customHeight="1"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row>
    <row r="273" spans="1:39" ht="15.75" customHeight="1"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row>
    <row r="274" spans="1:39" ht="15.75" customHeight="1"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row>
    <row r="275" spans="1:39" ht="15.75" customHeight="1"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row>
    <row r="276" spans="1:39" ht="15.75" customHeight="1"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row>
    <row r="277" spans="1:39" ht="15.75" customHeight="1"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row>
    <row r="278" spans="1:39" ht="15.75" customHeight="1"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row>
    <row r="279" spans="1:39" ht="15.75" customHeight="1"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row>
    <row r="280" spans="1:39" ht="15.75" customHeight="1"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row>
    <row r="281" spans="1:39" ht="15.75" customHeight="1"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row>
    <row r="282" spans="1:39" ht="15.75" customHeight="1"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row>
    <row r="283" spans="1:39" ht="15.75" customHeight="1"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row>
    <row r="284" spans="1:39" ht="15.75" customHeight="1"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row>
    <row r="285" spans="1:39" ht="15.75" customHeight="1"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row>
    <row r="286" spans="1:39" ht="15.75" customHeight="1"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row>
    <row r="287" spans="1:39" ht="15.75" customHeight="1"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row>
    <row r="288" spans="1:39" ht="15.75" customHeight="1"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row>
    <row r="289" spans="1:39" ht="15.75" customHeight="1"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row>
    <row r="290" spans="1:39" ht="15.75" customHeight="1"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row>
    <row r="291" spans="1:39" ht="15.75" customHeight="1"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row>
    <row r="292" spans="1:39" ht="15.75" customHeight="1"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row>
    <row r="293" spans="1:39" ht="15.75" customHeight="1"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row>
    <row r="294" spans="1:39" ht="15.75" customHeight="1"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row>
    <row r="295" spans="1:39" ht="15.75" customHeight="1"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row>
    <row r="296" spans="1:39" ht="15.75" customHeight="1"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row>
    <row r="297" spans="1:39" ht="15.75" customHeight="1"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row>
    <row r="298" spans="1:39" ht="15.75" customHeight="1"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row>
    <row r="299" spans="1:39" ht="15.75" customHeight="1"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row>
    <row r="300" spans="1:39" ht="15.75" customHeight="1"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row>
    <row r="301" spans="1:39" ht="15.75" customHeight="1"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row>
    <row r="302" spans="1:39" ht="15.75" customHeight="1"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row>
    <row r="303" spans="1:39" ht="15.75" customHeight="1"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row>
    <row r="304" spans="1:39" ht="15.75" customHeight="1"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row>
    <row r="305" spans="1:39" ht="15.75" customHeight="1"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row>
    <row r="306" spans="1:39" ht="15.75" customHeight="1"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row>
    <row r="307" spans="1:39" ht="15.75" customHeight="1"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row>
    <row r="308" spans="1:39" ht="15.75" customHeight="1"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row>
    <row r="309" spans="1:39" ht="15.75" customHeight="1"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row>
    <row r="310" spans="1:39" ht="15.75" customHeight="1"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row>
    <row r="311" spans="1:39" ht="15.75" customHeight="1"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row>
    <row r="312" spans="1:39" ht="15.75" customHeight="1"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row>
    <row r="313" spans="1:39" ht="15.75" customHeight="1"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row>
    <row r="314" spans="1:39" ht="15.75" customHeight="1"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row>
    <row r="315" spans="1:39" ht="15.75" customHeight="1"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row>
    <row r="316" spans="1:39" ht="15.75" customHeight="1"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row>
    <row r="317" spans="1:39" ht="15.75" customHeight="1"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row>
    <row r="318" spans="1:39" ht="15.75" customHeight="1"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row>
    <row r="319" spans="1:39" ht="15.75" customHeight="1"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row>
    <row r="320" spans="1:39" ht="15.75" customHeight="1"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row>
    <row r="321" spans="1:39" ht="15.75" customHeight="1"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row>
    <row r="322" spans="1:39" ht="15.75" customHeight="1"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row>
    <row r="323" spans="1:39" ht="15.75" customHeight="1"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row>
    <row r="324" spans="1:39" ht="15.75" customHeight="1"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row>
    <row r="325" spans="1:39" ht="15.75" customHeight="1"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row>
    <row r="326" spans="1:39" ht="15.75" customHeight="1"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row>
    <row r="327" spans="1:39" ht="15.75" customHeight="1"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row>
    <row r="328" spans="1:39" ht="15.75" customHeight="1"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row>
    <row r="329" spans="1:39" ht="15.75" customHeight="1"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row>
    <row r="330" spans="1:39" ht="15.75" customHeight="1"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row>
    <row r="331" spans="1:39" ht="15.75" customHeight="1"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row>
    <row r="332" spans="1:39" ht="15.75" customHeight="1"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row>
    <row r="333" spans="1:39" ht="15.75" customHeight="1"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row>
    <row r="334" spans="1:39" ht="15.75" customHeight="1"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row>
    <row r="335" spans="1:39" ht="15.75" customHeight="1"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row>
    <row r="336" spans="1:39" ht="15.75" customHeight="1"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row>
    <row r="337" spans="1:39" ht="15.75" customHeight="1"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row>
    <row r="338" spans="1:39" ht="15.75" customHeight="1"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row>
    <row r="339" spans="1:39" ht="15.75" customHeight="1"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row>
    <row r="340" spans="1:39" ht="15.75" customHeight="1"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row>
    <row r="341" spans="1:39" ht="15.75" customHeight="1"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row>
    <row r="342" spans="1:39" ht="15.75" customHeight="1"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row>
    <row r="343" spans="1:39" ht="15.75" customHeight="1"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row>
    <row r="344" spans="1:39" ht="15.75" customHeight="1"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row>
    <row r="345" spans="1:39" ht="15.75" customHeight="1"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row>
    <row r="346" spans="1:39" ht="15.75" customHeight="1"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row>
    <row r="347" spans="1:39" ht="15.75" customHeight="1"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row>
    <row r="348" spans="1:39" ht="15.75" customHeight="1"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row>
    <row r="349" spans="1:39" ht="15.75" customHeight="1"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row>
    <row r="350" spans="1:39" ht="15.75" customHeight="1"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row>
    <row r="351" spans="1:39" ht="15.75" customHeight="1"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row>
    <row r="352" spans="1:39" ht="15.75" customHeight="1"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row>
    <row r="353" spans="1:39" ht="15.75" customHeight="1"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row>
    <row r="354" spans="1:39" ht="15.75" customHeight="1"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row>
    <row r="355" spans="1:39" ht="15.75" customHeight="1"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row>
    <row r="356" spans="1:39" ht="15.75" customHeight="1"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row>
    <row r="357" spans="1:39" ht="15.75" customHeight="1"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row>
    <row r="358" spans="1:39" ht="15.75" customHeight="1"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row>
    <row r="359" spans="1:39" ht="15.75" customHeight="1"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row>
    <row r="360" spans="1:39" ht="15.75" customHeight="1"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row>
    <row r="361" spans="1:39" ht="15.75" customHeight="1"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row>
    <row r="362" spans="1:39" ht="15.75" customHeight="1"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row>
    <row r="363" spans="1:39" ht="15.75" customHeight="1"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row>
    <row r="364" spans="1:39" ht="15.75" customHeight="1"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row>
    <row r="365" spans="1:39" ht="15.75" customHeight="1"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row>
    <row r="366" spans="1:39" ht="15.75" customHeight="1"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row>
    <row r="367" spans="1:39" ht="15.75" customHeight="1"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row>
    <row r="368" spans="1:39" ht="15.75" customHeight="1"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row>
    <row r="369" spans="1:39" ht="15.75" customHeight="1"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row>
    <row r="370" spans="1:39" ht="15.75" customHeight="1"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row>
    <row r="371" spans="1:39" ht="15.75" customHeight="1"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row>
    <row r="372" spans="1:39" ht="15.75" customHeight="1"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row>
    <row r="373" spans="1:39" ht="15.75" customHeight="1"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row>
    <row r="374" spans="1:39" ht="15.75" customHeight="1"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row>
    <row r="375" spans="1:39" ht="15.75" customHeight="1"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row>
    <row r="376" spans="1:39" ht="15.75" customHeight="1"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row>
    <row r="377" spans="1:39" ht="15.75" customHeight="1"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row>
    <row r="378" spans="1:39" ht="15.75" customHeight="1"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row>
    <row r="379" spans="1:39" ht="15.75" customHeight="1"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row>
    <row r="380" spans="1:39" ht="15.75" customHeight="1"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row>
    <row r="381" spans="1:39" ht="15.75" customHeight="1"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row>
    <row r="382" spans="1:39" ht="15.75" customHeight="1"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row>
    <row r="383" spans="1:39" ht="15.75" customHeight="1"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row>
    <row r="384" spans="1:39" ht="15.75" customHeight="1"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row>
    <row r="385" spans="1:39" ht="15.75" customHeight="1"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row>
    <row r="386" spans="1:39" ht="15.75" customHeight="1"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row>
    <row r="387" spans="1:39" ht="15.75" customHeight="1"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row>
    <row r="388" spans="1:39" ht="15.75" customHeight="1"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row>
    <row r="389" spans="1:39" ht="15.75" customHeight="1"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row>
    <row r="390" spans="1:39" ht="15.75" customHeight="1"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row>
    <row r="391" spans="1:39" ht="15.75" customHeight="1"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row>
    <row r="392" spans="1:39" ht="15.75" customHeight="1"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row>
    <row r="393" spans="1:39" ht="15.75" customHeight="1"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row>
    <row r="394" spans="1:39" ht="15.75" customHeight="1"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row>
    <row r="395" spans="1:39" ht="15.75" customHeight="1"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row>
    <row r="396" spans="1:39" ht="15.75" customHeight="1"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row>
    <row r="397" spans="1:39" ht="15.75" customHeight="1"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row>
    <row r="398" spans="1:39" ht="15.75" customHeight="1"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row>
    <row r="399" spans="1:39" ht="15.75" customHeight="1"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row>
    <row r="400" spans="1:39" ht="15.75" customHeight="1"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row>
    <row r="401" spans="1:39" ht="15.75" customHeight="1"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row>
    <row r="402" spans="1:39" ht="15.75" customHeight="1"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row>
    <row r="403" spans="1:39" ht="15.75" customHeight="1"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row>
    <row r="404" spans="1:39" ht="15.75" customHeight="1"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row>
    <row r="405" spans="1:39" ht="15.75" customHeight="1"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row>
    <row r="406" spans="1:39" ht="15.75" customHeight="1"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row>
    <row r="407" spans="1:39" ht="15.75" customHeight="1"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row>
    <row r="408" spans="1:39" ht="15.75" customHeight="1"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row>
    <row r="409" spans="1:39" ht="15.75" customHeight="1"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row>
    <row r="410" spans="1:39" ht="15.75" customHeight="1"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row>
    <row r="411" spans="1:39" ht="15.75" customHeight="1"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row>
    <row r="412" spans="1:39" ht="15.75" customHeight="1"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row>
    <row r="413" spans="1:39" ht="15.75" customHeight="1"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row>
    <row r="414" spans="1:39" ht="15.75" customHeight="1"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row>
    <row r="415" spans="1:39" ht="15.75" customHeight="1"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row>
    <row r="416" spans="1:39" ht="15.75" customHeight="1"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row>
    <row r="417" spans="1:39" ht="15.75" customHeight="1"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row>
    <row r="418" spans="1:39" ht="15.75" customHeight="1"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row>
    <row r="419" spans="1:39" ht="15.75" customHeight="1"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row>
    <row r="420" spans="1:39" ht="15.75" customHeight="1"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row>
    <row r="421" spans="1:39" ht="15.75" customHeight="1"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row>
    <row r="422" spans="1:39" ht="15.75" customHeight="1"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row>
    <row r="423" spans="1:39" ht="15.75" customHeight="1"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row>
    <row r="424" spans="1:39" ht="15.75" customHeight="1"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row>
    <row r="425" spans="1:39" ht="15.75" customHeight="1"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row>
    <row r="426" spans="1:39" ht="15.75" customHeight="1"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row>
    <row r="427" spans="1:39" ht="15.75" customHeight="1"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row>
    <row r="428" spans="1:39" ht="15.75" customHeight="1"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row>
    <row r="429" spans="1:39" ht="15.75" customHeight="1"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row>
    <row r="430" spans="1:39" ht="15.75" customHeight="1"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row>
    <row r="431" spans="1:39" ht="15.75" customHeight="1"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row>
    <row r="432" spans="1:39" ht="15.75" customHeight="1"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row>
    <row r="433" spans="1:39" ht="15.75" customHeight="1"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row>
    <row r="434" spans="1:39" ht="15.75" customHeight="1"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row>
    <row r="435" spans="1:39" ht="15.75" customHeight="1"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row>
    <row r="436" spans="1:39" ht="15.75" customHeight="1"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row>
    <row r="437" spans="1:39" ht="15.75" customHeight="1"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row>
    <row r="438" spans="1:39" ht="15.75" customHeight="1"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row>
    <row r="439" spans="1:39" ht="15.75" customHeight="1"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row>
    <row r="440" spans="1:39" ht="15.75" customHeight="1"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row>
    <row r="441" spans="1:39" ht="15.75" customHeight="1"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row>
    <row r="442" spans="1:39" ht="15.75" customHeight="1"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row>
    <row r="443" spans="1:39" ht="15.75" customHeight="1"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row>
    <row r="444" spans="1:39" ht="15.75" customHeight="1"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row>
    <row r="445" spans="1:39" ht="15.75" customHeight="1"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row>
    <row r="446" spans="1:39" ht="15.75" customHeight="1"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row>
    <row r="447" spans="1:39" ht="15.75" customHeight="1"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row>
    <row r="448" spans="1:39" ht="15.75" customHeight="1"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row>
    <row r="449" spans="1:39" ht="15.75" customHeight="1"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row>
    <row r="450" spans="1:39" ht="15.75" customHeight="1"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row>
    <row r="451" spans="1:39" ht="15.75" customHeight="1"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row>
    <row r="452" spans="1:39" ht="15.75" customHeight="1"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row>
    <row r="453" spans="1:39" ht="15.75" customHeight="1"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row>
    <row r="454" spans="1:39" ht="15.75" customHeight="1"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row>
    <row r="455" spans="1:39" ht="15.75" customHeight="1"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row>
    <row r="456" spans="1:39" ht="15.75" customHeight="1"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row>
    <row r="457" spans="1:39" ht="15.75" customHeight="1"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row>
    <row r="458" spans="1:39" ht="15.75" customHeight="1"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row>
    <row r="459" spans="1:39" ht="15.75" customHeight="1"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row>
    <row r="460" spans="1:39" ht="15.75" customHeight="1"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row>
    <row r="461" spans="1:39" ht="15.75" customHeight="1"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row>
    <row r="462" spans="1:39" ht="15.75" customHeight="1"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row>
    <row r="463" spans="1:39" ht="15.75" customHeight="1"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row>
    <row r="464" spans="1:39" ht="15.75" customHeight="1"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row>
    <row r="465" spans="1:39" ht="15.75" customHeight="1"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row>
    <row r="466" spans="1:39" ht="15.75" customHeight="1"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row>
    <row r="467" spans="1:39" ht="15.75" customHeight="1"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row>
    <row r="468" spans="1:39" ht="15.75" customHeight="1"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row>
    <row r="469" spans="1:39" ht="15.75" customHeight="1"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row>
    <row r="470" spans="1:39" ht="15.75" customHeight="1"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row>
    <row r="471" spans="1:39" ht="15.75" customHeight="1"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row>
    <row r="472" spans="1:39" ht="15.75" customHeight="1"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row>
    <row r="473" spans="1:39" ht="15.75" customHeight="1"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row>
    <row r="474" spans="1:39" ht="15.75" customHeight="1"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row>
    <row r="475" spans="1:39" ht="15.75" customHeight="1"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row>
    <row r="476" spans="1:39" ht="15.75" customHeight="1"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row>
    <row r="477" spans="1:39" ht="15.75" customHeight="1"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row>
    <row r="478" spans="1:39" ht="15.75" customHeight="1"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row>
    <row r="479" spans="1:39" ht="15.75" customHeight="1"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row>
    <row r="480" spans="1:39" ht="15.75" customHeight="1"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row>
    <row r="481" spans="1:39" ht="15.75" customHeight="1"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row>
    <row r="482" spans="1:39" ht="15.75" customHeight="1"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row>
    <row r="483" spans="1:39" ht="15.75" customHeight="1"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row>
    <row r="484" spans="1:39" ht="15.75" customHeight="1"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row>
    <row r="485" spans="1:39" ht="15.75" customHeight="1"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row>
    <row r="486" spans="1:39" ht="15.75" customHeight="1"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row>
    <row r="487" spans="1:39" ht="15.75" customHeight="1"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row>
    <row r="488" spans="1:39" ht="15.75" customHeight="1"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row>
    <row r="489" spans="1:39" ht="15.75" customHeight="1"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row>
    <row r="490" spans="1:39" ht="15.75" customHeight="1"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row>
    <row r="491" spans="1:39" ht="15.75" customHeight="1"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row>
    <row r="492" spans="1:39" ht="15.75" customHeight="1"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row>
    <row r="493" spans="1:39" ht="15.75" customHeight="1"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row>
    <row r="494" spans="1:39" ht="15.75" customHeight="1"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row>
    <row r="495" spans="1:39" ht="15.75" customHeight="1"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row>
    <row r="496" spans="1:39" ht="15.75" customHeight="1"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row>
    <row r="497" spans="1:39" ht="15.75" customHeight="1"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row>
    <row r="498" spans="1:39" ht="15.75" customHeight="1"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row>
    <row r="499" spans="1:39" ht="15.75" customHeight="1"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row>
    <row r="500" spans="1:39" ht="15.75" customHeight="1"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row>
    <row r="501" spans="1:39" ht="15.75" customHeight="1"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row>
    <row r="502" spans="1:39" ht="15.75" customHeight="1"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row>
    <row r="503" spans="1:39" ht="15.75" customHeight="1"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row>
    <row r="504" spans="1:39" ht="15.75" customHeight="1"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row>
    <row r="505" spans="1:39" ht="15.75" customHeight="1"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row>
    <row r="506" spans="1:39" ht="15.75" customHeight="1"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row>
    <row r="507" spans="1:39" ht="15.75" customHeight="1"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row>
    <row r="508" spans="1:39" ht="15.75" customHeight="1"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row>
    <row r="509" spans="1:39" ht="15.75" customHeight="1"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row>
    <row r="510" spans="1:39" ht="15.75" customHeight="1"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row>
    <row r="511" spans="1:39" ht="15.75" customHeight="1"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row>
    <row r="512" spans="1:39" ht="15.75" customHeight="1"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row>
    <row r="513" spans="1:39" ht="15.75" customHeight="1"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row>
    <row r="514" spans="1:39" ht="15.75" customHeight="1"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row>
    <row r="515" spans="1:39" ht="15.75" customHeight="1"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row>
    <row r="516" spans="1:39" ht="15.75" customHeight="1"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row>
    <row r="517" spans="1:39" ht="15.75" customHeight="1"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row>
    <row r="518" spans="1:39" ht="15.75" customHeight="1"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row>
    <row r="519" spans="1:39" ht="15.75" customHeight="1"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row>
    <row r="520" spans="1:39" ht="15.75" customHeight="1"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row>
    <row r="521" spans="1:39" ht="15.75" customHeight="1"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row>
    <row r="522" spans="1:39" ht="15.75" customHeight="1"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row>
    <row r="523" spans="1:39" ht="15.75" customHeight="1"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row>
    <row r="524" spans="1:39" ht="15.75" customHeight="1"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row>
    <row r="525" spans="1:39" ht="15.75" customHeight="1"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row>
    <row r="526" spans="1:39" ht="15.75" customHeight="1"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row>
    <row r="527" spans="1:39" ht="15.75" customHeight="1"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row>
    <row r="528" spans="1:39" ht="15.75" customHeight="1"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row>
    <row r="529" spans="1:39" ht="15.75" customHeight="1"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row>
    <row r="530" spans="1:39" ht="15.75" customHeight="1"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row>
    <row r="531" spans="1:39" ht="15.75" customHeight="1"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row>
    <row r="532" spans="1:39" ht="15.75" customHeight="1"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row>
    <row r="533" spans="1:39" ht="15.75" customHeight="1"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row>
    <row r="534" spans="1:39" ht="15.75" customHeight="1"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row>
    <row r="535" spans="1:39" ht="15.75" customHeight="1"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row>
    <row r="536" spans="1:39" ht="15.75" customHeight="1"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row>
    <row r="537" spans="1:39" ht="15.75" customHeight="1"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row>
    <row r="538" spans="1:39" ht="15.75" customHeight="1"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row>
    <row r="539" spans="1:39" ht="15.75" customHeight="1"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row>
    <row r="540" spans="1:39" ht="15.75" customHeight="1"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row>
    <row r="541" spans="1:39" ht="15.75" customHeight="1"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row>
    <row r="542" spans="1:39" ht="15.75" customHeight="1"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row>
    <row r="543" spans="1:39" ht="15.75" customHeight="1"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row>
    <row r="544" spans="1:39" ht="15.75" customHeight="1"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row>
    <row r="545" spans="1:39" ht="15.75" customHeight="1"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row>
    <row r="546" spans="1:39" ht="15.75" customHeight="1"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row>
    <row r="547" spans="1:39" ht="15.75" customHeight="1"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row>
    <row r="548" spans="1:39" ht="15.75" customHeight="1"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row>
    <row r="549" spans="1:39" ht="15.75" customHeight="1"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row>
    <row r="550" spans="1:39" ht="15.75" customHeight="1"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row>
    <row r="551" spans="1:39" ht="15.75" customHeight="1"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row>
    <row r="552" spans="1:39" ht="15.75" customHeight="1"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row>
    <row r="553" spans="1:39" ht="15.75" customHeight="1"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row>
    <row r="554" spans="1:39" ht="15.75" customHeight="1"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row>
    <row r="555" spans="1:39" ht="15.75" customHeight="1"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row>
    <row r="556" spans="1:39" ht="15.75" customHeight="1"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row>
    <row r="557" spans="1:39" ht="15.75" customHeight="1"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row>
    <row r="558" spans="1:39" ht="15.75" customHeight="1"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row>
    <row r="559" spans="1:39" ht="15.75" customHeight="1"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row>
    <row r="560" spans="1:39" ht="15.75" customHeight="1"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row>
    <row r="561" spans="1:39" ht="15.75" customHeight="1"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row>
    <row r="562" spans="1:39" ht="15.75" customHeight="1"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row>
    <row r="563" spans="1:39" ht="15.75" customHeight="1"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row>
    <row r="564" spans="1:39" ht="15.75" customHeight="1"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row>
    <row r="565" spans="1:39" ht="15.75" customHeight="1"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row>
    <row r="566" spans="1:39" ht="15.75" customHeight="1"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row>
    <row r="567" spans="1:39" ht="15.75" customHeight="1"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row>
    <row r="568" spans="1:39" ht="15.75" customHeight="1"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row>
    <row r="569" spans="1:39" ht="15.75" customHeight="1"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row>
    <row r="570" spans="1:39" ht="15.75" customHeight="1"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row>
    <row r="571" spans="1:39" ht="15.75" customHeight="1"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row>
    <row r="572" spans="1:39" ht="15.75" customHeight="1"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row>
    <row r="573" spans="1:39" ht="15.75" customHeight="1"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row>
    <row r="574" spans="1:39" ht="15.75" customHeight="1"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row>
    <row r="575" spans="1:39" ht="15.75" customHeight="1"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row>
    <row r="576" spans="1:39" ht="15.75" customHeight="1"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row>
    <row r="577" spans="1:39" ht="15.75" customHeight="1"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row>
    <row r="578" spans="1:39" ht="15.75" customHeight="1"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row>
    <row r="579" spans="1:39" ht="15.75" customHeight="1"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row>
    <row r="580" spans="1:39" ht="15.75" customHeight="1"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row>
    <row r="581" spans="1:39" ht="15.75" customHeight="1"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row>
    <row r="582" spans="1:39" ht="15.75" customHeight="1"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row>
    <row r="583" spans="1:39" ht="15.75" customHeight="1"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row>
    <row r="584" spans="1:39" ht="15.75" customHeight="1"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row>
    <row r="585" spans="1:39" ht="15.75" customHeight="1"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row>
    <row r="586" spans="1:39" ht="15.75" customHeight="1"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row>
    <row r="587" spans="1:39" ht="15.75" customHeight="1"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row>
    <row r="588" spans="1:39" ht="15.75" customHeight="1"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row>
    <row r="589" spans="1:39" ht="15.75" customHeight="1"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row>
    <row r="590" spans="1:39" ht="15.75" customHeight="1"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row>
    <row r="591" spans="1:39" ht="15.75" customHeight="1"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row>
    <row r="592" spans="1:39" ht="15.75" customHeight="1"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row>
    <row r="593" spans="1:39" ht="15.75" customHeight="1"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row>
    <row r="594" spans="1:39" ht="15.75" customHeight="1"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row>
    <row r="595" spans="1:39" ht="15.75" customHeight="1"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row>
    <row r="596" spans="1:39" ht="15.75" customHeight="1"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row>
    <row r="597" spans="1:39" ht="15.75" customHeight="1"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row>
    <row r="598" spans="1:39" ht="15.75" customHeight="1"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row>
    <row r="599" spans="1:39" ht="15.75" customHeight="1"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row>
    <row r="600" spans="1:39" ht="15.75" customHeight="1"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row>
    <row r="601" spans="1:39" ht="15.75" customHeight="1"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row>
    <row r="602" spans="1:39" ht="15.75" customHeight="1"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row>
    <row r="603" spans="1:39" ht="15.75" customHeight="1"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row>
    <row r="604" spans="1:39" ht="15.75" customHeight="1"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row>
    <row r="605" spans="1:39" ht="15.75" customHeight="1"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row>
    <row r="606" spans="1:39" ht="15.75" customHeight="1"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row>
    <row r="607" spans="1:39" ht="15.75" customHeight="1"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row>
    <row r="608" spans="1:39" ht="15.75" customHeight="1"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row>
    <row r="609" spans="1:39" ht="15.75" customHeight="1"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row>
    <row r="610" spans="1:39" ht="15.75" customHeight="1"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row>
    <row r="611" spans="1:39" ht="15.75" customHeight="1"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row>
    <row r="612" spans="1:39" ht="15.75" customHeight="1"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row>
    <row r="613" spans="1:39" ht="15.75" customHeight="1"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row>
    <row r="614" spans="1:39" ht="15.75" customHeight="1"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row>
    <row r="615" spans="1:39" ht="15.75" customHeight="1"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row>
    <row r="616" spans="1:39" ht="15.75" customHeight="1"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row>
    <row r="617" spans="1:39" ht="15.75" customHeight="1"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row>
    <row r="618" spans="1:39" ht="15.75" customHeight="1"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row>
    <row r="619" spans="1:39" ht="15.75" customHeight="1"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row>
    <row r="620" spans="1:39" ht="15.75" customHeight="1"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row>
    <row r="621" spans="1:39" ht="15.75" customHeight="1"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row>
    <row r="622" spans="1:39" ht="15.75" customHeight="1"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row>
    <row r="623" spans="1:39" ht="15.75" customHeight="1"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row>
    <row r="624" spans="1:39" ht="15.75" customHeight="1"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row>
    <row r="625" spans="1:39" ht="15.75" customHeight="1"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row>
    <row r="626" spans="1:39" ht="15.75" customHeight="1"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row>
    <row r="627" spans="1:39" ht="15.75" customHeight="1"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row>
    <row r="628" spans="1:39" ht="15.75" customHeight="1"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row>
    <row r="629" spans="1:39" ht="15.75" customHeight="1"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row>
    <row r="630" spans="1:39" ht="15.75" customHeight="1"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row>
    <row r="631" spans="1:39" ht="15.75" customHeight="1"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row>
    <row r="632" spans="1:39" ht="15.75" customHeight="1"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row>
    <row r="633" spans="1:39" ht="15.75" customHeight="1"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row>
    <row r="634" spans="1:39" ht="15.75" customHeight="1"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row>
    <row r="635" spans="1:39" ht="15.75" customHeight="1"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row>
    <row r="636" spans="1:39" ht="15.75" customHeight="1"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row>
    <row r="637" spans="1:39" ht="15.75" customHeight="1"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row>
    <row r="638" spans="1:39" ht="15.75" customHeight="1"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row>
    <row r="639" spans="1:39" ht="15.75" customHeight="1"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row>
    <row r="640" spans="1:39" ht="15.75" customHeight="1"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row>
    <row r="641" spans="1:39" ht="15.75" customHeight="1"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row>
    <row r="642" spans="1:39" ht="15.75" customHeight="1"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row>
    <row r="643" spans="1:39" ht="15.75" customHeight="1"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row>
    <row r="644" spans="1:39" ht="15.75" customHeight="1"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row>
    <row r="645" spans="1:39" ht="15.75" customHeight="1"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row>
    <row r="646" spans="1:39" ht="15.75" customHeight="1"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row>
    <row r="647" spans="1:39" ht="15.75" customHeight="1"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row>
    <row r="648" spans="1:39" ht="15.75" customHeight="1"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row>
    <row r="649" spans="1:39" ht="15.75" customHeight="1"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row>
    <row r="650" spans="1:39" ht="15.75" customHeight="1"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row>
    <row r="651" spans="1:39" ht="15.75" customHeight="1"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row>
    <row r="652" spans="1:39" ht="15.75" customHeight="1"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row>
    <row r="653" spans="1:39" ht="15.75" customHeight="1"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row>
    <row r="654" spans="1:39" ht="15.75" customHeight="1"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row>
    <row r="655" spans="1:39" ht="15.75" customHeight="1"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row>
    <row r="656" spans="1:39" ht="15.75" customHeight="1"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row>
    <row r="657" spans="1:39" ht="15.75" customHeight="1" x14ac:dyDescent="0.2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row>
    <row r="658" spans="1:39" ht="15.75" customHeight="1"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row>
    <row r="659" spans="1:39" ht="15.75" customHeight="1"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row>
    <row r="660" spans="1:39" ht="15.75" customHeight="1"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row>
    <row r="661" spans="1:39" ht="15.75" customHeight="1"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row>
    <row r="662" spans="1:39" ht="15.75" customHeight="1"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row>
    <row r="663" spans="1:39" ht="15.75" customHeight="1" x14ac:dyDescent="0.2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row>
    <row r="664" spans="1:39" ht="15.75" customHeight="1"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row>
    <row r="665" spans="1:39" ht="15.75" customHeight="1"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row>
    <row r="666" spans="1:39" ht="15.75" customHeight="1"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row>
    <row r="667" spans="1:39" ht="15.75" customHeight="1"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row>
    <row r="668" spans="1:39" ht="15.75" customHeight="1"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row>
    <row r="669" spans="1:39" ht="15.75" customHeight="1" x14ac:dyDescent="0.2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row>
    <row r="670" spans="1:39" ht="15.75" customHeight="1"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row>
    <row r="671" spans="1:39" ht="15.75" customHeight="1"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row>
    <row r="672" spans="1:39" ht="15.75" customHeight="1"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row>
    <row r="673" spans="1:39" ht="15.75" customHeight="1"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row>
    <row r="674" spans="1:39" ht="15.75" customHeight="1"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row>
    <row r="675" spans="1:39" ht="15.75" customHeight="1" x14ac:dyDescent="0.2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row>
    <row r="676" spans="1:39" ht="15.75" customHeight="1"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row>
    <row r="677" spans="1:39" ht="15.75" customHeight="1"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row>
    <row r="678" spans="1:39" ht="15.75" customHeight="1"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row>
    <row r="679" spans="1:39" ht="15.75" customHeight="1"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row>
    <row r="680" spans="1:39" ht="15.75" customHeight="1"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row>
    <row r="681" spans="1:39" ht="15.75" customHeight="1" x14ac:dyDescent="0.2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row>
    <row r="682" spans="1:39" ht="15.75" customHeight="1"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row>
    <row r="683" spans="1:39" ht="15.75" customHeight="1"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row>
    <row r="684" spans="1:39" ht="15.75" customHeight="1"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row>
    <row r="685" spans="1:39" ht="15.75" customHeight="1"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row>
    <row r="686" spans="1:39" ht="15.75" customHeight="1"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row>
    <row r="687" spans="1:39" ht="15.75" customHeight="1" x14ac:dyDescent="0.2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row>
    <row r="688" spans="1:39" ht="15.75" customHeight="1"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row>
    <row r="689" spans="1:39" ht="15.75" customHeight="1"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row>
    <row r="690" spans="1:39" ht="15.75" customHeight="1"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row>
    <row r="691" spans="1:39" ht="15.75" customHeight="1"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row>
    <row r="692" spans="1:39" ht="15.75" customHeight="1"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row>
    <row r="693" spans="1:39" ht="15.75" customHeight="1" x14ac:dyDescent="0.2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row>
    <row r="694" spans="1:39" ht="15.75" customHeight="1"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row>
    <row r="695" spans="1:39" ht="15.75" customHeight="1"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row>
    <row r="696" spans="1:39" ht="15.75" customHeight="1"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row>
    <row r="697" spans="1:39" ht="15.75" customHeight="1"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row>
    <row r="698" spans="1:39" ht="15.75" customHeight="1"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row>
    <row r="699" spans="1:39" ht="15.75" customHeight="1" x14ac:dyDescent="0.2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row>
    <row r="700" spans="1:39" ht="15.75" customHeight="1"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row>
    <row r="701" spans="1:39" ht="15.75" customHeight="1"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row>
    <row r="702" spans="1:39" ht="15.75" customHeight="1"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row>
    <row r="703" spans="1:39" ht="15.75" customHeight="1"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row>
    <row r="704" spans="1:39" ht="15.75" customHeight="1"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row>
    <row r="705" spans="1:39" ht="15.75" customHeight="1" x14ac:dyDescent="0.2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row>
    <row r="706" spans="1:39" ht="15.75" customHeight="1"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row>
    <row r="707" spans="1:39" ht="15.75" customHeight="1"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row>
    <row r="708" spans="1:39" ht="15.75" customHeight="1"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row>
    <row r="709" spans="1:39" ht="15.75" customHeight="1"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row>
    <row r="710" spans="1:39" ht="15.75" customHeight="1"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row>
    <row r="711" spans="1:39" ht="15.75" customHeight="1" x14ac:dyDescent="0.2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row>
    <row r="712" spans="1:39" ht="15.75" customHeight="1"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row>
    <row r="713" spans="1:39" ht="15.75" customHeight="1"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row>
    <row r="714" spans="1:39" ht="15.75" customHeight="1"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row>
    <row r="715" spans="1:39" ht="15.75" customHeight="1"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row>
    <row r="716" spans="1:39" ht="15.75" customHeight="1"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row>
    <row r="717" spans="1:39" ht="15.75" customHeight="1" x14ac:dyDescent="0.2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row>
    <row r="718" spans="1:39" ht="15.75" customHeight="1"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row>
    <row r="719" spans="1:39" ht="15.75" customHeight="1"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row>
    <row r="720" spans="1:39" ht="15.75" customHeight="1"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row>
    <row r="721" spans="1:39" ht="15.75" customHeight="1"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row>
    <row r="722" spans="1:39" ht="15.75" customHeight="1"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row>
    <row r="723" spans="1:39" ht="15.75" customHeight="1" x14ac:dyDescent="0.2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row>
    <row r="724" spans="1:39" ht="15.75" customHeight="1"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row>
    <row r="725" spans="1:39" ht="15.75" customHeight="1"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row>
    <row r="726" spans="1:39" ht="15.75" customHeight="1"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row>
    <row r="727" spans="1:39" ht="15.75" customHeight="1"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row>
    <row r="728" spans="1:39" ht="15.75" customHeight="1"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row>
    <row r="729" spans="1:39" ht="15.75" customHeight="1" x14ac:dyDescent="0.2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row>
    <row r="730" spans="1:39" ht="15.75" customHeight="1"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row>
    <row r="731" spans="1:39" ht="15.75" customHeight="1"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row>
    <row r="732" spans="1:39" ht="15.75" customHeight="1"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row>
    <row r="733" spans="1:39" ht="15.75" customHeight="1"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row>
    <row r="734" spans="1:39" ht="15.75" customHeight="1"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row>
    <row r="735" spans="1:39" ht="15.75" customHeight="1" x14ac:dyDescent="0.2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row>
    <row r="736" spans="1:39" ht="15.75" customHeight="1"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row>
    <row r="737" spans="1:39" ht="15.75" customHeight="1"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row>
    <row r="738" spans="1:39" ht="15.75" customHeight="1"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row>
    <row r="739" spans="1:39" ht="15.75" customHeight="1"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row>
    <row r="740" spans="1:39" ht="15.75" customHeight="1"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row>
    <row r="741" spans="1:39" ht="15.75" customHeight="1" x14ac:dyDescent="0.2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row>
    <row r="742" spans="1:39" ht="15.75" customHeight="1"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row>
    <row r="743" spans="1:39" ht="15.75" customHeight="1"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row>
    <row r="744" spans="1:39" ht="15.75" customHeight="1"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row>
    <row r="745" spans="1:39" ht="15.75" customHeight="1"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row>
    <row r="746" spans="1:39" ht="15.75" customHeight="1"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row>
    <row r="747" spans="1:39" ht="15.75" customHeight="1" x14ac:dyDescent="0.2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row>
    <row r="748" spans="1:39" ht="15.75" customHeight="1"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row>
    <row r="749" spans="1:39" ht="15.75" customHeight="1"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row>
    <row r="750" spans="1:39" ht="15.75" customHeight="1"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row>
    <row r="751" spans="1:39" ht="15.75" customHeight="1"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row>
    <row r="752" spans="1:39" ht="15.75" customHeight="1"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row>
    <row r="753" spans="1:39" ht="15.75" customHeight="1" x14ac:dyDescent="0.2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row>
    <row r="754" spans="1:39" ht="15.75" customHeight="1"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row>
    <row r="755" spans="1:39" ht="15.75" customHeight="1"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row>
    <row r="756" spans="1:39" ht="15.75" customHeight="1"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row>
    <row r="757" spans="1:39" ht="15.75" customHeight="1"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row>
    <row r="758" spans="1:39" ht="15.75" customHeight="1"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row>
    <row r="759" spans="1:39" ht="15.75" customHeight="1" x14ac:dyDescent="0.2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row>
    <row r="760" spans="1:39" ht="15.75" customHeight="1"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row>
    <row r="761" spans="1:39" ht="15.75" customHeight="1"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row>
    <row r="762" spans="1:39" ht="15.75" customHeight="1"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row>
    <row r="763" spans="1:39" ht="15.75" customHeight="1"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row>
    <row r="764" spans="1:39" ht="15.75" customHeight="1"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row>
    <row r="765" spans="1:39" ht="15.75" customHeight="1" x14ac:dyDescent="0.2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row>
    <row r="766" spans="1:39" ht="15.75" customHeight="1"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row>
    <row r="767" spans="1:39" ht="15.75" customHeight="1"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row>
    <row r="768" spans="1:39" ht="15.75" customHeight="1"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row>
    <row r="769" spans="1:39" ht="15.75" customHeight="1"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row>
    <row r="770" spans="1:39" ht="15.75" customHeight="1"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row>
    <row r="771" spans="1:39" ht="15.75" customHeight="1" x14ac:dyDescent="0.2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row>
    <row r="772" spans="1:39" ht="15.75" customHeight="1"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row>
    <row r="773" spans="1:39" ht="15.75" customHeight="1"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row>
    <row r="774" spans="1:39" ht="15.75" customHeight="1"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row>
    <row r="775" spans="1:39" ht="15.75" customHeight="1"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row>
    <row r="776" spans="1:39" ht="15.75" customHeight="1"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row>
    <row r="777" spans="1:39" ht="15.75" customHeight="1" x14ac:dyDescent="0.2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row>
    <row r="778" spans="1:39" ht="15.75" customHeight="1"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row>
    <row r="779" spans="1:39" ht="15.75" customHeight="1"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row>
    <row r="780" spans="1:39" ht="15.75" customHeight="1"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row>
    <row r="781" spans="1:39" ht="15.75" customHeight="1"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row>
    <row r="782" spans="1:39" ht="15.75" customHeight="1"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row>
    <row r="783" spans="1:39" ht="15.75" customHeight="1" x14ac:dyDescent="0.2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row>
    <row r="784" spans="1:39" ht="15.75" customHeight="1"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row>
    <row r="785" spans="1:39" ht="15.75" customHeight="1"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row>
    <row r="786" spans="1:39" ht="15.75" customHeight="1"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row>
    <row r="787" spans="1:39" ht="15.75" customHeight="1"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row>
    <row r="788" spans="1:39" ht="15.75" customHeight="1"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row>
    <row r="789" spans="1:39" ht="15.75" customHeight="1" x14ac:dyDescent="0.2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row>
    <row r="790" spans="1:39" ht="15.75" customHeight="1"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row>
    <row r="791" spans="1:39" ht="15.75" customHeight="1"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row>
    <row r="792" spans="1:39" ht="15.75" customHeight="1"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row>
    <row r="793" spans="1:39" ht="15.75" customHeight="1"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row>
    <row r="794" spans="1:39" ht="15.75" customHeight="1"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row>
    <row r="795" spans="1:39" ht="15.75" customHeight="1" x14ac:dyDescent="0.2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row>
    <row r="796" spans="1:39" ht="15.75" customHeight="1"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row>
    <row r="797" spans="1:39" ht="15.75" customHeight="1"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row>
    <row r="798" spans="1:39" ht="15.75" customHeight="1"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row>
    <row r="799" spans="1:39" ht="15.75" customHeight="1"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row>
    <row r="800" spans="1:39" ht="15.75" customHeight="1"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row>
    <row r="801" spans="1:39" ht="15.75" customHeight="1" x14ac:dyDescent="0.2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row>
    <row r="802" spans="1:39" ht="15.75" customHeight="1"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row>
    <row r="803" spans="1:39" ht="15.75" customHeight="1"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row>
    <row r="804" spans="1:39" ht="15.75" customHeight="1"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row>
    <row r="805" spans="1:39" ht="15.75" customHeight="1"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row>
    <row r="806" spans="1:39" ht="15.75" customHeight="1"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row>
    <row r="807" spans="1:39" ht="15.75" customHeight="1" x14ac:dyDescent="0.2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row>
    <row r="808" spans="1:39" ht="15.75" customHeight="1"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row>
    <row r="809" spans="1:39" ht="15.75" customHeight="1"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row>
    <row r="810" spans="1:39" ht="15.75" customHeight="1"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row>
    <row r="811" spans="1:39" ht="15.75" customHeight="1" x14ac:dyDescent="0.2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row>
    <row r="812" spans="1:39" ht="15.75" customHeight="1" x14ac:dyDescent="0.2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row>
    <row r="813" spans="1:39" ht="15.75" customHeight="1" x14ac:dyDescent="0.2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row>
    <row r="814" spans="1:39" ht="15.75" customHeight="1" x14ac:dyDescent="0.2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row>
    <row r="815" spans="1:39" ht="15.75" customHeight="1" x14ac:dyDescent="0.2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row>
    <row r="816" spans="1:39" ht="15.75" customHeight="1" x14ac:dyDescent="0.2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row>
    <row r="817" spans="1:39" ht="15.75" customHeight="1" x14ac:dyDescent="0.2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row>
    <row r="818" spans="1:39" ht="15.75" customHeight="1" x14ac:dyDescent="0.2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row>
    <row r="819" spans="1:39" ht="15.75" customHeight="1" x14ac:dyDescent="0.2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row>
    <row r="820" spans="1:39" ht="15.75" customHeight="1" x14ac:dyDescent="0.2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row>
    <row r="821" spans="1:39" ht="15.75" customHeight="1" x14ac:dyDescent="0.2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row>
    <row r="822" spans="1:39" ht="15.75" customHeight="1" x14ac:dyDescent="0.2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row>
    <row r="823" spans="1:39" ht="15.75" customHeight="1" x14ac:dyDescent="0.2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row>
    <row r="824" spans="1:39" ht="15.75" customHeight="1" x14ac:dyDescent="0.2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row>
    <row r="825" spans="1:39" ht="15.75" customHeight="1" x14ac:dyDescent="0.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row>
    <row r="826" spans="1:39" ht="15.75" customHeight="1" x14ac:dyDescent="0.2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row>
    <row r="827" spans="1:39" ht="15.75" customHeight="1" x14ac:dyDescent="0.2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row>
    <row r="828" spans="1:39" ht="15.75" customHeight="1" x14ac:dyDescent="0.2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row>
    <row r="829" spans="1:39" ht="15.75" customHeight="1" x14ac:dyDescent="0.2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row>
    <row r="830" spans="1:39" ht="15.75" customHeight="1" x14ac:dyDescent="0.2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row>
    <row r="831" spans="1:39" ht="15.75" customHeight="1" x14ac:dyDescent="0.2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row>
    <row r="832" spans="1:39" ht="15.75" customHeight="1" x14ac:dyDescent="0.2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row>
    <row r="833" spans="1:39" ht="15.75" customHeight="1" x14ac:dyDescent="0.2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row>
    <row r="834" spans="1:39" ht="15.75" customHeight="1" x14ac:dyDescent="0.2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row>
    <row r="835" spans="1:39" ht="15.75" customHeight="1" x14ac:dyDescent="0.2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row>
    <row r="836" spans="1:39" ht="15.75" customHeight="1" x14ac:dyDescent="0.2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row>
    <row r="837" spans="1:39" ht="15.75" customHeight="1" x14ac:dyDescent="0.2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row>
    <row r="838" spans="1:39" ht="15.75" customHeight="1" x14ac:dyDescent="0.2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row>
    <row r="839" spans="1:39" ht="15.75" customHeight="1" x14ac:dyDescent="0.2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row>
    <row r="840" spans="1:39" ht="15.75" customHeight="1" x14ac:dyDescent="0.2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row>
    <row r="841" spans="1:39" ht="15.75" customHeight="1" x14ac:dyDescent="0.2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row>
    <row r="842" spans="1:39" ht="15.75" customHeight="1" x14ac:dyDescent="0.2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row>
    <row r="843" spans="1:39" ht="15.75" customHeight="1" x14ac:dyDescent="0.2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row>
    <row r="844" spans="1:39" ht="15.75" customHeight="1" x14ac:dyDescent="0.2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row>
    <row r="845" spans="1:39" ht="15.75" customHeight="1" x14ac:dyDescent="0.2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row>
    <row r="846" spans="1:39" ht="15.75" customHeight="1" x14ac:dyDescent="0.2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row>
    <row r="847" spans="1:39" ht="15.75" customHeight="1" x14ac:dyDescent="0.2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row>
    <row r="848" spans="1:39" ht="15.75" customHeight="1" x14ac:dyDescent="0.2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row>
    <row r="849" spans="1:39" ht="15.75" customHeight="1" x14ac:dyDescent="0.2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row>
    <row r="850" spans="1:39" ht="15.75" customHeight="1" x14ac:dyDescent="0.2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row>
    <row r="851" spans="1:39" ht="15.75" customHeight="1" x14ac:dyDescent="0.2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row>
    <row r="852" spans="1:39" ht="15.75" customHeight="1" x14ac:dyDescent="0.2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row>
    <row r="853" spans="1:39" ht="15.75" customHeight="1" x14ac:dyDescent="0.2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row>
    <row r="854" spans="1:39" ht="15.75" customHeight="1" x14ac:dyDescent="0.2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row>
    <row r="855" spans="1:39" ht="15.75" customHeight="1" x14ac:dyDescent="0.2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row>
    <row r="856" spans="1:39" ht="15.75" customHeight="1" x14ac:dyDescent="0.2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row>
    <row r="857" spans="1:39" ht="15.75" customHeight="1" x14ac:dyDescent="0.2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row>
    <row r="858" spans="1:39" ht="15.75" customHeight="1" x14ac:dyDescent="0.2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row>
    <row r="859" spans="1:39" ht="15.75" customHeight="1" x14ac:dyDescent="0.2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row>
    <row r="860" spans="1:39" ht="15.75" customHeight="1" x14ac:dyDescent="0.2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row>
    <row r="861" spans="1:39" ht="15.75" customHeight="1" x14ac:dyDescent="0.2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row>
    <row r="862" spans="1:39" ht="15.75" customHeight="1" x14ac:dyDescent="0.2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row>
    <row r="863" spans="1:39" ht="15.75" customHeight="1" x14ac:dyDescent="0.2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row>
    <row r="864" spans="1:39" ht="15.75" customHeight="1" x14ac:dyDescent="0.2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row>
    <row r="865" spans="1:39" ht="15.75" customHeight="1" x14ac:dyDescent="0.2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row>
    <row r="866" spans="1:39" ht="15.75" customHeight="1" x14ac:dyDescent="0.2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row>
    <row r="867" spans="1:39" ht="15.75" customHeight="1" x14ac:dyDescent="0.2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row>
    <row r="868" spans="1:39" ht="15.75" customHeight="1" x14ac:dyDescent="0.2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row>
    <row r="869" spans="1:39" ht="15.75" customHeight="1" x14ac:dyDescent="0.2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row>
    <row r="870" spans="1:39" ht="15.75" customHeight="1" x14ac:dyDescent="0.2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row>
    <row r="871" spans="1:39" ht="15.75" customHeight="1" x14ac:dyDescent="0.2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row>
    <row r="872" spans="1:39" ht="15.75" customHeight="1" x14ac:dyDescent="0.2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row>
    <row r="873" spans="1:39" ht="15.75" customHeight="1" x14ac:dyDescent="0.2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row>
    <row r="874" spans="1:39" ht="15.75" customHeight="1" x14ac:dyDescent="0.2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row>
    <row r="875" spans="1:39" ht="15.75" customHeight="1" x14ac:dyDescent="0.2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row>
    <row r="876" spans="1:39" ht="15.75" customHeight="1" x14ac:dyDescent="0.2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row>
    <row r="877" spans="1:39" ht="15.75" customHeight="1" x14ac:dyDescent="0.2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row>
    <row r="878" spans="1:39" ht="15.75" customHeight="1" x14ac:dyDescent="0.2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row>
    <row r="879" spans="1:39" ht="15.75" customHeight="1" x14ac:dyDescent="0.2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row>
    <row r="880" spans="1:39" ht="15.75" customHeight="1" x14ac:dyDescent="0.2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row>
    <row r="881" spans="1:39" ht="15.75" customHeight="1" x14ac:dyDescent="0.2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row>
    <row r="882" spans="1:39" ht="15.75" customHeight="1" x14ac:dyDescent="0.2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row>
    <row r="883" spans="1:39" ht="15.75" customHeight="1" x14ac:dyDescent="0.2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row>
    <row r="884" spans="1:39" ht="15.75" customHeight="1" x14ac:dyDescent="0.2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row>
    <row r="885" spans="1:39" ht="15.75" customHeight="1" x14ac:dyDescent="0.2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row>
    <row r="886" spans="1:39" ht="15.75" customHeight="1" x14ac:dyDescent="0.2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row>
    <row r="887" spans="1:39" ht="15.75" customHeight="1" x14ac:dyDescent="0.2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row>
    <row r="888" spans="1:39" ht="15.75" customHeight="1" x14ac:dyDescent="0.2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row>
    <row r="889" spans="1:39" ht="15.75" customHeight="1" x14ac:dyDescent="0.2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row>
    <row r="890" spans="1:39" ht="15.75" customHeight="1" x14ac:dyDescent="0.2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row>
    <row r="891" spans="1:39" ht="15.75" customHeight="1" x14ac:dyDescent="0.2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row>
    <row r="892" spans="1:39" ht="15.75" customHeight="1" x14ac:dyDescent="0.2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row>
    <row r="893" spans="1:39" ht="15.75" customHeight="1" x14ac:dyDescent="0.2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row>
    <row r="894" spans="1:39" ht="15.75" customHeight="1" x14ac:dyDescent="0.2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row>
    <row r="895" spans="1:39" ht="15.75" customHeight="1" x14ac:dyDescent="0.2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row>
    <row r="896" spans="1:39" ht="15.75" customHeight="1" x14ac:dyDescent="0.2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row>
    <row r="897" spans="1:39" ht="15.75" customHeight="1" x14ac:dyDescent="0.2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row>
    <row r="898" spans="1:39" ht="15.75" customHeight="1" x14ac:dyDescent="0.2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row>
    <row r="899" spans="1:39" ht="15.75" customHeight="1" x14ac:dyDescent="0.2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row>
    <row r="900" spans="1:39" ht="15.75" customHeight="1" x14ac:dyDescent="0.2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row>
    <row r="901" spans="1:39" ht="15.75" customHeight="1" x14ac:dyDescent="0.2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row>
    <row r="902" spans="1:39" ht="15.75" customHeight="1" x14ac:dyDescent="0.2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row>
    <row r="903" spans="1:39" ht="15.75" customHeight="1" x14ac:dyDescent="0.2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row>
    <row r="904" spans="1:39" ht="15.75" customHeight="1" x14ac:dyDescent="0.2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row>
    <row r="905" spans="1:39" ht="15.75" customHeight="1" x14ac:dyDescent="0.2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row>
    <row r="906" spans="1:39" ht="15.75" customHeight="1" x14ac:dyDescent="0.2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row>
    <row r="907" spans="1:39" ht="15.75" customHeight="1" x14ac:dyDescent="0.2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row>
    <row r="908" spans="1:39" ht="15.75" customHeight="1" x14ac:dyDescent="0.2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row>
    <row r="909" spans="1:39" ht="15.75" customHeight="1" x14ac:dyDescent="0.2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row>
    <row r="910" spans="1:39" ht="15.75" customHeight="1" x14ac:dyDescent="0.2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row>
    <row r="911" spans="1:39" ht="15.75" customHeight="1" x14ac:dyDescent="0.2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row>
    <row r="912" spans="1:39" ht="15.75" customHeight="1" x14ac:dyDescent="0.2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row>
    <row r="913" spans="1:39" ht="15.75" customHeight="1" x14ac:dyDescent="0.2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row>
    <row r="914" spans="1:39" ht="15.75" customHeight="1" x14ac:dyDescent="0.2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row>
    <row r="915" spans="1:39" ht="15.75" customHeight="1" x14ac:dyDescent="0.2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row>
    <row r="916" spans="1:39" ht="15.75" customHeight="1" x14ac:dyDescent="0.2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row>
    <row r="917" spans="1:39" ht="15.75" customHeight="1" x14ac:dyDescent="0.2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row>
    <row r="918" spans="1:39" ht="15.75" customHeight="1" x14ac:dyDescent="0.2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row>
    <row r="919" spans="1:39" ht="15.75" customHeight="1" x14ac:dyDescent="0.2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row>
    <row r="920" spans="1:39" ht="15.75" customHeight="1" x14ac:dyDescent="0.2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row>
    <row r="921" spans="1:39" ht="15.75" customHeight="1" x14ac:dyDescent="0.2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row>
    <row r="922" spans="1:39" ht="15.75" customHeight="1" x14ac:dyDescent="0.2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row>
    <row r="923" spans="1:39" ht="15.75" customHeight="1" x14ac:dyDescent="0.2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row>
    <row r="924" spans="1:39" ht="15.75" customHeight="1" x14ac:dyDescent="0.2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row>
    <row r="925" spans="1:39" ht="15.75" customHeight="1" x14ac:dyDescent="0.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row>
    <row r="926" spans="1:39" ht="15.75" customHeight="1" x14ac:dyDescent="0.2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row>
    <row r="927" spans="1:39" ht="15.75" customHeight="1" x14ac:dyDescent="0.2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row>
    <row r="928" spans="1:39" ht="15.75" customHeight="1" x14ac:dyDescent="0.2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row>
    <row r="929" spans="1:39" ht="15.75" customHeight="1" x14ac:dyDescent="0.2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row>
    <row r="930" spans="1:39" ht="15.75" customHeight="1" x14ac:dyDescent="0.2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row>
    <row r="931" spans="1:39" ht="15.75" customHeight="1" x14ac:dyDescent="0.2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row>
    <row r="932" spans="1:39" ht="15.75" customHeight="1" x14ac:dyDescent="0.2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row>
    <row r="933" spans="1:39" ht="15.75" customHeight="1" x14ac:dyDescent="0.2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row>
    <row r="934" spans="1:39" ht="15.75" customHeight="1" x14ac:dyDescent="0.2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row>
    <row r="935" spans="1:39" ht="15.75" customHeight="1" x14ac:dyDescent="0.2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row>
    <row r="936" spans="1:39" ht="15.75" customHeight="1" x14ac:dyDescent="0.2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row>
    <row r="937" spans="1:39" ht="15.75" customHeight="1" x14ac:dyDescent="0.2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row>
    <row r="938" spans="1:39" ht="15.75" customHeight="1" x14ac:dyDescent="0.2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row>
    <row r="939" spans="1:39" ht="15.75" customHeight="1" x14ac:dyDescent="0.2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row>
    <row r="940" spans="1:39" ht="15.75" customHeight="1" x14ac:dyDescent="0.2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row>
    <row r="941" spans="1:39" ht="15.75" customHeight="1" x14ac:dyDescent="0.2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row>
    <row r="942" spans="1:39" ht="15.75" customHeight="1" x14ac:dyDescent="0.2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row>
    <row r="943" spans="1:39" ht="15.75" customHeight="1" x14ac:dyDescent="0.2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row>
    <row r="944" spans="1:39" ht="15.75" customHeight="1" x14ac:dyDescent="0.2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row>
    <row r="945" spans="1:39" ht="15.75" customHeight="1" x14ac:dyDescent="0.2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row>
    <row r="946" spans="1:39" ht="15.75" customHeight="1" x14ac:dyDescent="0.2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row>
    <row r="947" spans="1:39" ht="15.75" customHeight="1" x14ac:dyDescent="0.2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row>
    <row r="948" spans="1:39" ht="15.75" customHeight="1" x14ac:dyDescent="0.2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row>
    <row r="949" spans="1:39" ht="15.75" customHeight="1" x14ac:dyDescent="0.2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row>
    <row r="950" spans="1:39" ht="15.75" customHeight="1" x14ac:dyDescent="0.2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row>
    <row r="951" spans="1:39" ht="15.75" customHeight="1" x14ac:dyDescent="0.2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row>
    <row r="952" spans="1:39" ht="15.75" customHeight="1" x14ac:dyDescent="0.2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row>
    <row r="953" spans="1:39" ht="15.75" customHeight="1" x14ac:dyDescent="0.2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row>
    <row r="954" spans="1:39" ht="15.75" customHeight="1" x14ac:dyDescent="0.2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row>
    <row r="955" spans="1:39" ht="15.75" customHeight="1" x14ac:dyDescent="0.2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row>
    <row r="956" spans="1:39" ht="15.75" customHeight="1" x14ac:dyDescent="0.2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row>
    <row r="957" spans="1:39" ht="15.75" customHeight="1" x14ac:dyDescent="0.2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row>
    <row r="958" spans="1:39" ht="15.75" customHeight="1" x14ac:dyDescent="0.2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row>
    <row r="959" spans="1:39" ht="15.75" customHeight="1" x14ac:dyDescent="0.2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row>
    <row r="960" spans="1:39" ht="15.75" customHeight="1" x14ac:dyDescent="0.2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row>
    <row r="961" spans="1:39" ht="15.75" customHeight="1" x14ac:dyDescent="0.2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row>
    <row r="962" spans="1:39" ht="15.75" customHeight="1" x14ac:dyDescent="0.2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row>
    <row r="963" spans="1:39" ht="15.75" customHeight="1" x14ac:dyDescent="0.2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row>
    <row r="964" spans="1:39" ht="15.75" customHeight="1" x14ac:dyDescent="0.2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row>
    <row r="965" spans="1:39" ht="15.75" customHeight="1" x14ac:dyDescent="0.2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row>
    <row r="966" spans="1:39" ht="15.75" customHeight="1" x14ac:dyDescent="0.2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row>
    <row r="967" spans="1:39" ht="15.75" customHeight="1" x14ac:dyDescent="0.2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row>
    <row r="968" spans="1:39" ht="15.75" customHeight="1" x14ac:dyDescent="0.2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row>
    <row r="969" spans="1:39" ht="15.75" customHeight="1" x14ac:dyDescent="0.2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row>
    <row r="970" spans="1:39" ht="15.75" customHeight="1" x14ac:dyDescent="0.2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row>
    <row r="971" spans="1:39" ht="15.75" customHeight="1" x14ac:dyDescent="0.2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row>
    <row r="972" spans="1:39" ht="15.75" customHeight="1" x14ac:dyDescent="0.2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row>
    <row r="973" spans="1:39" ht="15.75" customHeight="1" x14ac:dyDescent="0.2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row>
    <row r="974" spans="1:39" ht="15.75" customHeight="1" x14ac:dyDescent="0.2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row>
    <row r="975" spans="1:39" ht="15.75" customHeight="1" x14ac:dyDescent="0.2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row>
    <row r="976" spans="1:39" ht="15.75" customHeight="1" x14ac:dyDescent="0.2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row>
    <row r="977" spans="1:39" ht="15.75" customHeight="1" x14ac:dyDescent="0.2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row>
    <row r="978" spans="1:39" ht="15.75" customHeight="1" x14ac:dyDescent="0.2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row>
    <row r="979" spans="1:39" ht="15.75" customHeight="1" x14ac:dyDescent="0.2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row>
    <row r="980" spans="1:39" ht="15.75" customHeight="1" x14ac:dyDescent="0.2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row>
    <row r="981" spans="1:39" ht="15.75" customHeight="1" x14ac:dyDescent="0.2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row>
    <row r="982" spans="1:39" ht="15.75" customHeight="1" x14ac:dyDescent="0.2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row>
    <row r="983" spans="1:39" ht="15.75" customHeight="1" x14ac:dyDescent="0.2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row>
    <row r="984" spans="1:39" ht="15.75" customHeight="1" x14ac:dyDescent="0.2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row>
    <row r="985" spans="1:39" ht="15.75" customHeight="1" x14ac:dyDescent="0.2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row>
    <row r="986" spans="1:39" ht="15.75" customHeight="1" x14ac:dyDescent="0.2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row>
    <row r="987" spans="1:39" ht="15.75" customHeight="1" x14ac:dyDescent="0.2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row>
    <row r="988" spans="1:39" ht="15.75" customHeight="1" x14ac:dyDescent="0.2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row>
    <row r="989" spans="1:39" ht="15.75" customHeight="1" x14ac:dyDescent="0.2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row>
    <row r="990" spans="1:39" ht="15.75" customHeight="1" x14ac:dyDescent="0.2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row>
    <row r="991" spans="1:39" ht="15.75" customHeight="1" x14ac:dyDescent="0.2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row>
    <row r="992" spans="1:39" ht="15.75" customHeight="1" x14ac:dyDescent="0.2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row>
    <row r="993" spans="1:39" ht="15.75" customHeight="1" x14ac:dyDescent="0.25">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row>
    <row r="994" spans="1:39" ht="15.75" customHeight="1" x14ac:dyDescent="0.2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row>
    <row r="995" spans="1:39" ht="15.75" customHeight="1" x14ac:dyDescent="0.2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row>
    <row r="996" spans="1:39" ht="15.75" customHeight="1" x14ac:dyDescent="0.25">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row>
    <row r="997" spans="1:39" ht="15.75" customHeight="1" x14ac:dyDescent="0.25">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row>
    <row r="998" spans="1:39" ht="15.75" customHeight="1" x14ac:dyDescent="0.25">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row>
    <row r="999" spans="1:39" ht="15.75" customHeight="1" x14ac:dyDescent="0.25">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row>
    <row r="1000" spans="1:39" ht="15.75" customHeight="1" x14ac:dyDescent="0.25">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row>
  </sheetData>
  <mergeCells count="1">
    <mergeCell ref="B2:H2"/>
  </mergeCells>
  <pageMargins left="0.7" right="0.7" top="0.75" bottom="0.75" header="0.3" footer="0.3"/>
  <legacy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4E6FF-16AC-4209-B7A5-93275F54FBFE}">
  <dimension ref="A1:AM1000"/>
  <sheetViews>
    <sheetView workbookViewId="0"/>
  </sheetViews>
  <sheetFormatPr defaultColWidth="16.83203125" defaultRowHeight="11.25" x14ac:dyDescent="0.2"/>
  <cols>
    <col min="1" max="1" width="6" customWidth="1"/>
    <col min="2" max="2" width="36.83203125" customWidth="1"/>
    <col min="3" max="3" width="20" customWidth="1"/>
    <col min="4" max="4" width="29.33203125" customWidth="1"/>
    <col min="5" max="39" width="14" customWidth="1"/>
  </cols>
  <sheetData>
    <row r="1" spans="1:39" ht="15" x14ac:dyDescent="0.2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row>
    <row r="2" spans="1:39" ht="15.75" x14ac:dyDescent="0.25">
      <c r="A2" s="3"/>
      <c r="B2" s="2355" t="s">
        <v>2013</v>
      </c>
      <c r="C2" s="2356"/>
      <c r="D2" s="2356"/>
      <c r="E2" s="2356"/>
      <c r="F2" s="2356"/>
      <c r="G2" s="2356"/>
      <c r="H2" s="2357"/>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row>
    <row r="3" spans="1:39" ht="15"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row>
    <row r="4" spans="1:39" ht="15"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row>
    <row r="5" spans="1:39" ht="15" x14ac:dyDescent="0.25">
      <c r="A5" s="3"/>
      <c r="B5" s="2137" t="s">
        <v>2014</v>
      </c>
      <c r="C5" s="2138"/>
      <c r="D5" s="2138"/>
      <c r="E5" s="2138"/>
      <c r="F5" s="2138"/>
      <c r="G5" s="2138"/>
      <c r="H5" s="2138"/>
      <c r="I5" s="2138"/>
      <c r="J5" s="2138"/>
      <c r="K5" s="2138"/>
      <c r="L5" s="2138"/>
      <c r="M5" s="2138"/>
      <c r="N5" s="2138"/>
      <c r="O5" s="2138"/>
      <c r="P5" s="2138"/>
      <c r="Q5" s="2138"/>
      <c r="R5" s="2138"/>
      <c r="S5" s="2138"/>
      <c r="T5" s="2138"/>
      <c r="U5" s="2138"/>
      <c r="V5" s="2138"/>
      <c r="W5" s="2138"/>
      <c r="X5" s="2138"/>
      <c r="Y5" s="2138"/>
      <c r="Z5" s="2138"/>
      <c r="AA5" s="2138"/>
      <c r="AB5" s="2138"/>
      <c r="AC5" s="2138"/>
      <c r="AD5" s="2138"/>
      <c r="AE5" s="2138"/>
      <c r="AF5" s="2138"/>
      <c r="AG5" s="2138"/>
      <c r="AH5" s="2138"/>
      <c r="AI5" s="2138"/>
      <c r="AJ5" s="2138"/>
      <c r="AK5" s="2138"/>
      <c r="AL5" s="2138"/>
      <c r="AM5" s="2139"/>
    </row>
    <row r="6" spans="1:39" ht="15" x14ac:dyDescent="0.25">
      <c r="A6" s="3"/>
      <c r="B6" s="60" t="s">
        <v>2015</v>
      </c>
      <c r="C6" s="3" t="s">
        <v>2016</v>
      </c>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row>
    <row r="7" spans="1:39" ht="15" x14ac:dyDescent="0.25">
      <c r="A7" s="3"/>
      <c r="B7" s="60" t="s">
        <v>2017</v>
      </c>
      <c r="C7" s="3" t="s">
        <v>2018</v>
      </c>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row>
    <row r="8" spans="1:39" ht="15" x14ac:dyDescent="0.25">
      <c r="A8" s="3"/>
      <c r="B8" s="60" t="s">
        <v>2019</v>
      </c>
      <c r="C8" s="3" t="s">
        <v>2020</v>
      </c>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row>
    <row r="9" spans="1:39" ht="15" x14ac:dyDescent="0.25">
      <c r="A9" s="3"/>
      <c r="B9" s="60" t="s">
        <v>2021</v>
      </c>
      <c r="C9" s="3" t="s">
        <v>330</v>
      </c>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row>
    <row r="10" spans="1:39" ht="15" x14ac:dyDescent="0.25">
      <c r="A10" s="3"/>
      <c r="B10" s="60" t="s">
        <v>2022</v>
      </c>
      <c r="C10" s="3" t="s">
        <v>2023</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row>
    <row r="11" spans="1:39" ht="15" x14ac:dyDescent="0.25">
      <c r="A11" s="3"/>
      <c r="B11" s="60" t="s">
        <v>2024</v>
      </c>
      <c r="C11" s="3" t="s">
        <v>2025</v>
      </c>
      <c r="D11" s="3"/>
      <c r="E11" s="3"/>
      <c r="F11" s="3"/>
      <c r="G11" s="3"/>
      <c r="H11" s="3"/>
      <c r="I11" s="3"/>
      <c r="J11" s="3"/>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row>
    <row r="12" spans="1:39" ht="15" x14ac:dyDescent="0.25">
      <c r="A12" s="3"/>
      <c r="B12" s="60" t="s">
        <v>2026</v>
      </c>
      <c r="C12" s="3" t="s">
        <v>1672</v>
      </c>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row>
    <row r="13" spans="1:39" ht="15" x14ac:dyDescent="0.25">
      <c r="A13" s="3"/>
      <c r="B13" s="60" t="s">
        <v>2027</v>
      </c>
      <c r="C13" s="3" t="s">
        <v>2028</v>
      </c>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row>
    <row r="14" spans="1:39" ht="15" x14ac:dyDescent="0.25">
      <c r="A14" s="3"/>
      <c r="B14" s="3"/>
      <c r="C14" s="3"/>
      <c r="D14" s="3"/>
      <c r="E14" s="3"/>
      <c r="F14" s="3"/>
      <c r="G14" s="3"/>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row>
    <row r="15" spans="1:39" ht="15" x14ac:dyDescent="0.25">
      <c r="A15" s="3"/>
      <c r="B15" s="60" t="s">
        <v>2029</v>
      </c>
      <c r="C15" s="60" t="s">
        <v>2030</v>
      </c>
      <c r="D15" s="60" t="s">
        <v>2031</v>
      </c>
      <c r="E15" s="60" t="s">
        <v>2032</v>
      </c>
      <c r="F15" s="60" t="s">
        <v>2033</v>
      </c>
      <c r="G15" s="60" t="s">
        <v>2034</v>
      </c>
      <c r="H15" s="60" t="s">
        <v>2035</v>
      </c>
      <c r="I15" s="60" t="s">
        <v>2036</v>
      </c>
      <c r="J15" s="60" t="s">
        <v>2037</v>
      </c>
      <c r="K15" s="60" t="s">
        <v>2038</v>
      </c>
      <c r="L15" s="60" t="s">
        <v>2039</v>
      </c>
      <c r="M15" s="60" t="s">
        <v>2040</v>
      </c>
      <c r="N15" s="60" t="s">
        <v>2041</v>
      </c>
      <c r="O15" s="60" t="s">
        <v>2042</v>
      </c>
      <c r="P15" s="60" t="s">
        <v>2043</v>
      </c>
      <c r="Q15" s="60" t="s">
        <v>2044</v>
      </c>
      <c r="R15" s="60" t="s">
        <v>2045</v>
      </c>
      <c r="S15" s="60" t="s">
        <v>2046</v>
      </c>
      <c r="T15" s="60" t="s">
        <v>2047</v>
      </c>
      <c r="U15" s="60" t="s">
        <v>2048</v>
      </c>
      <c r="V15" s="60" t="s">
        <v>2049</v>
      </c>
      <c r="W15" s="60" t="s">
        <v>2050</v>
      </c>
      <c r="X15" s="60" t="s">
        <v>2051</v>
      </c>
      <c r="Y15" s="60" t="s">
        <v>2052</v>
      </c>
      <c r="Z15" s="60" t="s">
        <v>2053</v>
      </c>
      <c r="AA15" s="60" t="s">
        <v>2054</v>
      </c>
      <c r="AB15" s="60" t="s">
        <v>2055</v>
      </c>
      <c r="AC15" s="60" t="s">
        <v>2056</v>
      </c>
      <c r="AD15" s="60" t="s">
        <v>2057</v>
      </c>
      <c r="AE15" s="60" t="s">
        <v>2058</v>
      </c>
      <c r="AF15" s="60" t="s">
        <v>2059</v>
      </c>
      <c r="AG15" s="60" t="s">
        <v>2060</v>
      </c>
      <c r="AH15" s="60" t="s">
        <v>2061</v>
      </c>
      <c r="AI15" s="60" t="s">
        <v>2062</v>
      </c>
      <c r="AJ15" s="60" t="s">
        <v>2063</v>
      </c>
      <c r="AK15" s="60" t="s">
        <v>2064</v>
      </c>
      <c r="AL15" s="60" t="s">
        <v>2065</v>
      </c>
      <c r="AM15" s="60"/>
    </row>
    <row r="16" spans="1:39" ht="15" x14ac:dyDescent="0.25">
      <c r="A16" s="3"/>
      <c r="B16" s="3" t="s">
        <v>2066</v>
      </c>
      <c r="C16" s="3" t="s">
        <v>3</v>
      </c>
      <c r="D16" s="3" t="s">
        <v>2067</v>
      </c>
      <c r="E16" s="3">
        <v>1</v>
      </c>
      <c r="F16" s="572">
        <v>0</v>
      </c>
      <c r="G16" s="572">
        <v>0</v>
      </c>
      <c r="H16" s="572">
        <v>0</v>
      </c>
      <c r="I16" s="572">
        <v>0</v>
      </c>
      <c r="J16" s="572">
        <v>0</v>
      </c>
      <c r="K16" s="572">
        <v>0</v>
      </c>
      <c r="L16" s="572">
        <v>0</v>
      </c>
      <c r="M16" s="572">
        <v>0</v>
      </c>
      <c r="N16" s="572">
        <v>9.8519299213394535E-9</v>
      </c>
      <c r="O16" s="572">
        <v>3.1540939323378811E-8</v>
      </c>
      <c r="P16" s="572">
        <v>6.2501428747742371E-8</v>
      </c>
      <c r="Q16" s="572">
        <v>1.018511703728463E-7</v>
      </c>
      <c r="R16" s="572">
        <v>1.4894636659878889E-7</v>
      </c>
      <c r="S16" s="572">
        <v>2.0074600781338119E-7</v>
      </c>
      <c r="T16" s="572">
        <v>2.6107617905303778E-7</v>
      </c>
      <c r="U16" s="572">
        <v>3.2987329132971848E-7</v>
      </c>
      <c r="V16" s="572">
        <v>4.0711289923977971E-7</v>
      </c>
      <c r="W16" s="572">
        <v>4.8314336560554063E-7</v>
      </c>
      <c r="X16" s="572">
        <v>5.5882771452414812E-7</v>
      </c>
      <c r="Y16" s="572">
        <v>6.3589657153355418E-7</v>
      </c>
      <c r="Z16" s="572">
        <v>7.1660050457866461E-7</v>
      </c>
      <c r="AA16" s="572">
        <v>7.9894555566048068E-7</v>
      </c>
      <c r="AB16" s="572">
        <v>8.85221012763728E-7</v>
      </c>
      <c r="AC16" s="572">
        <v>9.7440790019803123E-7</v>
      </c>
      <c r="AD16" s="572">
        <v>1.0670013135791511E-6</v>
      </c>
      <c r="AE16" s="572">
        <v>1.1630521332887881E-6</v>
      </c>
      <c r="AF16" s="572">
        <v>1.261290134713085E-6</v>
      </c>
      <c r="AG16" s="572">
        <v>1.3659550986162041E-6</v>
      </c>
      <c r="AH16" s="572">
        <v>1.4755733918879199E-6</v>
      </c>
      <c r="AI16" s="572">
        <v>1.5902747935584759E-6</v>
      </c>
      <c r="AJ16" s="572">
        <v>1.668144611637901E-6</v>
      </c>
      <c r="AK16" s="572">
        <v>1.7298704460152931E-6</v>
      </c>
      <c r="AL16" s="572">
        <v>1.785639279141623E-6</v>
      </c>
      <c r="AM16" s="572"/>
    </row>
    <row r="17" spans="1:39" ht="15" x14ac:dyDescent="0.25">
      <c r="A17" s="3"/>
      <c r="B17" s="3" t="s">
        <v>2068</v>
      </c>
      <c r="C17" s="3" t="s">
        <v>3</v>
      </c>
      <c r="D17" s="3" t="s">
        <v>2067</v>
      </c>
      <c r="E17" s="3">
        <v>1</v>
      </c>
      <c r="F17" s="572">
        <v>2.6131014791080082E-7</v>
      </c>
      <c r="G17" s="572">
        <v>4.1898124909234098E-7</v>
      </c>
      <c r="H17" s="572">
        <v>5.8111866987456702E-7</v>
      </c>
      <c r="I17" s="572">
        <v>7.4840461171582204E-7</v>
      </c>
      <c r="J17" s="572">
        <v>9.2201719908830302E-7</v>
      </c>
      <c r="K17" s="572">
        <v>2.3052706395561522E-6</v>
      </c>
      <c r="L17" s="572">
        <v>4.4136082214367739E-6</v>
      </c>
      <c r="M17" s="572">
        <v>6.5946290152229707E-6</v>
      </c>
      <c r="N17" s="572">
        <v>8.8466612984224004E-6</v>
      </c>
      <c r="O17" s="572">
        <v>1.147830442458914E-5</v>
      </c>
      <c r="P17" s="572">
        <v>1.2507147924218111E-5</v>
      </c>
      <c r="Q17" s="572">
        <v>1.314530607109544E-5</v>
      </c>
      <c r="R17" s="572">
        <v>1.713973749358667E-5</v>
      </c>
      <c r="S17" s="572">
        <v>2.1744247344928299E-5</v>
      </c>
      <c r="T17" s="572">
        <v>2.306901239073155E-5</v>
      </c>
      <c r="U17" s="572">
        <v>2.4384035920381919E-5</v>
      </c>
      <c r="V17" s="572">
        <v>2.5685308896897321E-5</v>
      </c>
      <c r="W17" s="572">
        <v>2.69879996666842E-5</v>
      </c>
      <c r="X17" s="572">
        <v>2.8364564007057459E-5</v>
      </c>
      <c r="Y17" s="572">
        <v>3.1166396877940423E-5</v>
      </c>
      <c r="Z17" s="572">
        <v>3.4618545587236393E-5</v>
      </c>
      <c r="AA17" s="572">
        <v>3.6918482212532093E-5</v>
      </c>
      <c r="AB17" s="572">
        <v>3.867669343107176E-5</v>
      </c>
      <c r="AC17" s="572">
        <v>4.0727676739808633E-5</v>
      </c>
      <c r="AD17" s="572">
        <v>4.3031867101066257E-5</v>
      </c>
      <c r="AE17" s="572">
        <v>4.5313001867797073E-5</v>
      </c>
      <c r="AF17" s="572">
        <v>4.8376348474465388E-5</v>
      </c>
      <c r="AG17" s="572">
        <v>5.1409482806971542E-5</v>
      </c>
      <c r="AH17" s="572">
        <v>5.50670128350142E-5</v>
      </c>
      <c r="AI17" s="572">
        <v>5.8640584864915532E-5</v>
      </c>
      <c r="AJ17" s="572">
        <v>6.3052900975069188E-5</v>
      </c>
      <c r="AK17" s="572">
        <v>6.6892769382864136E-5</v>
      </c>
      <c r="AL17" s="572">
        <v>7.0764145343318397E-5</v>
      </c>
      <c r="AM17" s="572"/>
    </row>
    <row r="18" spans="1:39" ht="15" x14ac:dyDescent="0.25">
      <c r="A18" s="3"/>
      <c r="B18" s="3" t="s">
        <v>2069</v>
      </c>
      <c r="C18" s="3" t="s">
        <v>3</v>
      </c>
      <c r="D18" s="3" t="s">
        <v>2067</v>
      </c>
      <c r="E18" s="3">
        <v>1</v>
      </c>
      <c r="F18" s="572">
        <v>0</v>
      </c>
      <c r="G18" s="572">
        <v>0</v>
      </c>
      <c r="H18" s="572">
        <v>0</v>
      </c>
      <c r="I18" s="572">
        <v>0</v>
      </c>
      <c r="J18" s="572">
        <v>0</v>
      </c>
      <c r="K18" s="572">
        <v>0</v>
      </c>
      <c r="L18" s="572">
        <v>0</v>
      </c>
      <c r="M18" s="572">
        <v>0</v>
      </c>
      <c r="N18" s="572">
        <v>0</v>
      </c>
      <c r="O18" s="572">
        <v>0</v>
      </c>
      <c r="P18" s="572">
        <v>0</v>
      </c>
      <c r="Q18" s="572">
        <v>0</v>
      </c>
      <c r="R18" s="572">
        <v>0</v>
      </c>
      <c r="S18" s="572">
        <v>0</v>
      </c>
      <c r="T18" s="572">
        <v>0</v>
      </c>
      <c r="U18" s="572">
        <v>0</v>
      </c>
      <c r="V18" s="572">
        <v>0</v>
      </c>
      <c r="W18" s="572">
        <v>0</v>
      </c>
      <c r="X18" s="572">
        <v>0</v>
      </c>
      <c r="Y18" s="572">
        <v>0</v>
      </c>
      <c r="Z18" s="572">
        <v>0</v>
      </c>
      <c r="AA18" s="572">
        <v>0</v>
      </c>
      <c r="AB18" s="572">
        <v>3.70462863680154E-10</v>
      </c>
      <c r="AC18" s="572">
        <v>1.1108583319757149E-9</v>
      </c>
      <c r="AD18" s="572">
        <v>1.2944556663871841E-9</v>
      </c>
      <c r="AE18" s="572">
        <v>2.3984260362871581E-9</v>
      </c>
      <c r="AF18" s="572">
        <v>2.940498638410223E-9</v>
      </c>
      <c r="AG18" s="572">
        <v>6.4163774596117491E-9</v>
      </c>
      <c r="AH18" s="572">
        <v>1.353233746433338E-8</v>
      </c>
      <c r="AI18" s="572">
        <v>2.4263685619281551E-8</v>
      </c>
      <c r="AJ18" s="572">
        <v>3.9230959730470671E-8</v>
      </c>
      <c r="AK18" s="572">
        <v>5.8312306612808159E-8</v>
      </c>
      <c r="AL18" s="572">
        <v>8.8385301478315641E-8</v>
      </c>
      <c r="AM18" s="572"/>
    </row>
    <row r="19" spans="1:39" ht="15" x14ac:dyDescent="0.25">
      <c r="A19" s="3"/>
      <c r="B19" s="3" t="s">
        <v>2066</v>
      </c>
      <c r="C19" s="3" t="s">
        <v>2070</v>
      </c>
      <c r="D19" s="3" t="s">
        <v>2071</v>
      </c>
      <c r="E19" s="3">
        <v>3170</v>
      </c>
      <c r="F19" s="572">
        <v>0</v>
      </c>
      <c r="G19" s="572">
        <v>0</v>
      </c>
      <c r="H19" s="572">
        <v>0</v>
      </c>
      <c r="I19" s="572">
        <v>0</v>
      </c>
      <c r="J19" s="572">
        <v>0</v>
      </c>
      <c r="K19" s="572">
        <v>0</v>
      </c>
      <c r="L19" s="572">
        <v>0</v>
      </c>
      <c r="M19" s="572">
        <v>2.707762738895486E-5</v>
      </c>
      <c r="N19" s="572">
        <v>8.6931551058900983E-5</v>
      </c>
      <c r="O19" s="572">
        <v>1.863040424496161E-4</v>
      </c>
      <c r="P19" s="572">
        <v>3.1273547703796481E-4</v>
      </c>
      <c r="Q19" s="572">
        <v>5.1983172190548646E-4</v>
      </c>
      <c r="R19" s="572">
        <v>8.0178753633182497E-4</v>
      </c>
      <c r="S19" s="572">
        <v>1.0834609757761769E-3</v>
      </c>
      <c r="T19" s="572">
        <v>1.3939861319519551E-3</v>
      </c>
      <c r="U19" s="572">
        <v>1.73277048366962E-3</v>
      </c>
      <c r="V19" s="572">
        <v>2.0952357832950178E-3</v>
      </c>
      <c r="W19" s="572">
        <v>2.4518460588209851E-3</v>
      </c>
      <c r="X19" s="572">
        <v>2.8027344076029899E-3</v>
      </c>
      <c r="Y19" s="572">
        <v>2.5626719382125999E-3</v>
      </c>
      <c r="Z19" s="572">
        <v>2.752380230469018E-3</v>
      </c>
      <c r="AA19" s="572">
        <v>3.2288385920380609E-3</v>
      </c>
      <c r="AB19" s="572">
        <v>3.824497153161363E-3</v>
      </c>
      <c r="AC19" s="572">
        <v>4.270337205032915E-3</v>
      </c>
      <c r="AD19" s="572">
        <v>5.3506683554602431E-3</v>
      </c>
      <c r="AE19" s="572">
        <v>5.2407328336516431E-3</v>
      </c>
      <c r="AF19" s="572">
        <v>6.1727424067068029E-3</v>
      </c>
      <c r="AG19" s="572">
        <v>5.5345313365690032E-3</v>
      </c>
      <c r="AH19" s="572">
        <v>6.4767103186586942E-3</v>
      </c>
      <c r="AI19" s="572">
        <v>6.1203556267807966E-3</v>
      </c>
      <c r="AJ19" s="572">
        <v>6.9972372579427166E-3</v>
      </c>
      <c r="AK19" s="572">
        <v>7.2624295668966832E-3</v>
      </c>
      <c r="AL19" s="572">
        <v>7.5245276682444923E-3</v>
      </c>
      <c r="AM19" s="572"/>
    </row>
    <row r="20" spans="1:39" ht="15" x14ac:dyDescent="0.25">
      <c r="A20" s="3"/>
      <c r="B20" s="3" t="s">
        <v>2069</v>
      </c>
      <c r="C20" s="3" t="s">
        <v>2070</v>
      </c>
      <c r="D20" s="3" t="s">
        <v>2071</v>
      </c>
      <c r="E20" s="3">
        <v>3170</v>
      </c>
      <c r="F20" s="572">
        <v>2.0830797606810991E-6</v>
      </c>
      <c r="G20" s="572">
        <v>5.1310290580785562E-6</v>
      </c>
      <c r="H20" s="572">
        <v>9.8378592437783122E-6</v>
      </c>
      <c r="I20" s="572">
        <v>1.8322801458537179E-3</v>
      </c>
      <c r="J20" s="572">
        <v>4.8728700758485701E-3</v>
      </c>
      <c r="K20" s="572">
        <v>1.032790790201873E-2</v>
      </c>
      <c r="L20" s="572">
        <v>1.7579836613494621E-2</v>
      </c>
      <c r="M20" s="572">
        <v>2.713524858003856E-2</v>
      </c>
      <c r="N20" s="572">
        <v>3.548195471409131E-2</v>
      </c>
      <c r="O20" s="572">
        <v>4.6437791534360923E-2</v>
      </c>
      <c r="P20" s="572">
        <v>5.5499792791662977E-2</v>
      </c>
      <c r="Q20" s="572">
        <v>6.7528539052567685E-2</v>
      </c>
      <c r="R20" s="572">
        <v>8.1966989013505881E-2</v>
      </c>
      <c r="S20" s="572">
        <v>9.7832896017233148E-2</v>
      </c>
      <c r="T20" s="572">
        <v>0.1141723963425368</v>
      </c>
      <c r="U20" s="572">
        <v>0.14353410156192381</v>
      </c>
      <c r="V20" s="572">
        <v>0.18096797410503329</v>
      </c>
      <c r="W20" s="572">
        <v>0.22928927713897171</v>
      </c>
      <c r="X20" s="572">
        <v>0.2811016094500573</v>
      </c>
      <c r="Y20" s="572">
        <v>0.27603704284800851</v>
      </c>
      <c r="Z20" s="572">
        <v>0.31935177334421078</v>
      </c>
      <c r="AA20" s="572">
        <v>0.39418764670580742</v>
      </c>
      <c r="AB20" s="572">
        <v>0.48079928856448328</v>
      </c>
      <c r="AC20" s="572">
        <v>0.55078410886429996</v>
      </c>
      <c r="AD20" s="572">
        <v>0.70366761255527266</v>
      </c>
      <c r="AE20" s="572">
        <v>0.69749796964637756</v>
      </c>
      <c r="AF20" s="572">
        <v>0.83328892692382928</v>
      </c>
      <c r="AG20" s="572">
        <v>0.75152261346217619</v>
      </c>
      <c r="AH20" s="572">
        <v>0.89051178607043024</v>
      </c>
      <c r="AI20" s="572">
        <v>0.86712904720235651</v>
      </c>
      <c r="AJ20" s="572">
        <v>1.041814281846178</v>
      </c>
      <c r="AK20" s="572">
        <v>1.197965397985284</v>
      </c>
      <c r="AL20" s="572">
        <v>1.3027469851872151</v>
      </c>
      <c r="AM20" s="572"/>
    </row>
    <row r="21" spans="1:39" ht="15.75" customHeight="1" x14ac:dyDescent="0.25">
      <c r="A21" s="3"/>
      <c r="B21" s="3" t="s">
        <v>2068</v>
      </c>
      <c r="C21" s="3" t="s">
        <v>2070</v>
      </c>
      <c r="D21" s="3" t="s">
        <v>2072</v>
      </c>
      <c r="E21" s="3">
        <v>1300</v>
      </c>
      <c r="F21" s="572">
        <v>0</v>
      </c>
      <c r="G21" s="572">
        <v>0</v>
      </c>
      <c r="H21" s="572">
        <v>0</v>
      </c>
      <c r="I21" s="572">
        <v>0</v>
      </c>
      <c r="J21" s="572">
        <v>0</v>
      </c>
      <c r="K21" s="572">
        <v>0</v>
      </c>
      <c r="L21" s="572">
        <v>4.7083012191387092E-4</v>
      </c>
      <c r="M21" s="572">
        <v>9.7398562366991608E-4</v>
      </c>
      <c r="N21" s="572">
        <v>1.5172377292203411E-3</v>
      </c>
      <c r="O21" s="572">
        <v>2.0890454138388749E-3</v>
      </c>
      <c r="P21" s="572">
        <v>2.2597233969434368E-3</v>
      </c>
      <c r="Q21" s="572">
        <v>2.449931277654476E-3</v>
      </c>
      <c r="R21" s="572">
        <v>9.6719329994966411E-3</v>
      </c>
      <c r="S21" s="572">
        <v>1.798711497273375E-2</v>
      </c>
      <c r="T21" s="572">
        <v>2.0047647530325102E-2</v>
      </c>
      <c r="U21" s="572">
        <v>2.2196067947018928E-2</v>
      </c>
      <c r="V21" s="572">
        <v>2.4372083845772899E-2</v>
      </c>
      <c r="W21" s="572">
        <v>2.6622561246531871E-2</v>
      </c>
      <c r="X21" s="572">
        <v>2.8829089321157471E-2</v>
      </c>
      <c r="Y21" s="572">
        <v>4.9818769159364368E-2</v>
      </c>
      <c r="Z21" s="572">
        <v>6.4518060128460356E-2</v>
      </c>
      <c r="AA21" s="572">
        <v>6.9924118282950087E-2</v>
      </c>
      <c r="AB21" s="572">
        <v>7.5492315634510768E-2</v>
      </c>
      <c r="AC21" s="572">
        <v>0.102910838314077</v>
      </c>
      <c r="AD21" s="572">
        <v>0.12581848736913631</v>
      </c>
      <c r="AE21" s="572">
        <v>0.12643396100004839</v>
      </c>
      <c r="AF21" s="572">
        <v>0.1224032452974238</v>
      </c>
      <c r="AG21" s="572">
        <v>0.10682381967856761</v>
      </c>
      <c r="AH21" s="572">
        <v>0.12017952117463469</v>
      </c>
      <c r="AI21" s="572">
        <v>0.1172780049648126</v>
      </c>
      <c r="AJ21" s="572">
        <v>0.12873840644907619</v>
      </c>
      <c r="AK21" s="572">
        <v>6.8501506529416265E-2</v>
      </c>
      <c r="AL21" s="572">
        <v>7.3144160071592967E-2</v>
      </c>
      <c r="AM21" s="572"/>
    </row>
    <row r="22" spans="1:39" ht="15.75" customHeight="1" x14ac:dyDescent="0.25">
      <c r="A22" s="3"/>
      <c r="B22" s="3" t="s">
        <v>2073</v>
      </c>
      <c r="C22" s="3" t="s">
        <v>2070</v>
      </c>
      <c r="D22" s="3" t="s">
        <v>2072</v>
      </c>
      <c r="E22" s="3">
        <v>1300</v>
      </c>
      <c r="F22" s="572">
        <v>0</v>
      </c>
      <c r="G22" s="572">
        <v>0</v>
      </c>
      <c r="H22" s="572">
        <v>0</v>
      </c>
      <c r="I22" s="572">
        <v>0</v>
      </c>
      <c r="J22" s="572">
        <v>0</v>
      </c>
      <c r="K22" s="572">
        <v>0</v>
      </c>
      <c r="L22" s="572">
        <v>0</v>
      </c>
      <c r="M22" s="572">
        <v>3.2235782254365608E-4</v>
      </c>
      <c r="N22" s="572">
        <v>6.5270642478647929E-4</v>
      </c>
      <c r="O22" s="572">
        <v>9.9047932329365059E-4</v>
      </c>
      <c r="P22" s="572">
        <v>1.371567092698403E-3</v>
      </c>
      <c r="Q22" s="572">
        <v>3.1367205233573548E-3</v>
      </c>
      <c r="R22" s="572">
        <v>4.9577196476018647E-3</v>
      </c>
      <c r="S22" s="572">
        <v>6.8239834112029498E-3</v>
      </c>
      <c r="T22" s="572">
        <v>8.7482454746959041E-3</v>
      </c>
      <c r="U22" s="572">
        <v>1.0728317244315449E-2</v>
      </c>
      <c r="V22" s="572">
        <v>1.274075218509407E-2</v>
      </c>
      <c r="W22" s="572">
        <v>1.4772572226350729E-2</v>
      </c>
      <c r="X22" s="572">
        <v>1.645456790318444E-2</v>
      </c>
      <c r="Y22" s="572">
        <v>1.786536512200915E-2</v>
      </c>
      <c r="Z22" s="572">
        <v>1.703998626796414E-2</v>
      </c>
      <c r="AA22" s="572">
        <v>1.8568296455186279E-2</v>
      </c>
      <c r="AB22" s="572">
        <v>1.74196565713742E-2</v>
      </c>
      <c r="AC22" s="572">
        <v>2.0422720773557269E-2</v>
      </c>
      <c r="AD22" s="572">
        <v>2.129631658524931E-2</v>
      </c>
      <c r="AE22" s="572">
        <v>1.798754599747918E-2</v>
      </c>
      <c r="AF22" s="572">
        <v>2.099184022573827E-2</v>
      </c>
      <c r="AG22" s="572">
        <v>2.2168836397245231E-2</v>
      </c>
      <c r="AH22" s="572">
        <v>2.8629317304927598E-2</v>
      </c>
      <c r="AI22" s="572">
        <v>2.8196490746310279E-2</v>
      </c>
      <c r="AJ22" s="572">
        <v>3.1926112310129477E-2</v>
      </c>
      <c r="AK22" s="572">
        <v>3.2440100519578331E-2</v>
      </c>
      <c r="AL22" s="572">
        <v>1.975537229646375E-2</v>
      </c>
      <c r="AM22" s="572"/>
    </row>
    <row r="23" spans="1:39" ht="15.75" customHeight="1" x14ac:dyDescent="0.25">
      <c r="A23" s="3"/>
      <c r="B23" s="3" t="s">
        <v>2074</v>
      </c>
      <c r="C23" s="3" t="s">
        <v>2070</v>
      </c>
      <c r="D23" s="3" t="s">
        <v>2072</v>
      </c>
      <c r="E23" s="3">
        <v>1300</v>
      </c>
      <c r="F23" s="572">
        <v>0</v>
      </c>
      <c r="G23" s="572">
        <v>0</v>
      </c>
      <c r="H23" s="572">
        <v>0</v>
      </c>
      <c r="I23" s="572">
        <v>0</v>
      </c>
      <c r="J23" s="572">
        <v>1.222873263624181E-2</v>
      </c>
      <c r="K23" s="572">
        <v>0.13197604969973659</v>
      </c>
      <c r="L23" s="572">
        <v>0.15222651599904941</v>
      </c>
      <c r="M23" s="572">
        <v>0.16412746947062409</v>
      </c>
      <c r="N23" s="572">
        <v>0.16401129709142079</v>
      </c>
      <c r="O23" s="572">
        <v>0.16914019928520899</v>
      </c>
      <c r="P23" s="572">
        <v>0.1717795795987524</v>
      </c>
      <c r="Q23" s="572">
        <v>0.16325329296739999</v>
      </c>
      <c r="R23" s="572">
        <v>0.15334835742854641</v>
      </c>
      <c r="S23" s="572">
        <v>0.14300346441334841</v>
      </c>
      <c r="T23" s="572">
        <v>0.13129686926390791</v>
      </c>
      <c r="U23" s="572">
        <v>0.1192059926181875</v>
      </c>
      <c r="V23" s="572">
        <v>0.1287991576377196</v>
      </c>
      <c r="W23" s="572">
        <v>0.1393822644522251</v>
      </c>
      <c r="X23" s="572">
        <v>0.1489015613021788</v>
      </c>
      <c r="Y23" s="572">
        <v>0.16524918594278379</v>
      </c>
      <c r="Z23" s="572">
        <v>0.16121869065066899</v>
      </c>
      <c r="AA23" s="572">
        <v>0.17243090704340541</v>
      </c>
      <c r="AB23" s="572">
        <v>0.18256598943272859</v>
      </c>
      <c r="AC23" s="572">
        <v>0.24235495711430399</v>
      </c>
      <c r="AD23" s="572">
        <v>0.28728773716654388</v>
      </c>
      <c r="AE23" s="572">
        <v>0.28008391855201847</v>
      </c>
      <c r="AF23" s="572">
        <v>0.2362523918154053</v>
      </c>
      <c r="AG23" s="572">
        <v>0.1853181969290654</v>
      </c>
      <c r="AH23" s="572">
        <v>0.1791298630823423</v>
      </c>
      <c r="AI23" s="572">
        <v>0.1775373336035154</v>
      </c>
      <c r="AJ23" s="572">
        <v>0.20229140631843751</v>
      </c>
      <c r="AK23" s="572">
        <v>0.20684833898446839</v>
      </c>
      <c r="AL23" s="572">
        <v>0.211239346129798</v>
      </c>
      <c r="AM23" s="572"/>
    </row>
    <row r="24" spans="1:39" ht="15.75" customHeight="1" x14ac:dyDescent="0.25">
      <c r="A24" s="3"/>
      <c r="B24" s="3" t="s">
        <v>2069</v>
      </c>
      <c r="C24" s="3" t="s">
        <v>2070</v>
      </c>
      <c r="D24" s="3" t="s">
        <v>2072</v>
      </c>
      <c r="E24" s="3">
        <v>1300</v>
      </c>
      <c r="F24" s="572">
        <v>7.3244025391447861E-8</v>
      </c>
      <c r="G24" s="572">
        <v>1.8041422594940989E-7</v>
      </c>
      <c r="H24" s="572">
        <v>1.7305468372907699E-2</v>
      </c>
      <c r="I24" s="572">
        <v>7.4925704686498354E-2</v>
      </c>
      <c r="J24" s="572">
        <v>0.18214369648970391</v>
      </c>
      <c r="K24" s="572">
        <v>0.28846385509273298</v>
      </c>
      <c r="L24" s="572">
        <v>0.41808160418705281</v>
      </c>
      <c r="M24" s="572">
        <v>0.55318848799204057</v>
      </c>
      <c r="N24" s="572">
        <v>0.64919731239558043</v>
      </c>
      <c r="O24" s="572">
        <v>0.74618482084339144</v>
      </c>
      <c r="P24" s="572">
        <v>0.83848119982811664</v>
      </c>
      <c r="Q24" s="572">
        <v>0.93108188460690711</v>
      </c>
      <c r="R24" s="572">
        <v>0.97507844714428238</v>
      </c>
      <c r="S24" s="572">
        <v>1.007503342012952</v>
      </c>
      <c r="T24" s="572">
        <v>1.0436906705291049</v>
      </c>
      <c r="U24" s="572">
        <v>1.067829337330426</v>
      </c>
      <c r="V24" s="572">
        <v>1.0892686279706909</v>
      </c>
      <c r="W24" s="572">
        <v>1.1057765409659921</v>
      </c>
      <c r="X24" s="572">
        <v>1.1283151092445349</v>
      </c>
      <c r="Y24" s="572">
        <v>1.109075708793021</v>
      </c>
      <c r="Z24" s="572">
        <v>0.92797689062879785</v>
      </c>
      <c r="AA24" s="572">
        <v>0.85749332780679755</v>
      </c>
      <c r="AB24" s="572">
        <v>0.79206010936168336</v>
      </c>
      <c r="AC24" s="572">
        <v>0.90959075700779468</v>
      </c>
      <c r="AD24" s="572">
        <v>0.97963122701388372</v>
      </c>
      <c r="AE24" s="572">
        <v>0.87464999343577809</v>
      </c>
      <c r="AF24" s="572">
        <v>0.77006584444478243</v>
      </c>
      <c r="AG24" s="572">
        <v>0.62989015503701173</v>
      </c>
      <c r="AH24" s="572">
        <v>0.67060516400370496</v>
      </c>
      <c r="AI24" s="572">
        <v>0.62800888337323146</v>
      </c>
      <c r="AJ24" s="572">
        <v>0.67523393384518882</v>
      </c>
      <c r="AK24" s="572">
        <v>0.65433657486838559</v>
      </c>
      <c r="AL24" s="572">
        <v>0.62706311493157862</v>
      </c>
      <c r="AM24" s="572"/>
    </row>
    <row r="25" spans="1:39" ht="15.75" customHeight="1" x14ac:dyDescent="0.25">
      <c r="A25" s="3"/>
      <c r="B25" s="3" t="s">
        <v>2069</v>
      </c>
      <c r="C25" s="3" t="s">
        <v>2070</v>
      </c>
      <c r="D25" s="3" t="s">
        <v>2075</v>
      </c>
      <c r="E25" s="3">
        <v>4800</v>
      </c>
      <c r="F25" s="572">
        <v>3.7240846201553312E-6</v>
      </c>
      <c r="G25" s="572">
        <v>9.1731419801768085E-6</v>
      </c>
      <c r="H25" s="572">
        <v>1.7587910456692571E-5</v>
      </c>
      <c r="I25" s="572">
        <v>1.318694796414364E-3</v>
      </c>
      <c r="J25" s="572">
        <v>3.6741288239772992E-3</v>
      </c>
      <c r="K25" s="572">
        <v>9.1767881134462714E-3</v>
      </c>
      <c r="L25" s="572">
        <v>1.7068477805663181E-2</v>
      </c>
      <c r="M25" s="572">
        <v>2.8260174203529932E-2</v>
      </c>
      <c r="N25" s="572">
        <v>4.0974398710055072E-2</v>
      </c>
      <c r="O25" s="572">
        <v>5.8511730201415091E-2</v>
      </c>
      <c r="P25" s="572">
        <v>7.2150615314809471E-2</v>
      </c>
      <c r="Q25" s="572">
        <v>8.9370065998305867E-2</v>
      </c>
      <c r="R25" s="572">
        <v>0.1087828117007227</v>
      </c>
      <c r="S25" s="572">
        <v>0.1288072809836224</v>
      </c>
      <c r="T25" s="572">
        <v>0.1472520743030476</v>
      </c>
      <c r="U25" s="572">
        <v>0.17825234594206199</v>
      </c>
      <c r="V25" s="572">
        <v>0.2118619930356147</v>
      </c>
      <c r="W25" s="572">
        <v>0.2496507682504136</v>
      </c>
      <c r="X25" s="572">
        <v>0.29254300276961481</v>
      </c>
      <c r="Y25" s="572">
        <v>0.32544677330981392</v>
      </c>
      <c r="Z25" s="572">
        <v>0.33349639492362038</v>
      </c>
      <c r="AA25" s="572">
        <v>0.41388764324358202</v>
      </c>
      <c r="AB25" s="572">
        <v>0.49996887401693491</v>
      </c>
      <c r="AC25" s="572">
        <v>0.56678410628142217</v>
      </c>
      <c r="AD25" s="572">
        <v>0.65334285974531225</v>
      </c>
      <c r="AE25" s="572">
        <v>0.65542007120561996</v>
      </c>
      <c r="AF25" s="572">
        <v>0.6741416043585654</v>
      </c>
      <c r="AG25" s="572">
        <v>0.50404953133319441</v>
      </c>
      <c r="AH25" s="572">
        <v>0.632093783017319</v>
      </c>
      <c r="AI25" s="572">
        <v>0.55417967019470238</v>
      </c>
      <c r="AJ25" s="572">
        <v>0.60943851858890463</v>
      </c>
      <c r="AK25" s="572">
        <v>0.61154888168151578</v>
      </c>
      <c r="AL25" s="572">
        <v>0.60870672771026657</v>
      </c>
      <c r="AM25" s="572"/>
    </row>
    <row r="26" spans="1:39" ht="15.75" customHeight="1" x14ac:dyDescent="0.25">
      <c r="A26" s="3"/>
      <c r="B26" s="3" t="s">
        <v>2066</v>
      </c>
      <c r="C26" s="3" t="s">
        <v>2070</v>
      </c>
      <c r="D26" s="3" t="s">
        <v>2076</v>
      </c>
      <c r="E26" s="3">
        <v>12400</v>
      </c>
      <c r="F26" s="572">
        <v>0</v>
      </c>
      <c r="G26" s="572">
        <v>0</v>
      </c>
      <c r="H26" s="572">
        <v>0</v>
      </c>
      <c r="I26" s="572">
        <v>0</v>
      </c>
      <c r="J26" s="572">
        <v>0</v>
      </c>
      <c r="K26" s="572">
        <v>9.3036146234324768E-6</v>
      </c>
      <c r="L26" s="572">
        <v>2.0863174107854798E-5</v>
      </c>
      <c r="M26" s="572">
        <v>3.9285248301842602E-5</v>
      </c>
      <c r="N26" s="572">
        <v>5.762449576632511E-5</v>
      </c>
      <c r="O26" s="572">
        <v>8.2822795964448826E-5</v>
      </c>
      <c r="P26" s="572">
        <v>1.080885242557396E-4</v>
      </c>
      <c r="Q26" s="572">
        <v>1.313657066049777E-4</v>
      </c>
      <c r="R26" s="572">
        <v>1.5256283657628139E-4</v>
      </c>
      <c r="S26" s="572">
        <v>1.6903747560248619E-4</v>
      </c>
      <c r="T26" s="572">
        <v>1.852557722608108E-4</v>
      </c>
      <c r="U26" s="572">
        <v>2.0359600424150949E-4</v>
      </c>
      <c r="V26" s="572">
        <v>2.1908588182021951E-4</v>
      </c>
      <c r="W26" s="572">
        <v>2.3642555806566921E-4</v>
      </c>
      <c r="X26" s="572">
        <v>2.5156468733034262E-4</v>
      </c>
      <c r="Y26" s="572">
        <v>2.6969387346895552E-4</v>
      </c>
      <c r="Z26" s="572">
        <v>2.9085115325012397E-4</v>
      </c>
      <c r="AA26" s="572">
        <v>3.0973479855850972E-4</v>
      </c>
      <c r="AB26" s="572">
        <v>3.330461144484584E-4</v>
      </c>
      <c r="AC26" s="572">
        <v>3.5354917845680422E-4</v>
      </c>
      <c r="AD26" s="572">
        <v>3.7605786330928268E-4</v>
      </c>
      <c r="AE26" s="572">
        <v>4.0035265374947169E-4</v>
      </c>
      <c r="AF26" s="572">
        <v>4.2387287872683359E-4</v>
      </c>
      <c r="AG26" s="572">
        <v>4.5009971253825049E-4</v>
      </c>
      <c r="AH26" s="572">
        <v>4.7619198320438021E-4</v>
      </c>
      <c r="AI26" s="572">
        <v>5.0446574040930326E-4</v>
      </c>
      <c r="AJ26" s="572">
        <v>5.3214126222195246E-4</v>
      </c>
      <c r="AK26" s="572">
        <v>5.5199864253537782E-4</v>
      </c>
      <c r="AL26" s="572">
        <v>5.6954536712445038E-4</v>
      </c>
      <c r="AM26" s="572"/>
    </row>
    <row r="27" spans="1:39" ht="15.75" customHeight="1" x14ac:dyDescent="0.25">
      <c r="A27" s="3"/>
      <c r="B27" s="3" t="s">
        <v>2066</v>
      </c>
      <c r="C27" s="3" t="s">
        <v>2070</v>
      </c>
      <c r="D27" s="3" t="s">
        <v>2077</v>
      </c>
      <c r="E27" s="3">
        <v>8060</v>
      </c>
      <c r="F27" s="572">
        <v>0</v>
      </c>
      <c r="G27" s="572">
        <v>0</v>
      </c>
      <c r="H27" s="572">
        <v>0</v>
      </c>
      <c r="I27" s="572">
        <v>0</v>
      </c>
      <c r="J27" s="572">
        <v>0</v>
      </c>
      <c r="K27" s="572">
        <v>0</v>
      </c>
      <c r="L27" s="572">
        <v>0</v>
      </c>
      <c r="M27" s="572">
        <v>1.9677287605305281E-4</v>
      </c>
      <c r="N27" s="572">
        <v>5.9929475596978113E-4</v>
      </c>
      <c r="O27" s="572">
        <v>1.22025586054288E-3</v>
      </c>
      <c r="P27" s="572">
        <v>1.859582568365767E-3</v>
      </c>
      <c r="Q27" s="572">
        <v>2.5241805291070498E-3</v>
      </c>
      <c r="R27" s="572">
        <v>3.215377358751628E-3</v>
      </c>
      <c r="S27" s="572">
        <v>3.7282025697778481E-3</v>
      </c>
      <c r="T27" s="572">
        <v>4.0489964724753462E-3</v>
      </c>
      <c r="U27" s="572">
        <v>4.1671243527226683E-3</v>
      </c>
      <c r="V27" s="572">
        <v>4.2781707301546229E-3</v>
      </c>
      <c r="W27" s="572">
        <v>4.3864974899368312E-3</v>
      </c>
      <c r="X27" s="572">
        <v>4.5011783418507298E-3</v>
      </c>
      <c r="Y27" s="572">
        <v>4.6335921557397212E-3</v>
      </c>
      <c r="Z27" s="572">
        <v>4.7814097461071556E-3</v>
      </c>
      <c r="AA27" s="572">
        <v>4.9347636405894114E-3</v>
      </c>
      <c r="AB27" s="572">
        <v>5.0880258808705184E-3</v>
      </c>
      <c r="AC27" s="572">
        <v>5.2378081210986936E-3</v>
      </c>
      <c r="AD27" s="572">
        <v>5.3880607579938232E-3</v>
      </c>
      <c r="AE27" s="572">
        <v>5.5376779066626941E-3</v>
      </c>
      <c r="AF27" s="572">
        <v>5.6821754613843372E-3</v>
      </c>
      <c r="AG27" s="572">
        <v>5.8379978623995356E-3</v>
      </c>
      <c r="AH27" s="572">
        <v>5.9974112703719273E-3</v>
      </c>
      <c r="AI27" s="572">
        <v>6.1625127656323034E-3</v>
      </c>
      <c r="AJ27" s="572">
        <v>6.408648020849398E-3</v>
      </c>
      <c r="AK27" s="572">
        <v>6.5918218060454052E-3</v>
      </c>
      <c r="AL27" s="572">
        <v>6.7551257288027454E-3</v>
      </c>
      <c r="AM27" s="572"/>
    </row>
    <row r="28" spans="1:39" ht="15.75" customHeight="1" x14ac:dyDescent="0.25">
      <c r="A28" s="3"/>
      <c r="B28" s="3" t="s">
        <v>2069</v>
      </c>
      <c r="C28" s="3" t="s">
        <v>2070</v>
      </c>
      <c r="D28" s="3" t="s">
        <v>2077</v>
      </c>
      <c r="E28" s="3">
        <v>8060</v>
      </c>
      <c r="F28" s="572">
        <v>0</v>
      </c>
      <c r="G28" s="572">
        <v>0</v>
      </c>
      <c r="H28" s="572">
        <v>0</v>
      </c>
      <c r="I28" s="572">
        <v>1.094958153041211E-3</v>
      </c>
      <c r="J28" s="572">
        <v>3.3027020891527839E-3</v>
      </c>
      <c r="K28" s="572">
        <v>5.4743631396104624E-3</v>
      </c>
      <c r="L28" s="572">
        <v>6.8121740657830568E-3</v>
      </c>
      <c r="M28" s="572">
        <v>8.1442941523637569E-3</v>
      </c>
      <c r="N28" s="572">
        <v>9.3579876144681325E-3</v>
      </c>
      <c r="O28" s="572">
        <v>1.046189951024263E-2</v>
      </c>
      <c r="P28" s="572">
        <v>1.14699172404104E-2</v>
      </c>
      <c r="Q28" s="572">
        <v>1.2396198147395159E-2</v>
      </c>
      <c r="R28" s="572">
        <v>1.3223615016062191E-2</v>
      </c>
      <c r="S28" s="572">
        <v>1.392845643145911E-2</v>
      </c>
      <c r="T28" s="572">
        <v>1.4498116737131051E-2</v>
      </c>
      <c r="U28" s="572">
        <v>1.493758433619425E-2</v>
      </c>
      <c r="V28" s="572">
        <v>1.5229928037270831E-2</v>
      </c>
      <c r="W28" s="572">
        <v>1.5381089327809121E-2</v>
      </c>
      <c r="X28" s="572">
        <v>1.543303617737592E-2</v>
      </c>
      <c r="Y28" s="572">
        <v>1.5419061553197361E-2</v>
      </c>
      <c r="Z28" s="572">
        <v>1.54502651789683E-2</v>
      </c>
      <c r="AA28" s="572">
        <v>1.54783656167052E-2</v>
      </c>
      <c r="AB28" s="572">
        <v>1.549548727040936E-2</v>
      </c>
      <c r="AC28" s="572">
        <v>1.5743269423815161E-2</v>
      </c>
      <c r="AD28" s="572">
        <v>1.49479561111812E-2</v>
      </c>
      <c r="AE28" s="572">
        <v>1.2775024408200639E-2</v>
      </c>
      <c r="AF28" s="572">
        <v>1.139990155130706E-2</v>
      </c>
      <c r="AG28" s="572">
        <v>1.004472525147862E-2</v>
      </c>
      <c r="AH28" s="572">
        <v>8.5856280781313535E-3</v>
      </c>
      <c r="AI28" s="572">
        <v>7.2388571570526916E-3</v>
      </c>
      <c r="AJ28" s="572">
        <v>6.0805703714151343E-3</v>
      </c>
      <c r="AK28" s="572">
        <v>4.9549861618991779E-3</v>
      </c>
      <c r="AL28" s="572">
        <v>3.9247575468000229E-3</v>
      </c>
      <c r="AM28" s="572"/>
    </row>
    <row r="29" spans="1:39" ht="15.75" customHeight="1" x14ac:dyDescent="0.25">
      <c r="A29" s="3"/>
      <c r="B29" s="3" t="s">
        <v>2069</v>
      </c>
      <c r="C29" s="3" t="s">
        <v>2070</v>
      </c>
      <c r="D29" s="3" t="s">
        <v>2078</v>
      </c>
      <c r="E29" s="3">
        <v>677</v>
      </c>
      <c r="F29" s="572">
        <v>0</v>
      </c>
      <c r="G29" s="572">
        <v>0</v>
      </c>
      <c r="H29" s="572">
        <v>0</v>
      </c>
      <c r="I29" s="572">
        <v>0</v>
      </c>
      <c r="J29" s="572">
        <v>0</v>
      </c>
      <c r="K29" s="572">
        <v>0</v>
      </c>
      <c r="L29" s="572">
        <v>3.0469016963371702E-6</v>
      </c>
      <c r="M29" s="572">
        <v>8.6518110182798053E-6</v>
      </c>
      <c r="N29" s="572">
        <v>1.844517591183488E-5</v>
      </c>
      <c r="O29" s="572">
        <v>3.5786809654347221E-5</v>
      </c>
      <c r="P29" s="572">
        <v>1.651955955267768E-4</v>
      </c>
      <c r="Q29" s="572">
        <v>4.1358921209775327E-4</v>
      </c>
      <c r="R29" s="572">
        <v>8.1173569754559188E-4</v>
      </c>
      <c r="S29" s="572">
        <v>1.3502779681188589E-3</v>
      </c>
      <c r="T29" s="572">
        <v>2.0675901294666841E-3</v>
      </c>
      <c r="U29" s="572">
        <v>3.080495081027423E-3</v>
      </c>
      <c r="V29" s="572">
        <v>5.012036933085804E-3</v>
      </c>
      <c r="W29" s="572">
        <v>7.1895367644093308E-3</v>
      </c>
      <c r="X29" s="572">
        <v>9.4723877763723281E-3</v>
      </c>
      <c r="Y29" s="572">
        <v>1.2203848200017841E-2</v>
      </c>
      <c r="Z29" s="572">
        <v>1.7058702289811462E-2</v>
      </c>
      <c r="AA29" s="572">
        <v>3.0748644235615671E-2</v>
      </c>
      <c r="AB29" s="572">
        <v>3.2645818495296318E-2</v>
      </c>
      <c r="AC29" s="572">
        <v>4.8837634649829952E-2</v>
      </c>
      <c r="AD29" s="572">
        <v>6.0687208721937488E-2</v>
      </c>
      <c r="AE29" s="572">
        <v>7.3553730118908534E-2</v>
      </c>
      <c r="AF29" s="572">
        <v>8.4213997171858915E-2</v>
      </c>
      <c r="AG29" s="572">
        <v>8.0964713183116183E-2</v>
      </c>
      <c r="AH29" s="572">
        <v>9.7705256137823007E-2</v>
      </c>
      <c r="AI29" s="572">
        <v>0.1037901447480068</v>
      </c>
      <c r="AJ29" s="572">
        <v>0.1381303149748907</v>
      </c>
      <c r="AK29" s="572">
        <v>0.16864826115628431</v>
      </c>
      <c r="AL29" s="572">
        <v>0.1885012873241986</v>
      </c>
      <c r="AM29" s="572"/>
    </row>
    <row r="30" spans="1:39" ht="15.75" customHeight="1" x14ac:dyDescent="0.25">
      <c r="A30" s="3"/>
      <c r="B30" s="3" t="s">
        <v>2066</v>
      </c>
      <c r="C30" s="3" t="s">
        <v>2070</v>
      </c>
      <c r="D30" s="3" t="s">
        <v>2079</v>
      </c>
      <c r="E30" s="3">
        <v>1</v>
      </c>
      <c r="F30" s="572">
        <v>0</v>
      </c>
      <c r="G30" s="572">
        <v>0</v>
      </c>
      <c r="H30" s="572">
        <v>0</v>
      </c>
      <c r="I30" s="572">
        <v>0</v>
      </c>
      <c r="J30" s="572">
        <v>6.9927002953494894E-5</v>
      </c>
      <c r="K30" s="572">
        <v>5.8312655526868715E-4</v>
      </c>
      <c r="L30" s="572">
        <v>1.4260147754122849E-3</v>
      </c>
      <c r="M30" s="572">
        <v>2.6570842323925571E-3</v>
      </c>
      <c r="N30" s="572">
        <v>4.1734448116025847E-3</v>
      </c>
      <c r="O30" s="572">
        <v>6.2098265177211193E-3</v>
      </c>
      <c r="P30" s="572">
        <v>8.1490364307879922E-3</v>
      </c>
      <c r="Q30" s="572">
        <v>9.9471421494280784E-3</v>
      </c>
      <c r="R30" s="572">
        <v>1.160995916122351E-2</v>
      </c>
      <c r="S30" s="572">
        <v>1.2933878542943769E-2</v>
      </c>
      <c r="T30" s="572">
        <v>1.423454371364744E-2</v>
      </c>
      <c r="U30" s="572">
        <v>1.5499809328405599E-2</v>
      </c>
      <c r="V30" s="572">
        <v>1.6701755546475371E-2</v>
      </c>
      <c r="W30" s="572">
        <v>1.78460016274243E-2</v>
      </c>
      <c r="X30" s="572">
        <v>1.8972191686515379E-2</v>
      </c>
      <c r="Y30" s="572">
        <v>2.012317740348785E-2</v>
      </c>
      <c r="Z30" s="572">
        <v>2.132646503976254E-2</v>
      </c>
      <c r="AA30" s="572">
        <v>2.252497290424995E-2</v>
      </c>
      <c r="AB30" s="572">
        <v>2.370096370609133E-2</v>
      </c>
      <c r="AC30" s="572">
        <v>2.4827776291184891E-2</v>
      </c>
      <c r="AD30" s="572">
        <v>2.591758210629231E-2</v>
      </c>
      <c r="AE30" s="572">
        <v>2.695280149269972E-2</v>
      </c>
      <c r="AF30" s="572">
        <v>2.7913106021788311E-2</v>
      </c>
      <c r="AG30" s="572">
        <v>2.8873744399520441E-2</v>
      </c>
      <c r="AH30" s="572">
        <v>2.9791962105591738E-2</v>
      </c>
      <c r="AI30" s="572">
        <v>3.0665212107299149E-2</v>
      </c>
      <c r="AJ30" s="572">
        <v>3.1563287069441143E-2</v>
      </c>
      <c r="AK30" s="572">
        <v>3.2139076122816183E-2</v>
      </c>
      <c r="AL30" s="572">
        <v>3.2596343641711593E-2</v>
      </c>
      <c r="AM30" s="572"/>
    </row>
    <row r="31" spans="1:39" ht="15.75" customHeight="1" x14ac:dyDescent="0.25">
      <c r="A31" s="3"/>
      <c r="B31" s="3" t="s">
        <v>2068</v>
      </c>
      <c r="C31" s="3" t="s">
        <v>2070</v>
      </c>
      <c r="D31" s="3" t="s">
        <v>2079</v>
      </c>
      <c r="E31" s="3">
        <v>1</v>
      </c>
      <c r="F31" s="572">
        <v>0</v>
      </c>
      <c r="G31" s="572">
        <v>0</v>
      </c>
      <c r="H31" s="572">
        <v>0</v>
      </c>
      <c r="I31" s="572">
        <v>0</v>
      </c>
      <c r="J31" s="572">
        <v>0</v>
      </c>
      <c r="K31" s="572">
        <v>0</v>
      </c>
      <c r="L31" s="572">
        <v>0</v>
      </c>
      <c r="M31" s="572">
        <v>0</v>
      </c>
      <c r="N31" s="572">
        <v>0</v>
      </c>
      <c r="O31" s="572">
        <v>0</v>
      </c>
      <c r="P31" s="572">
        <v>0</v>
      </c>
      <c r="Q31" s="572">
        <v>0</v>
      </c>
      <c r="R31" s="572">
        <v>0</v>
      </c>
      <c r="S31" s="572">
        <v>0</v>
      </c>
      <c r="T31" s="572">
        <v>0</v>
      </c>
      <c r="U31" s="572">
        <v>0</v>
      </c>
      <c r="V31" s="572">
        <v>0</v>
      </c>
      <c r="W31" s="572">
        <v>0</v>
      </c>
      <c r="X31" s="572">
        <v>0</v>
      </c>
      <c r="Y31" s="572">
        <v>0</v>
      </c>
      <c r="Z31" s="572">
        <v>0</v>
      </c>
      <c r="AA31" s="572">
        <v>0</v>
      </c>
      <c r="AB31" s="572">
        <v>0</v>
      </c>
      <c r="AC31" s="572">
        <v>0</v>
      </c>
      <c r="AD31" s="572">
        <v>0</v>
      </c>
      <c r="AE31" s="572">
        <v>0</v>
      </c>
      <c r="AF31" s="572">
        <v>0</v>
      </c>
      <c r="AG31" s="572">
        <v>4.9187949605383671E-6</v>
      </c>
      <c r="AH31" s="572">
        <v>1.134467053074122E-5</v>
      </c>
      <c r="AI31" s="572">
        <v>1.9157730483097699E-5</v>
      </c>
      <c r="AJ31" s="572">
        <v>2.882333606150492E-5</v>
      </c>
      <c r="AK31" s="572">
        <v>3.9761083238691162E-5</v>
      </c>
      <c r="AL31" s="572">
        <v>4.5162144170280212E-5</v>
      </c>
      <c r="AM31" s="572"/>
    </row>
    <row r="32" spans="1:39" ht="15.75" customHeight="1" x14ac:dyDescent="0.25">
      <c r="A32" s="3"/>
      <c r="B32" s="3" t="s">
        <v>2068</v>
      </c>
      <c r="C32" s="3" t="s">
        <v>2070</v>
      </c>
      <c r="D32" s="3" t="s">
        <v>2079</v>
      </c>
      <c r="E32" s="3">
        <v>1</v>
      </c>
      <c r="F32" s="572">
        <v>0</v>
      </c>
      <c r="G32" s="572">
        <v>0</v>
      </c>
      <c r="H32" s="572">
        <v>0</v>
      </c>
      <c r="I32" s="572">
        <v>0</v>
      </c>
      <c r="J32" s="572">
        <v>0</v>
      </c>
      <c r="K32" s="572">
        <v>0</v>
      </c>
      <c r="L32" s="572">
        <v>0</v>
      </c>
      <c r="M32" s="572">
        <v>0</v>
      </c>
      <c r="N32" s="572">
        <v>0</v>
      </c>
      <c r="O32" s="572">
        <v>0</v>
      </c>
      <c r="P32" s="572">
        <v>0</v>
      </c>
      <c r="Q32" s="572">
        <v>0</v>
      </c>
      <c r="R32" s="572">
        <v>0</v>
      </c>
      <c r="S32" s="572">
        <v>0</v>
      </c>
      <c r="T32" s="572">
        <v>0</v>
      </c>
      <c r="U32" s="572">
        <v>0</v>
      </c>
      <c r="V32" s="572">
        <v>0</v>
      </c>
      <c r="W32" s="572">
        <v>0</v>
      </c>
      <c r="X32" s="572">
        <v>0</v>
      </c>
      <c r="Y32" s="572">
        <v>0</v>
      </c>
      <c r="Z32" s="572">
        <v>0</v>
      </c>
      <c r="AA32" s="572">
        <v>0</v>
      </c>
      <c r="AB32" s="572">
        <v>0</v>
      </c>
      <c r="AC32" s="572">
        <v>0</v>
      </c>
      <c r="AD32" s="572">
        <v>0</v>
      </c>
      <c r="AE32" s="572">
        <v>3.4795626957212149E-7</v>
      </c>
      <c r="AF32" s="572">
        <v>2.9998599546731291E-6</v>
      </c>
      <c r="AG32" s="572">
        <v>8.4622852438765243E-6</v>
      </c>
      <c r="AH32" s="572">
        <v>1.3635658689567821E-5</v>
      </c>
      <c r="AI32" s="572">
        <v>1.984696510166646E-5</v>
      </c>
      <c r="AJ32" s="572">
        <v>2.836877264077815E-5</v>
      </c>
      <c r="AK32" s="572">
        <v>3.3408352926787908E-5</v>
      </c>
      <c r="AL32" s="572">
        <v>3.7369598252780032E-5</v>
      </c>
      <c r="AM32" s="572"/>
    </row>
    <row r="33" spans="1:39" ht="15.75" customHeight="1" x14ac:dyDescent="0.25">
      <c r="A33" s="3"/>
      <c r="B33" s="3" t="s">
        <v>2068</v>
      </c>
      <c r="C33" s="3" t="s">
        <v>2070</v>
      </c>
      <c r="D33" s="3" t="s">
        <v>2079</v>
      </c>
      <c r="E33" s="3">
        <v>1</v>
      </c>
      <c r="F33" s="572">
        <v>1.247233335978252E-4</v>
      </c>
      <c r="G33" s="572">
        <v>1.9717701008844989E-4</v>
      </c>
      <c r="H33" s="572">
        <v>2.7588013366345129E-4</v>
      </c>
      <c r="I33" s="572">
        <v>3.6106339589210849E-4</v>
      </c>
      <c r="J33" s="572">
        <v>3.8887763135033132E-4</v>
      </c>
      <c r="K33" s="572">
        <v>7.0829280963418631E-4</v>
      </c>
      <c r="L33" s="572">
        <v>1.134207391881062E-3</v>
      </c>
      <c r="M33" s="572">
        <v>1.573995900315812E-3</v>
      </c>
      <c r="N33" s="572">
        <v>2.028986006981899E-3</v>
      </c>
      <c r="O33" s="572">
        <v>2.500597210496796E-3</v>
      </c>
      <c r="P33" s="572">
        <v>2.674604537591573E-3</v>
      </c>
      <c r="Q33" s="572">
        <v>2.7549730508543199E-3</v>
      </c>
      <c r="R33" s="572">
        <v>2.8395959287016862E-3</v>
      </c>
      <c r="S33" s="572">
        <v>2.9225967022920448E-3</v>
      </c>
      <c r="T33" s="572">
        <v>3.002376059109935E-3</v>
      </c>
      <c r="U33" s="572">
        <v>3.014141448079443E-3</v>
      </c>
      <c r="V33" s="572">
        <v>3.0132729980100899E-3</v>
      </c>
      <c r="W33" s="572">
        <v>3.0020573951777801E-3</v>
      </c>
      <c r="X33" s="572">
        <v>2.9877839948934618E-3</v>
      </c>
      <c r="Y33" s="572">
        <v>3.2291845336988329E-3</v>
      </c>
      <c r="Z33" s="572">
        <v>3.4898536918406822E-3</v>
      </c>
      <c r="AA33" s="572">
        <v>3.5635077387002E-3</v>
      </c>
      <c r="AB33" s="572">
        <v>3.631456664281755E-3</v>
      </c>
      <c r="AC33" s="572">
        <v>3.6907112787227872E-3</v>
      </c>
      <c r="AD33" s="572">
        <v>3.7486785172294928E-3</v>
      </c>
      <c r="AE33" s="572">
        <v>3.8036287970288122E-3</v>
      </c>
      <c r="AF33" s="572">
        <v>3.8538017103202562E-3</v>
      </c>
      <c r="AG33" s="572">
        <v>3.9104194446443578E-3</v>
      </c>
      <c r="AH33" s="572">
        <v>3.9682822534737342E-3</v>
      </c>
      <c r="AI33" s="572">
        <v>4.0277338665856326E-3</v>
      </c>
      <c r="AJ33" s="572">
        <v>4.137621911827853E-3</v>
      </c>
      <c r="AK33" s="572">
        <v>4.2051292642641914E-3</v>
      </c>
      <c r="AL33" s="572">
        <v>4.2573179486642279E-3</v>
      </c>
      <c r="AM33" s="572"/>
    </row>
    <row r="34" spans="1:39" ht="15.75" customHeight="1" x14ac:dyDescent="0.25">
      <c r="A34" s="3"/>
      <c r="B34" s="3" t="s">
        <v>2068</v>
      </c>
      <c r="C34" s="3" t="s">
        <v>2070</v>
      </c>
      <c r="D34" s="3" t="s">
        <v>2079</v>
      </c>
      <c r="E34" s="3">
        <v>1</v>
      </c>
      <c r="F34" s="572">
        <v>0</v>
      </c>
      <c r="G34" s="572">
        <v>0</v>
      </c>
      <c r="H34" s="572">
        <v>0</v>
      </c>
      <c r="I34" s="572">
        <v>0</v>
      </c>
      <c r="J34" s="572">
        <v>0</v>
      </c>
      <c r="K34" s="572">
        <v>0</v>
      </c>
      <c r="L34" s="572">
        <v>0</v>
      </c>
      <c r="M34" s="572">
        <v>0</v>
      </c>
      <c r="N34" s="572">
        <v>0</v>
      </c>
      <c r="O34" s="572">
        <v>0</v>
      </c>
      <c r="P34" s="572">
        <v>0</v>
      </c>
      <c r="Q34" s="572">
        <v>0</v>
      </c>
      <c r="R34" s="572">
        <v>0</v>
      </c>
      <c r="S34" s="572">
        <v>0</v>
      </c>
      <c r="T34" s="572">
        <v>0</v>
      </c>
      <c r="U34" s="572">
        <v>0</v>
      </c>
      <c r="V34" s="572">
        <v>0</v>
      </c>
      <c r="W34" s="572">
        <v>0</v>
      </c>
      <c r="X34" s="572">
        <v>0</v>
      </c>
      <c r="Y34" s="572">
        <v>0</v>
      </c>
      <c r="Z34" s="572">
        <v>0</v>
      </c>
      <c r="AA34" s="572">
        <v>0</v>
      </c>
      <c r="AB34" s="572">
        <v>0</v>
      </c>
      <c r="AC34" s="572">
        <v>0</v>
      </c>
      <c r="AD34" s="572">
        <v>0</v>
      </c>
      <c r="AE34" s="572">
        <v>0</v>
      </c>
      <c r="AF34" s="572">
        <v>1.3101575464601649E-5</v>
      </c>
      <c r="AG34" s="572">
        <v>2.9165918730270622E-5</v>
      </c>
      <c r="AH34" s="572">
        <v>4.873451894469435E-5</v>
      </c>
      <c r="AI34" s="572">
        <v>7.2264005822099514E-5</v>
      </c>
      <c r="AJ34" s="572">
        <v>1.0163783915035379E-4</v>
      </c>
      <c r="AK34" s="572">
        <v>1.166726243045625E-4</v>
      </c>
      <c r="AL34" s="572">
        <v>1.3209942724156081E-4</v>
      </c>
      <c r="AM34" s="572"/>
    </row>
    <row r="35" spans="1:39" ht="15.75" customHeight="1" x14ac:dyDescent="0.25">
      <c r="A35" s="3"/>
      <c r="B35" s="3" t="s">
        <v>2068</v>
      </c>
      <c r="C35" s="3" t="s">
        <v>2070</v>
      </c>
      <c r="D35" s="3" t="s">
        <v>2079</v>
      </c>
      <c r="E35" s="3">
        <v>1</v>
      </c>
      <c r="F35" s="572">
        <v>0</v>
      </c>
      <c r="G35" s="572">
        <v>0</v>
      </c>
      <c r="H35" s="572">
        <v>0</v>
      </c>
      <c r="I35" s="572">
        <v>0</v>
      </c>
      <c r="J35" s="572">
        <v>0</v>
      </c>
      <c r="K35" s="572">
        <v>0</v>
      </c>
      <c r="L35" s="572">
        <v>0</v>
      </c>
      <c r="M35" s="572">
        <v>0</v>
      </c>
      <c r="N35" s="572">
        <v>0</v>
      </c>
      <c r="O35" s="572">
        <v>0</v>
      </c>
      <c r="P35" s="572">
        <v>0</v>
      </c>
      <c r="Q35" s="572">
        <v>0</v>
      </c>
      <c r="R35" s="572">
        <v>1.7077087743705959E-3</v>
      </c>
      <c r="S35" s="572">
        <v>3.713565197960695E-3</v>
      </c>
      <c r="T35" s="572">
        <v>4.179280302189432E-3</v>
      </c>
      <c r="U35" s="572">
        <v>4.6591121751991434E-3</v>
      </c>
      <c r="V35" s="572">
        <v>5.1455201124543746E-3</v>
      </c>
      <c r="W35" s="572">
        <v>5.6404105734369284E-3</v>
      </c>
      <c r="X35" s="572">
        <v>6.1574082226982189E-3</v>
      </c>
      <c r="Y35" s="572">
        <v>6.7123732527916528E-3</v>
      </c>
      <c r="Z35" s="572">
        <v>7.3082106297578248E-3</v>
      </c>
      <c r="AA35" s="572">
        <v>7.9281830194383521E-3</v>
      </c>
      <c r="AB35" s="572">
        <v>8.5685049432295077E-3</v>
      </c>
      <c r="AC35" s="572">
        <v>9.2208239961475771E-3</v>
      </c>
      <c r="AD35" s="572">
        <v>9.8917047459914312E-3</v>
      </c>
      <c r="AE35" s="572">
        <v>1.057619178901425E-2</v>
      </c>
      <c r="AF35" s="572">
        <v>1.016017850385739E-2</v>
      </c>
      <c r="AG35" s="572">
        <v>9.5721053373326297E-3</v>
      </c>
      <c r="AH35" s="572">
        <v>8.8541753035473719E-3</v>
      </c>
      <c r="AI35" s="572">
        <v>7.8486160733754994E-3</v>
      </c>
      <c r="AJ35" s="572">
        <v>6.601339167796534E-3</v>
      </c>
      <c r="AK35" s="572">
        <v>6.5930091145092297E-3</v>
      </c>
      <c r="AL35" s="572">
        <v>6.5586678031707632E-3</v>
      </c>
      <c r="AM35" s="572"/>
    </row>
    <row r="36" spans="1:39" ht="15.75" customHeight="1" x14ac:dyDescent="0.25">
      <c r="A36" s="3"/>
      <c r="B36" s="3" t="s">
        <v>2068</v>
      </c>
      <c r="C36" s="3" t="s">
        <v>2070</v>
      </c>
      <c r="D36" s="3" t="s">
        <v>2079</v>
      </c>
      <c r="E36" s="3">
        <v>1</v>
      </c>
      <c r="F36" s="572">
        <v>0</v>
      </c>
      <c r="G36" s="572">
        <v>0</v>
      </c>
      <c r="H36" s="572">
        <v>0</v>
      </c>
      <c r="I36" s="572">
        <v>0</v>
      </c>
      <c r="J36" s="572">
        <v>0</v>
      </c>
      <c r="K36" s="572">
        <v>0</v>
      </c>
      <c r="L36" s="572">
        <v>0</v>
      </c>
      <c r="M36" s="572">
        <v>0</v>
      </c>
      <c r="N36" s="572">
        <v>0</v>
      </c>
      <c r="O36" s="572">
        <v>0</v>
      </c>
      <c r="P36" s="572">
        <v>0</v>
      </c>
      <c r="Q36" s="572">
        <v>0</v>
      </c>
      <c r="R36" s="572">
        <v>2.7428430160660031E-3</v>
      </c>
      <c r="S36" s="572">
        <v>5.9645570256476399E-3</v>
      </c>
      <c r="T36" s="572">
        <v>6.7125671315165641E-3</v>
      </c>
      <c r="U36" s="572">
        <v>7.4832509398583148E-3</v>
      </c>
      <c r="V36" s="572">
        <v>8.2644969190805665E-3</v>
      </c>
      <c r="W36" s="572">
        <v>9.0593671364125432E-3</v>
      </c>
      <c r="X36" s="572">
        <v>9.8897448992260623E-3</v>
      </c>
      <c r="Y36" s="572">
        <v>1.078110411679151E-2</v>
      </c>
      <c r="Z36" s="572">
        <v>1.173811061148795E-2</v>
      </c>
      <c r="AA36" s="572">
        <v>1.273388164968252E-2</v>
      </c>
      <c r="AB36" s="572">
        <v>1.376233717035631E-2</v>
      </c>
      <c r="AC36" s="572">
        <v>1.4810061926120111E-2</v>
      </c>
      <c r="AD36" s="572">
        <v>1.5887599622792389E-2</v>
      </c>
      <c r="AE36" s="572">
        <v>1.6986991119585959E-2</v>
      </c>
      <c r="AF36" s="572">
        <v>1.6318809781580179E-2</v>
      </c>
      <c r="AG36" s="572">
        <v>1.537427380334656E-2</v>
      </c>
      <c r="AH36" s="572">
        <v>1.422116771831301E-2</v>
      </c>
      <c r="AI36" s="572">
        <v>1.260608489323695E-2</v>
      </c>
      <c r="AJ36" s="572">
        <v>1.0602766294122431E-2</v>
      </c>
      <c r="AK36" s="572">
        <v>1.0589386946996361E-2</v>
      </c>
      <c r="AL36" s="572">
        <v>1.053422951770812E-2</v>
      </c>
      <c r="AM36" s="572"/>
    </row>
    <row r="37" spans="1:39" ht="15.75" customHeight="1" x14ac:dyDescent="0.25">
      <c r="A37" s="3"/>
      <c r="B37" s="3" t="s">
        <v>2068</v>
      </c>
      <c r="C37" s="3" t="s">
        <v>2070</v>
      </c>
      <c r="D37" s="3" t="s">
        <v>2079</v>
      </c>
      <c r="E37" s="3">
        <v>1</v>
      </c>
      <c r="F37" s="572">
        <v>0</v>
      </c>
      <c r="G37" s="572">
        <v>0</v>
      </c>
      <c r="H37" s="572">
        <v>0</v>
      </c>
      <c r="I37" s="572">
        <v>0</v>
      </c>
      <c r="J37" s="572">
        <v>0</v>
      </c>
      <c r="K37" s="572">
        <v>0</v>
      </c>
      <c r="L37" s="572">
        <v>0</v>
      </c>
      <c r="M37" s="572">
        <v>0</v>
      </c>
      <c r="N37" s="572">
        <v>0</v>
      </c>
      <c r="O37" s="572">
        <v>0</v>
      </c>
      <c r="P37" s="572">
        <v>0</v>
      </c>
      <c r="Q37" s="572">
        <v>7.1648841365018316E-4</v>
      </c>
      <c r="R37" s="572">
        <v>9.2823228395742478E-3</v>
      </c>
      <c r="S37" s="572">
        <v>1.9540836754311942E-2</v>
      </c>
      <c r="T37" s="572">
        <v>2.233143670245033E-2</v>
      </c>
      <c r="U37" s="572">
        <v>2.5188263459625378E-2</v>
      </c>
      <c r="V37" s="572">
        <v>2.8125503071033751E-2</v>
      </c>
      <c r="W37" s="572">
        <v>3.1072407602247169E-2</v>
      </c>
      <c r="X37" s="572">
        <v>3.3848424286055903E-2</v>
      </c>
      <c r="Y37" s="572">
        <v>3.7038994059294048E-2</v>
      </c>
      <c r="Z37" s="572">
        <v>4.0858789031735163E-2</v>
      </c>
      <c r="AA37" s="572">
        <v>4.5026864275097403E-2</v>
      </c>
      <c r="AB37" s="572">
        <v>4.8976540174728737E-2</v>
      </c>
      <c r="AC37" s="572">
        <v>5.2899313158654079E-2</v>
      </c>
      <c r="AD37" s="572">
        <v>5.6954802390384911E-2</v>
      </c>
      <c r="AE37" s="572">
        <v>7.3259364445124778E-2</v>
      </c>
      <c r="AF37" s="572">
        <v>8.6693927605397375E-2</v>
      </c>
      <c r="AG37" s="572">
        <v>0.10228506287868031</v>
      </c>
      <c r="AH37" s="572">
        <v>0.1077841199083152</v>
      </c>
      <c r="AI37" s="572">
        <v>0.10876803725713551</v>
      </c>
      <c r="AJ37" s="572">
        <v>0.1072739927375284</v>
      </c>
      <c r="AK37" s="572">
        <v>0.11119263570673329</v>
      </c>
      <c r="AL37" s="572">
        <v>0.1227798102250202</v>
      </c>
      <c r="AM37" s="572"/>
    </row>
    <row r="38" spans="1:39" ht="15.75" customHeight="1" x14ac:dyDescent="0.25">
      <c r="A38" s="3"/>
      <c r="B38" s="3" t="s">
        <v>2073</v>
      </c>
      <c r="C38" s="3" t="s">
        <v>2070</v>
      </c>
      <c r="D38" s="3" t="s">
        <v>2079</v>
      </c>
      <c r="E38" s="3">
        <v>1</v>
      </c>
      <c r="F38" s="572">
        <v>0</v>
      </c>
      <c r="G38" s="572">
        <v>0</v>
      </c>
      <c r="H38" s="572">
        <v>0</v>
      </c>
      <c r="I38" s="572">
        <v>0</v>
      </c>
      <c r="J38" s="572">
        <v>0</v>
      </c>
      <c r="K38" s="572">
        <v>0</v>
      </c>
      <c r="L38" s="572">
        <v>0</v>
      </c>
      <c r="M38" s="572">
        <v>0</v>
      </c>
      <c r="N38" s="572">
        <v>0</v>
      </c>
      <c r="O38" s="572">
        <v>0</v>
      </c>
      <c r="P38" s="572">
        <v>0</v>
      </c>
      <c r="Q38" s="572">
        <v>0</v>
      </c>
      <c r="R38" s="572">
        <v>0</v>
      </c>
      <c r="S38" s="572">
        <v>0</v>
      </c>
      <c r="T38" s="572">
        <v>0</v>
      </c>
      <c r="U38" s="572">
        <v>0</v>
      </c>
      <c r="V38" s="572">
        <v>0</v>
      </c>
      <c r="W38" s="572">
        <v>1.1007246121578339E-3</v>
      </c>
      <c r="X38" s="572">
        <v>2.2149772754146489E-3</v>
      </c>
      <c r="Y38" s="572">
        <v>3.3491290038821149E-3</v>
      </c>
      <c r="Z38" s="572">
        <v>4.5122837777419791E-3</v>
      </c>
      <c r="AA38" s="572">
        <v>5.6913676721745462E-3</v>
      </c>
      <c r="AB38" s="572">
        <v>6.8872102676765983E-3</v>
      </c>
      <c r="AC38" s="572">
        <v>8.086548770533818E-3</v>
      </c>
      <c r="AD38" s="572">
        <v>8.1357555704743862E-3</v>
      </c>
      <c r="AE38" s="572">
        <v>7.6360811401844806E-3</v>
      </c>
      <c r="AF38" s="572">
        <v>9.3365885751559349E-3</v>
      </c>
      <c r="AG38" s="572">
        <v>1.1005370618726071E-2</v>
      </c>
      <c r="AH38" s="572">
        <v>1.25395667853706E-2</v>
      </c>
      <c r="AI38" s="572">
        <v>1.2679590951652889E-2</v>
      </c>
      <c r="AJ38" s="572">
        <v>1.2975161055288391E-2</v>
      </c>
      <c r="AK38" s="572">
        <v>1.3135031015029089E-2</v>
      </c>
      <c r="AL38" s="572">
        <v>7.947860668286363E-3</v>
      </c>
      <c r="AM38" s="572"/>
    </row>
    <row r="39" spans="1:39" ht="15.75" customHeight="1" x14ac:dyDescent="0.25">
      <c r="A39" s="3"/>
      <c r="B39" s="3" t="s">
        <v>2074</v>
      </c>
      <c r="C39" s="3" t="s">
        <v>2070</v>
      </c>
      <c r="D39" s="3" t="s">
        <v>2079</v>
      </c>
      <c r="E39" s="3">
        <v>1</v>
      </c>
      <c r="F39" s="572">
        <v>0</v>
      </c>
      <c r="G39" s="572">
        <v>0</v>
      </c>
      <c r="H39" s="572">
        <v>0</v>
      </c>
      <c r="I39" s="572">
        <v>0</v>
      </c>
      <c r="J39" s="572">
        <v>0</v>
      </c>
      <c r="K39" s="572">
        <v>0</v>
      </c>
      <c r="L39" s="572">
        <v>0</v>
      </c>
      <c r="M39" s="572">
        <v>0</v>
      </c>
      <c r="N39" s="572">
        <v>0</v>
      </c>
      <c r="O39" s="572">
        <v>0</v>
      </c>
      <c r="P39" s="572">
        <v>0</v>
      </c>
      <c r="Q39" s="572">
        <v>0</v>
      </c>
      <c r="R39" s="572">
        <v>0</v>
      </c>
      <c r="S39" s="572">
        <v>0</v>
      </c>
      <c r="T39" s="572">
        <v>0</v>
      </c>
      <c r="U39" s="572">
        <v>0</v>
      </c>
      <c r="V39" s="572">
        <v>0</v>
      </c>
      <c r="W39" s="572">
        <v>0</v>
      </c>
      <c r="X39" s="572">
        <v>0</v>
      </c>
      <c r="Y39" s="572">
        <v>0</v>
      </c>
      <c r="Z39" s="572">
        <v>0</v>
      </c>
      <c r="AA39" s="572">
        <v>0</v>
      </c>
      <c r="AB39" s="572">
        <v>1.523528526884633E-6</v>
      </c>
      <c r="AC39" s="572">
        <v>3.2237108793935251E-6</v>
      </c>
      <c r="AD39" s="572">
        <v>5.0962719585663457E-6</v>
      </c>
      <c r="AE39" s="572">
        <v>7.1340259977809101E-6</v>
      </c>
      <c r="AF39" s="572">
        <v>3.0981277435455008E-5</v>
      </c>
      <c r="AG39" s="572">
        <v>5.3825890558261311E-5</v>
      </c>
      <c r="AH39" s="572">
        <v>7.7459099645844288E-5</v>
      </c>
      <c r="AI39" s="572">
        <v>7.8820126649919956E-5</v>
      </c>
      <c r="AJ39" s="572">
        <v>8.1167198036158033E-5</v>
      </c>
      <c r="AK39" s="572">
        <v>8.2686298925479829E-5</v>
      </c>
      <c r="AL39" s="572">
        <v>8.3900525145747193E-5</v>
      </c>
      <c r="AM39" s="572"/>
    </row>
    <row r="40" spans="1:39" ht="15.75" customHeight="1" x14ac:dyDescent="0.25">
      <c r="A40" s="3"/>
      <c r="B40" s="3" t="s">
        <v>2074</v>
      </c>
      <c r="C40" s="3" t="s">
        <v>2070</v>
      </c>
      <c r="D40" s="3" t="s">
        <v>2079</v>
      </c>
      <c r="E40" s="3">
        <v>1</v>
      </c>
      <c r="F40" s="572">
        <v>4.3648724486724348E-3</v>
      </c>
      <c r="G40" s="572">
        <v>9.5683674503027998E-3</v>
      </c>
      <c r="H40" s="572">
        <v>9.5453743608877092E-3</v>
      </c>
      <c r="I40" s="572">
        <v>9.5139138736681089E-3</v>
      </c>
      <c r="J40" s="572">
        <v>1.0107704279922631E-2</v>
      </c>
      <c r="K40" s="572">
        <v>1.0520308331058889E-2</v>
      </c>
      <c r="L40" s="572">
        <v>1.2057932046140149E-2</v>
      </c>
      <c r="M40" s="572">
        <v>1.9444489336563741E-2</v>
      </c>
      <c r="N40" s="572">
        <v>3.008402199180911E-2</v>
      </c>
      <c r="O40" s="572">
        <v>3.0885198370937401E-2</v>
      </c>
      <c r="P40" s="572">
        <v>3.1240976020694079E-2</v>
      </c>
      <c r="Q40" s="572">
        <v>3.3911006680485682E-2</v>
      </c>
      <c r="R40" s="572">
        <v>3.6580625513052897E-2</v>
      </c>
      <c r="S40" s="572">
        <v>3.9440624177236733E-2</v>
      </c>
      <c r="T40" s="572">
        <v>4.2182533172040071E-2</v>
      </c>
      <c r="U40" s="572">
        <v>4.5118501889945067E-2</v>
      </c>
      <c r="V40" s="572">
        <v>4.6050005937018718E-2</v>
      </c>
      <c r="W40" s="572">
        <v>4.7224581709256683E-2</v>
      </c>
      <c r="X40" s="572">
        <v>4.7999630120141003E-2</v>
      </c>
      <c r="Y40" s="572">
        <v>5.178273658692617E-2</v>
      </c>
      <c r="Z40" s="572">
        <v>5.5729975068369832E-2</v>
      </c>
      <c r="AA40" s="572">
        <v>5.9524885764521099E-2</v>
      </c>
      <c r="AB40" s="572">
        <v>6.3288341173936155E-2</v>
      </c>
      <c r="AC40" s="572">
        <v>6.6954017746373162E-2</v>
      </c>
      <c r="AD40" s="572">
        <v>7.0565652555116085E-2</v>
      </c>
      <c r="AE40" s="572">
        <v>7.4085253410499041E-2</v>
      </c>
      <c r="AF40" s="572">
        <v>7.5274864478494311E-2</v>
      </c>
      <c r="AG40" s="572">
        <v>7.6589818447135055E-2</v>
      </c>
      <c r="AH40" s="572">
        <v>7.7927421294727184E-2</v>
      </c>
      <c r="AI40" s="572">
        <v>7.9296614718906686E-2</v>
      </c>
      <c r="AJ40" s="572">
        <v>8.1658048068623479E-2</v>
      </c>
      <c r="AK40" s="572">
        <v>8.3186104558537352E-2</v>
      </c>
      <c r="AL40" s="572">
        <v>8.4407861900018297E-2</v>
      </c>
      <c r="AM40" s="572"/>
    </row>
    <row r="41" spans="1:39" ht="15.75" customHeight="1" x14ac:dyDescent="0.25">
      <c r="A41" s="3"/>
      <c r="B41" s="3" t="s">
        <v>2069</v>
      </c>
      <c r="C41" s="3" t="s">
        <v>2070</v>
      </c>
      <c r="D41" s="3" t="s">
        <v>2079</v>
      </c>
      <c r="E41" s="3">
        <v>1</v>
      </c>
      <c r="F41" s="572">
        <v>0</v>
      </c>
      <c r="G41" s="572">
        <v>0</v>
      </c>
      <c r="H41" s="572">
        <v>0</v>
      </c>
      <c r="I41" s="572">
        <v>0</v>
      </c>
      <c r="J41" s="572">
        <v>0</v>
      </c>
      <c r="K41" s="572">
        <v>0</v>
      </c>
      <c r="L41" s="572">
        <v>0</v>
      </c>
      <c r="M41" s="572">
        <v>0</v>
      </c>
      <c r="N41" s="572">
        <v>0</v>
      </c>
      <c r="O41" s="572">
        <v>0</v>
      </c>
      <c r="P41" s="572">
        <v>0</v>
      </c>
      <c r="Q41" s="572">
        <v>0</v>
      </c>
      <c r="R41" s="572">
        <v>0</v>
      </c>
      <c r="S41" s="572">
        <v>0</v>
      </c>
      <c r="T41" s="572">
        <v>0</v>
      </c>
      <c r="U41" s="572">
        <v>0</v>
      </c>
      <c r="V41" s="572">
        <v>0</v>
      </c>
      <c r="W41" s="572">
        <v>0</v>
      </c>
      <c r="X41" s="572">
        <v>0</v>
      </c>
      <c r="Y41" s="572">
        <v>0</v>
      </c>
      <c r="Z41" s="572">
        <v>0</v>
      </c>
      <c r="AA41" s="572">
        <v>0</v>
      </c>
      <c r="AB41" s="572">
        <v>0</v>
      </c>
      <c r="AC41" s="572">
        <v>0</v>
      </c>
      <c r="AD41" s="572">
        <v>0</v>
      </c>
      <c r="AE41" s="572">
        <v>0</v>
      </c>
      <c r="AF41" s="572">
        <v>1.837811649006389E-9</v>
      </c>
      <c r="AG41" s="572">
        <v>3.3548487860255717E-8</v>
      </c>
      <c r="AH41" s="572">
        <v>1.5287883946192849E-7</v>
      </c>
      <c r="AI41" s="572">
        <v>3.4863085126651911E-7</v>
      </c>
      <c r="AJ41" s="572">
        <v>6.3045809933052166E-7</v>
      </c>
      <c r="AK41" s="572">
        <v>8.94183351561074E-7</v>
      </c>
      <c r="AL41" s="572">
        <v>1.157060582292733E-6</v>
      </c>
      <c r="AM41" s="572"/>
    </row>
    <row r="42" spans="1:39" ht="15.75" customHeight="1" x14ac:dyDescent="0.25">
      <c r="A42" s="3"/>
      <c r="B42" s="3" t="s">
        <v>2069</v>
      </c>
      <c r="C42" s="3" t="s">
        <v>2070</v>
      </c>
      <c r="D42" s="3" t="s">
        <v>2079</v>
      </c>
      <c r="E42" s="3">
        <v>1</v>
      </c>
      <c r="F42" s="572">
        <v>0</v>
      </c>
      <c r="G42" s="572">
        <v>0</v>
      </c>
      <c r="H42" s="572">
        <v>0</v>
      </c>
      <c r="I42" s="572">
        <v>0</v>
      </c>
      <c r="J42" s="572">
        <v>0</v>
      </c>
      <c r="K42" s="572">
        <v>0</v>
      </c>
      <c r="L42" s="572">
        <v>0</v>
      </c>
      <c r="M42" s="572">
        <v>0</v>
      </c>
      <c r="N42" s="572">
        <v>0</v>
      </c>
      <c r="O42" s="572">
        <v>0</v>
      </c>
      <c r="P42" s="572">
        <v>0</v>
      </c>
      <c r="Q42" s="572">
        <v>0</v>
      </c>
      <c r="R42" s="572">
        <v>0</v>
      </c>
      <c r="S42" s="572">
        <v>0</v>
      </c>
      <c r="T42" s="572">
        <v>0</v>
      </c>
      <c r="U42" s="572">
        <v>0</v>
      </c>
      <c r="V42" s="572">
        <v>0</v>
      </c>
      <c r="W42" s="572">
        <v>0</v>
      </c>
      <c r="X42" s="572">
        <v>0</v>
      </c>
      <c r="Y42" s="572">
        <v>0</v>
      </c>
      <c r="Z42" s="572">
        <v>0</v>
      </c>
      <c r="AA42" s="572">
        <v>0</v>
      </c>
      <c r="AB42" s="572">
        <v>0</v>
      </c>
      <c r="AC42" s="572">
        <v>0</v>
      </c>
      <c r="AD42" s="572">
        <v>0</v>
      </c>
      <c r="AE42" s="572">
        <v>0</v>
      </c>
      <c r="AF42" s="572">
        <v>2.8780130423440061E-9</v>
      </c>
      <c r="AG42" s="572">
        <v>1.329106759491005E-8</v>
      </c>
      <c r="AH42" s="572">
        <v>1.081855519445896E-7</v>
      </c>
      <c r="AI42" s="572">
        <v>2.7675743605277213E-7</v>
      </c>
      <c r="AJ42" s="572">
        <v>5.2428770295947707E-7</v>
      </c>
      <c r="AK42" s="572">
        <v>8.5171286149556869E-7</v>
      </c>
      <c r="AL42" s="572">
        <v>1.245244592194182E-6</v>
      </c>
      <c r="AM42" s="572"/>
    </row>
    <row r="43" spans="1:39" ht="15.75" customHeight="1" x14ac:dyDescent="0.25">
      <c r="A43" s="3"/>
      <c r="B43" s="3" t="s">
        <v>2069</v>
      </c>
      <c r="C43" s="3" t="s">
        <v>2070</v>
      </c>
      <c r="D43" s="3" t="s">
        <v>2079</v>
      </c>
      <c r="E43" s="3">
        <v>1</v>
      </c>
      <c r="F43" s="572">
        <v>0</v>
      </c>
      <c r="G43" s="572">
        <v>0</v>
      </c>
      <c r="H43" s="572">
        <v>0</v>
      </c>
      <c r="I43" s="572">
        <v>0</v>
      </c>
      <c r="J43" s="572">
        <v>0</v>
      </c>
      <c r="K43" s="572">
        <v>0</v>
      </c>
      <c r="L43" s="572">
        <v>0</v>
      </c>
      <c r="M43" s="572">
        <v>0</v>
      </c>
      <c r="N43" s="572">
        <v>0</v>
      </c>
      <c r="O43" s="572">
        <v>0</v>
      </c>
      <c r="P43" s="572">
        <v>0</v>
      </c>
      <c r="Q43" s="572">
        <v>0</v>
      </c>
      <c r="R43" s="572">
        <v>0</v>
      </c>
      <c r="S43" s="572">
        <v>0</v>
      </c>
      <c r="T43" s="572">
        <v>0</v>
      </c>
      <c r="U43" s="572">
        <v>0</v>
      </c>
      <c r="V43" s="572">
        <v>0</v>
      </c>
      <c r="W43" s="572">
        <v>0</v>
      </c>
      <c r="X43" s="572">
        <v>0</v>
      </c>
      <c r="Y43" s="572">
        <v>0</v>
      </c>
      <c r="Z43" s="572">
        <v>0</v>
      </c>
      <c r="AA43" s="572">
        <v>0</v>
      </c>
      <c r="AB43" s="572">
        <v>3.5934897776974939E-8</v>
      </c>
      <c r="AC43" s="572">
        <v>1.081235443123029E-7</v>
      </c>
      <c r="AD43" s="572">
        <v>2.1728362971499169E-7</v>
      </c>
      <c r="AE43" s="572">
        <v>3.6382278027371352E-7</v>
      </c>
      <c r="AF43" s="572">
        <v>2.9783796121195421E-6</v>
      </c>
      <c r="AG43" s="572">
        <v>8.0795574946641974E-6</v>
      </c>
      <c r="AH43" s="572">
        <v>1.579157949094636E-5</v>
      </c>
      <c r="AI43" s="572">
        <v>2.6157024609814709E-5</v>
      </c>
      <c r="AJ43" s="572">
        <v>3.9695991371043653E-5</v>
      </c>
      <c r="AK43" s="572">
        <v>5.5681906155286187E-5</v>
      </c>
      <c r="AL43" s="572">
        <v>7.1690241774407298E-5</v>
      </c>
      <c r="AM43" s="572"/>
    </row>
    <row r="44" spans="1:39" ht="15.75" customHeight="1" x14ac:dyDescent="0.25">
      <c r="A44" s="3"/>
      <c r="B44" s="3" t="s">
        <v>2069</v>
      </c>
      <c r="C44" s="3" t="s">
        <v>2070</v>
      </c>
      <c r="D44" s="3" t="s">
        <v>2079</v>
      </c>
      <c r="E44" s="3">
        <v>1</v>
      </c>
      <c r="F44" s="572">
        <v>2.9031034812594149E-4</v>
      </c>
      <c r="G44" s="572">
        <v>2.975197106017375E-4</v>
      </c>
      <c r="H44" s="572">
        <v>3.0069812787212409E-4</v>
      </c>
      <c r="I44" s="572">
        <v>4.0259192689320043E-4</v>
      </c>
      <c r="J44" s="572">
        <v>4.8785626605673231E-4</v>
      </c>
      <c r="K44" s="572">
        <v>5.5906053893379094E-4</v>
      </c>
      <c r="L44" s="572">
        <v>6.0869327819823148E-4</v>
      </c>
      <c r="M44" s="572">
        <v>6.4399197937944983E-4</v>
      </c>
      <c r="N44" s="572">
        <v>5.9664645311106163E-4</v>
      </c>
      <c r="O44" s="572">
        <v>5.4598996820866687E-4</v>
      </c>
      <c r="P44" s="572">
        <v>4.965886885352341E-4</v>
      </c>
      <c r="Q44" s="572">
        <v>4.4894016121761591E-4</v>
      </c>
      <c r="R44" s="572">
        <v>4.019718012339951E-4</v>
      </c>
      <c r="S44" s="572">
        <v>3.5480494049047669E-4</v>
      </c>
      <c r="T44" s="572">
        <v>3.066052203031383E-4</v>
      </c>
      <c r="U44" s="572">
        <v>2.6444229335435311E-4</v>
      </c>
      <c r="V44" s="572">
        <v>2.2512721406746909E-4</v>
      </c>
      <c r="W44" s="572">
        <v>1.846163882354533E-4</v>
      </c>
      <c r="X44" s="572">
        <v>1.496261537615266E-4</v>
      </c>
      <c r="Y44" s="572">
        <v>1.2706510728246339E-4</v>
      </c>
      <c r="Z44" s="572">
        <v>1.109045810518742E-4</v>
      </c>
      <c r="AA44" s="572">
        <v>1.011116372031662E-4</v>
      </c>
      <c r="AB44" s="572">
        <v>9.4949561573279362E-5</v>
      </c>
      <c r="AC44" s="572">
        <v>8.6786595895018434E-5</v>
      </c>
      <c r="AD44" s="572">
        <v>7.8163734143732477E-5</v>
      </c>
      <c r="AE44" s="572">
        <v>6.802027379099758E-5</v>
      </c>
      <c r="AF44" s="572">
        <v>5.7444225094985153E-5</v>
      </c>
      <c r="AG44" s="572">
        <v>4.6441875713221852E-5</v>
      </c>
      <c r="AH44" s="572">
        <v>3.4686603080358377E-5</v>
      </c>
      <c r="AI44" s="572">
        <v>2.2091812105766158E-5</v>
      </c>
      <c r="AJ44" s="572">
        <v>1.13368522331657E-5</v>
      </c>
      <c r="AK44" s="572">
        <v>4.5970001054348693E-6</v>
      </c>
      <c r="AL44" s="572">
        <v>3.4404609924016349E-6</v>
      </c>
      <c r="AM44" s="572"/>
    </row>
    <row r="45" spans="1:39" ht="15.75" customHeight="1" x14ac:dyDescent="0.25">
      <c r="A45" s="3"/>
      <c r="B45" s="3" t="s">
        <v>2069</v>
      </c>
      <c r="C45" s="3" t="s">
        <v>2070</v>
      </c>
      <c r="D45" s="3" t="s">
        <v>2079</v>
      </c>
      <c r="E45" s="3">
        <v>1</v>
      </c>
      <c r="F45" s="572">
        <v>0</v>
      </c>
      <c r="G45" s="572">
        <v>0</v>
      </c>
      <c r="H45" s="572">
        <v>0</v>
      </c>
      <c r="I45" s="572">
        <v>0</v>
      </c>
      <c r="J45" s="572">
        <v>0</v>
      </c>
      <c r="K45" s="572">
        <v>0</v>
      </c>
      <c r="L45" s="572">
        <v>0</v>
      </c>
      <c r="M45" s="572">
        <v>0</v>
      </c>
      <c r="N45" s="572">
        <v>0</v>
      </c>
      <c r="O45" s="572">
        <v>0</v>
      </c>
      <c r="P45" s="572">
        <v>0</v>
      </c>
      <c r="Q45" s="572">
        <v>0</v>
      </c>
      <c r="R45" s="572">
        <v>0</v>
      </c>
      <c r="S45" s="572">
        <v>0</v>
      </c>
      <c r="T45" s="572">
        <v>0</v>
      </c>
      <c r="U45" s="572">
        <v>0</v>
      </c>
      <c r="V45" s="572">
        <v>0</v>
      </c>
      <c r="W45" s="572">
        <v>0</v>
      </c>
      <c r="X45" s="572">
        <v>0</v>
      </c>
      <c r="Y45" s="572">
        <v>0</v>
      </c>
      <c r="Z45" s="572">
        <v>0</v>
      </c>
      <c r="AA45" s="572">
        <v>0</v>
      </c>
      <c r="AB45" s="572">
        <v>0</v>
      </c>
      <c r="AC45" s="572">
        <v>0</v>
      </c>
      <c r="AD45" s="572">
        <v>0</v>
      </c>
      <c r="AE45" s="572">
        <v>0</v>
      </c>
      <c r="AF45" s="572">
        <v>0</v>
      </c>
      <c r="AG45" s="572">
        <v>8.4905173046988157E-9</v>
      </c>
      <c r="AH45" s="572">
        <v>1.685686704046971E-7</v>
      </c>
      <c r="AI45" s="572">
        <v>4.5217038298441959E-7</v>
      </c>
      <c r="AJ45" s="572">
        <v>8.7586377635774505E-7</v>
      </c>
      <c r="AK45" s="572">
        <v>1.269677816048749E-6</v>
      </c>
      <c r="AL45" s="572">
        <v>1.662761385020966E-6</v>
      </c>
      <c r="AM45" s="572"/>
    </row>
    <row r="46" spans="1:39" ht="15.75" customHeight="1" x14ac:dyDescent="0.25">
      <c r="A46" s="3"/>
      <c r="B46" s="3" t="s">
        <v>2080</v>
      </c>
      <c r="C46" s="3" t="s">
        <v>2070</v>
      </c>
      <c r="D46" s="3" t="s">
        <v>2079</v>
      </c>
      <c r="E46" s="3">
        <v>1</v>
      </c>
      <c r="F46" s="572">
        <v>0</v>
      </c>
      <c r="G46" s="572">
        <v>0</v>
      </c>
      <c r="H46" s="572">
        <v>0</v>
      </c>
      <c r="I46" s="572">
        <v>0</v>
      </c>
      <c r="J46" s="572">
        <v>0</v>
      </c>
      <c r="K46" s="572">
        <v>1.170882409104034E-2</v>
      </c>
      <c r="L46" s="572">
        <v>2.3805778997884171E-2</v>
      </c>
      <c r="M46" s="572">
        <v>2.4205965421110219E-2</v>
      </c>
      <c r="N46" s="572">
        <v>2.4627055109842449E-2</v>
      </c>
      <c r="O46" s="572">
        <v>2.5071957605381841E-2</v>
      </c>
      <c r="P46" s="572">
        <v>2.5563650023576429E-2</v>
      </c>
      <c r="Q46" s="572">
        <v>2.6130624026393531E-2</v>
      </c>
      <c r="R46" s="572">
        <v>2.67332536599886E-2</v>
      </c>
      <c r="S46" s="572">
        <v>2.731530386864716E-2</v>
      </c>
      <c r="T46" s="572">
        <v>2.7862991047383129E-2</v>
      </c>
      <c r="U46" s="572">
        <v>2.8394561883881779E-2</v>
      </c>
      <c r="V46" s="572">
        <v>2.8869316750085989E-2</v>
      </c>
      <c r="W46" s="572">
        <v>2.9308975968077071E-2</v>
      </c>
      <c r="X46" s="572">
        <v>2.9785157542538639E-2</v>
      </c>
      <c r="Y46" s="572">
        <v>3.0362264191720709E-2</v>
      </c>
      <c r="Z46" s="572">
        <v>3.103227403626806E-2</v>
      </c>
      <c r="AA46" s="572">
        <v>3.1710293425038373E-2</v>
      </c>
      <c r="AB46" s="572">
        <v>3.2380473308252521E-2</v>
      </c>
      <c r="AC46" s="572">
        <v>3.3012349052362798E-2</v>
      </c>
      <c r="AD46" s="572">
        <v>3.3632343709609977E-2</v>
      </c>
      <c r="AE46" s="572">
        <v>3.42254472906625E-2</v>
      </c>
      <c r="AF46" s="572">
        <v>3.4775136345906607E-2</v>
      </c>
      <c r="AG46" s="572">
        <v>3.5382737684634943E-2</v>
      </c>
      <c r="AH46" s="572">
        <v>3.6000552816871603E-2</v>
      </c>
      <c r="AI46" s="572">
        <v>3.6633303426304963E-2</v>
      </c>
      <c r="AJ46" s="572">
        <v>3.7724242229892728E-2</v>
      </c>
      <c r="AK46" s="572">
        <v>3.8430274994460813E-2</v>
      </c>
      <c r="AL46" s="572">
        <v>3.8994606853582803E-2</v>
      </c>
      <c r="AM46" s="572"/>
    </row>
    <row r="47" spans="1:39" ht="15.75" customHeight="1" x14ac:dyDescent="0.25">
      <c r="A47" s="3"/>
      <c r="B47" s="3" t="s">
        <v>2066</v>
      </c>
      <c r="C47" s="3" t="s">
        <v>2081</v>
      </c>
      <c r="D47" s="3" t="s">
        <v>2082</v>
      </c>
      <c r="E47" s="3">
        <v>1</v>
      </c>
      <c r="F47" s="572">
        <v>0</v>
      </c>
      <c r="G47" s="572">
        <v>0</v>
      </c>
      <c r="H47" s="572">
        <v>0</v>
      </c>
      <c r="I47" s="572">
        <v>0</v>
      </c>
      <c r="J47" s="572">
        <v>1.730075103327022E-6</v>
      </c>
      <c r="K47" s="572">
        <v>1.8982374997809811E-5</v>
      </c>
      <c r="L47" s="572">
        <v>4.6437387530386493E-5</v>
      </c>
      <c r="M47" s="572">
        <v>8.7441359123456103E-5</v>
      </c>
      <c r="N47" s="572">
        <v>1.4194214505537371E-4</v>
      </c>
      <c r="O47" s="572">
        <v>2.1507209919800421E-4</v>
      </c>
      <c r="P47" s="572">
        <v>2.8324089609362658E-4</v>
      </c>
      <c r="Q47" s="572">
        <v>3.5053158270654779E-4</v>
      </c>
      <c r="R47" s="572">
        <v>4.1332150691218369E-4</v>
      </c>
      <c r="S47" s="572">
        <v>4.140409753710037E-4</v>
      </c>
      <c r="T47" s="572">
        <v>4.140615909845461E-4</v>
      </c>
      <c r="U47" s="572">
        <v>4.1368498955670361E-4</v>
      </c>
      <c r="V47" s="572">
        <v>4.1235756975534021E-4</v>
      </c>
      <c r="W47" s="572">
        <v>4.1043121464390991E-4</v>
      </c>
      <c r="X47" s="572">
        <v>4.08921719024073E-4</v>
      </c>
      <c r="Y47" s="572">
        <v>4.0866952997223088E-4</v>
      </c>
      <c r="Z47" s="572">
        <v>4.0949655637933401E-4</v>
      </c>
      <c r="AA47" s="572">
        <v>4.102413353428481E-4</v>
      </c>
      <c r="AB47" s="572">
        <v>4.1069513067581867E-4</v>
      </c>
      <c r="AC47" s="572">
        <v>4.1049918227609259E-4</v>
      </c>
      <c r="AD47" s="572">
        <v>4.1000958621623801E-4</v>
      </c>
      <c r="AE47" s="572">
        <v>4.0906078520429898E-4</v>
      </c>
      <c r="AF47" s="572">
        <v>4.0747959881769658E-4</v>
      </c>
      <c r="AG47" s="572">
        <v>4.0646834581289058E-4</v>
      </c>
      <c r="AH47" s="572">
        <v>4.0545808953945921E-4</v>
      </c>
      <c r="AI47" s="572">
        <v>4.0449205830880489E-4</v>
      </c>
      <c r="AJ47" s="572">
        <v>4.0837034701596048E-4</v>
      </c>
      <c r="AK47" s="572">
        <v>4.0785503540037322E-4</v>
      </c>
      <c r="AL47" s="572">
        <v>4.0573062202426801E-4</v>
      </c>
      <c r="AM47" s="572"/>
    </row>
    <row r="48" spans="1:39" ht="15.75" customHeight="1" x14ac:dyDescent="0.25">
      <c r="A48" s="3"/>
      <c r="B48" s="3" t="s">
        <v>2080</v>
      </c>
      <c r="C48" s="3" t="s">
        <v>2081</v>
      </c>
      <c r="D48" s="3" t="s">
        <v>2082</v>
      </c>
      <c r="E48" s="3">
        <v>1</v>
      </c>
      <c r="F48" s="572">
        <v>0</v>
      </c>
      <c r="G48" s="572">
        <v>0</v>
      </c>
      <c r="H48" s="572">
        <v>0</v>
      </c>
      <c r="I48" s="572">
        <v>0</v>
      </c>
      <c r="J48" s="572">
        <v>0</v>
      </c>
      <c r="K48" s="572">
        <v>8.4467123263104963E-3</v>
      </c>
      <c r="L48" s="572">
        <v>2.0301661219126362E-2</v>
      </c>
      <c r="M48" s="572">
        <v>2.3824866830930491E-2</v>
      </c>
      <c r="N48" s="572">
        <v>2.4238786833933049E-2</v>
      </c>
      <c r="O48" s="572">
        <v>2.4677380454446372E-2</v>
      </c>
      <c r="P48" s="572">
        <v>1.9499651982604109E-2</v>
      </c>
      <c r="Q48" s="572">
        <v>1.414579309142471E-2</v>
      </c>
      <c r="R48" s="572">
        <v>8.5523922488350921E-3</v>
      </c>
      <c r="S48" s="572">
        <v>2.6883531885423242E-3</v>
      </c>
      <c r="T48" s="572">
        <v>2.743143100290983E-3</v>
      </c>
      <c r="U48" s="572">
        <v>2.2359084093005548E-3</v>
      </c>
      <c r="V48" s="572">
        <v>1.70354709556809E-3</v>
      </c>
      <c r="W48" s="572">
        <v>1.1538204020262769E-3</v>
      </c>
      <c r="X48" s="572">
        <v>5.8645925518091644E-4</v>
      </c>
      <c r="Y48" s="572">
        <v>0</v>
      </c>
      <c r="Z48" s="572">
        <v>0</v>
      </c>
      <c r="AA48" s="572">
        <v>0</v>
      </c>
      <c r="AB48" s="572">
        <v>0</v>
      </c>
      <c r="AC48" s="572">
        <v>0</v>
      </c>
      <c r="AD48" s="572">
        <v>0</v>
      </c>
      <c r="AE48" s="572">
        <v>0</v>
      </c>
      <c r="AF48" s="572">
        <v>0</v>
      </c>
      <c r="AG48" s="572">
        <v>0</v>
      </c>
      <c r="AH48" s="572">
        <v>0</v>
      </c>
      <c r="AI48" s="572">
        <v>0</v>
      </c>
      <c r="AJ48" s="572">
        <v>0</v>
      </c>
      <c r="AK48" s="572">
        <v>0</v>
      </c>
      <c r="AL48" s="572">
        <v>0</v>
      </c>
      <c r="AM48" s="572"/>
    </row>
    <row r="49" spans="1:39" ht="15.75" customHeight="1" x14ac:dyDescent="0.25">
      <c r="A49" s="3"/>
      <c r="B49" s="3" t="s">
        <v>2066</v>
      </c>
      <c r="C49" s="3" t="s">
        <v>2081</v>
      </c>
      <c r="D49" s="3" t="s">
        <v>2083</v>
      </c>
      <c r="E49" s="3">
        <v>6630</v>
      </c>
      <c r="F49" s="572">
        <v>0</v>
      </c>
      <c r="G49" s="572">
        <v>0</v>
      </c>
      <c r="H49" s="572">
        <v>0</v>
      </c>
      <c r="I49" s="572">
        <v>0</v>
      </c>
      <c r="J49" s="572">
        <v>4.4884165832836251E-7</v>
      </c>
      <c r="K49" s="572">
        <v>1.4425854706833569E-6</v>
      </c>
      <c r="L49" s="572">
        <v>1.303903514699833E-5</v>
      </c>
      <c r="M49" s="572">
        <v>3.5782524872607343E-5</v>
      </c>
      <c r="N49" s="572">
        <v>7.034657170195606E-5</v>
      </c>
      <c r="O49" s="572">
        <v>1.1730201498121869E-4</v>
      </c>
      <c r="P49" s="572">
        <v>1.77164732379384E-4</v>
      </c>
      <c r="Q49" s="572">
        <v>2.3890872183542661E-4</v>
      </c>
      <c r="R49" s="572">
        <v>2.9247235308203383E-4</v>
      </c>
      <c r="S49" s="572">
        <v>3.3651268041300341E-4</v>
      </c>
      <c r="T49" s="572">
        <v>3.7015761635671358E-4</v>
      </c>
      <c r="U49" s="572">
        <v>3.9282960897999531E-4</v>
      </c>
      <c r="V49" s="572">
        <v>4.033571200107217E-4</v>
      </c>
      <c r="W49" s="572">
        <v>4.1350030420114872E-4</v>
      </c>
      <c r="X49" s="572">
        <v>4.2435406911593812E-4</v>
      </c>
      <c r="Y49" s="572">
        <v>4.3680144684259792E-4</v>
      </c>
      <c r="Z49" s="572">
        <v>4.508120476563058E-4</v>
      </c>
      <c r="AA49" s="572">
        <v>4.6517504069101248E-4</v>
      </c>
      <c r="AB49" s="572">
        <v>4.7968976394474697E-4</v>
      </c>
      <c r="AC49" s="572">
        <v>4.9384717915311894E-4</v>
      </c>
      <c r="AD49" s="572">
        <v>5.0801962985677228E-4</v>
      </c>
      <c r="AE49" s="572">
        <v>5.2206059846655298E-4</v>
      </c>
      <c r="AF49" s="572">
        <v>5.3563902659882739E-4</v>
      </c>
      <c r="AG49" s="572">
        <v>5.5035359376891116E-4</v>
      </c>
      <c r="AH49" s="572">
        <v>5.6542619143398667E-4</v>
      </c>
      <c r="AI49" s="572">
        <v>5.8101252390705045E-4</v>
      </c>
      <c r="AJ49" s="572">
        <v>5.4511363290616125E-4</v>
      </c>
      <c r="AK49" s="572">
        <v>5.0178884012394391E-4</v>
      </c>
      <c r="AL49" s="572">
        <v>4.5545000749478819E-4</v>
      </c>
      <c r="AM49" s="572"/>
    </row>
    <row r="50" spans="1:39" ht="15.75" customHeight="1" x14ac:dyDescent="0.25">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row>
    <row r="51" spans="1:39" ht="15.75" customHeight="1" x14ac:dyDescent="0.25">
      <c r="A51" s="3"/>
      <c r="B51" s="2140" t="s">
        <v>2084</v>
      </c>
      <c r="C51" s="2138"/>
      <c r="D51" s="2138"/>
      <c r="E51" s="2138"/>
      <c r="F51" s="2138"/>
      <c r="G51" s="2138"/>
      <c r="H51" s="2138"/>
      <c r="I51" s="2138"/>
      <c r="J51" s="2138"/>
      <c r="K51" s="2138"/>
      <c r="L51" s="2138"/>
      <c r="M51" s="2138"/>
      <c r="N51" s="2138"/>
      <c r="O51" s="2138"/>
      <c r="P51" s="2138"/>
      <c r="Q51" s="2138"/>
      <c r="R51" s="2138"/>
      <c r="S51" s="2138"/>
      <c r="T51" s="2138"/>
      <c r="U51" s="2138"/>
      <c r="V51" s="2138"/>
      <c r="W51" s="2138"/>
      <c r="X51" s="2138"/>
      <c r="Y51" s="2138"/>
      <c r="Z51" s="2138"/>
      <c r="AA51" s="2138"/>
      <c r="AB51" s="2138"/>
      <c r="AC51" s="2138"/>
      <c r="AD51" s="2138"/>
      <c r="AE51" s="2138"/>
      <c r="AF51" s="2138"/>
      <c r="AG51" s="2138"/>
      <c r="AH51" s="2138"/>
      <c r="AI51" s="2138"/>
      <c r="AJ51" s="2138"/>
      <c r="AK51" s="2138"/>
      <c r="AL51" s="2138"/>
      <c r="AM51" s="2139"/>
    </row>
    <row r="52" spans="1:39" ht="15.75" customHeight="1" x14ac:dyDescent="0.25">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row>
    <row r="53" spans="1:39" ht="15.75" customHeight="1" x14ac:dyDescent="0.25">
      <c r="A53" s="3"/>
      <c r="B53" s="60" t="s">
        <v>2015</v>
      </c>
      <c r="C53" s="3" t="s">
        <v>2016</v>
      </c>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row>
    <row r="54" spans="1:39" ht="15.75" customHeight="1" x14ac:dyDescent="0.25">
      <c r="A54" s="3"/>
      <c r="B54" s="60" t="s">
        <v>2017</v>
      </c>
      <c r="C54" s="3" t="s">
        <v>2085</v>
      </c>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row>
    <row r="55" spans="1:39" ht="15.75" customHeight="1" x14ac:dyDescent="0.25">
      <c r="A55" s="3"/>
      <c r="B55" s="60" t="s">
        <v>2019</v>
      </c>
      <c r="C55" s="3" t="s">
        <v>2086</v>
      </c>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row>
    <row r="56" spans="1:39" ht="15.75" customHeight="1" x14ac:dyDescent="0.25">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row>
    <row r="57" spans="1:39" ht="15.75" customHeight="1" x14ac:dyDescent="0.25">
      <c r="A57" s="3"/>
      <c r="B57" s="3" t="s">
        <v>2087</v>
      </c>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row>
    <row r="58" spans="1:39" ht="15.75" customHeight="1" x14ac:dyDescent="0.25">
      <c r="A58" s="3"/>
      <c r="B58" s="3" t="s">
        <v>2088</v>
      </c>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row>
    <row r="59" spans="1:39" ht="15.75" customHeight="1" x14ac:dyDescent="0.25">
      <c r="A59" s="3"/>
      <c r="B59" s="3" t="s">
        <v>2089</v>
      </c>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row>
    <row r="60" spans="1:39" ht="15.75" customHeight="1" x14ac:dyDescent="0.25">
      <c r="A60" s="3"/>
      <c r="B60" s="3" t="s">
        <v>2090</v>
      </c>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row>
    <row r="61" spans="1:39" ht="15.75" customHeight="1" x14ac:dyDescent="0.25">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row>
    <row r="62" spans="1:39" ht="15.75" customHeight="1" x14ac:dyDescent="0.25">
      <c r="A62" s="3"/>
      <c r="B62" s="60" t="s">
        <v>2019</v>
      </c>
      <c r="C62" s="3" t="s">
        <v>2091</v>
      </c>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row>
    <row r="63" spans="1:39" ht="15.75" customHeight="1" x14ac:dyDescent="0.25">
      <c r="A63" s="3"/>
      <c r="B63" s="60"/>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row>
    <row r="64" spans="1:39" ht="15.75" customHeight="1" x14ac:dyDescent="0.25">
      <c r="A64" s="3"/>
      <c r="B64" s="3" t="s">
        <v>2092</v>
      </c>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row>
    <row r="65" spans="1:39" ht="15.75" customHeight="1" x14ac:dyDescent="0.25">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row>
    <row r="66" spans="1:39" ht="15.75" customHeight="1" x14ac:dyDescent="0.25">
      <c r="A66" s="3"/>
      <c r="B66" s="2140" t="s">
        <v>2093</v>
      </c>
      <c r="C66" s="2138"/>
      <c r="D66" s="2138"/>
      <c r="E66" s="2138"/>
      <c r="F66" s="2138"/>
      <c r="G66" s="2138"/>
      <c r="H66" s="2138"/>
      <c r="I66" s="2138"/>
      <c r="J66" s="2138"/>
      <c r="K66" s="2138"/>
      <c r="L66" s="2138"/>
      <c r="M66" s="2138"/>
      <c r="N66" s="2138"/>
      <c r="O66" s="2138"/>
      <c r="P66" s="2138"/>
      <c r="Q66" s="2138"/>
      <c r="R66" s="2138"/>
      <c r="S66" s="2138"/>
      <c r="T66" s="2138"/>
      <c r="U66" s="2138"/>
      <c r="V66" s="2138"/>
      <c r="W66" s="2138"/>
      <c r="X66" s="2138"/>
      <c r="Y66" s="2138"/>
      <c r="Z66" s="2138"/>
      <c r="AA66" s="2138"/>
      <c r="AB66" s="2138"/>
      <c r="AC66" s="2138"/>
      <c r="AD66" s="2138"/>
      <c r="AE66" s="2138"/>
      <c r="AF66" s="2138"/>
      <c r="AG66" s="2138"/>
      <c r="AH66" s="2138"/>
      <c r="AI66" s="2138"/>
      <c r="AJ66" s="2138"/>
      <c r="AK66" s="2138"/>
      <c r="AL66" s="2138"/>
      <c r="AM66" s="2139"/>
    </row>
    <row r="67" spans="1:39" ht="15.75" customHeight="1" x14ac:dyDescent="0.25">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row>
    <row r="68" spans="1:39" ht="15.75" customHeight="1" x14ac:dyDescent="0.25">
      <c r="A68" s="3"/>
      <c r="B68" s="60" t="s">
        <v>2015</v>
      </c>
      <c r="C68" s="3" t="s">
        <v>2094</v>
      </c>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row>
    <row r="69" spans="1:39" ht="15.75" customHeight="1" x14ac:dyDescent="0.25">
      <c r="A69" s="3"/>
      <c r="B69" s="60" t="s">
        <v>2017</v>
      </c>
      <c r="C69" s="3" t="s">
        <v>2095</v>
      </c>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row>
    <row r="70" spans="1:39" ht="15.75" customHeight="1" x14ac:dyDescent="0.25">
      <c r="A70" s="3"/>
      <c r="B70" s="60" t="s">
        <v>2019</v>
      </c>
      <c r="C70" s="3" t="s">
        <v>2096</v>
      </c>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row>
    <row r="71" spans="1:39" ht="15.75" customHeight="1" x14ac:dyDescent="0.25">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row>
    <row r="72" spans="1:39" ht="15.75" customHeight="1" x14ac:dyDescent="0.25">
      <c r="A72" s="3"/>
      <c r="B72" s="60" t="s">
        <v>189</v>
      </c>
      <c r="C72" s="60" t="s">
        <v>2</v>
      </c>
      <c r="D72" s="60" t="s">
        <v>2139</v>
      </c>
      <c r="E72" s="60" t="s">
        <v>2140</v>
      </c>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row>
    <row r="73" spans="1:39" ht="15.75" customHeight="1" x14ac:dyDescent="0.25">
      <c r="A73" s="3"/>
      <c r="B73" s="3" t="s">
        <v>2067</v>
      </c>
      <c r="C73" s="3">
        <v>1</v>
      </c>
      <c r="D73" s="3">
        <v>1</v>
      </c>
      <c r="E73" s="1052">
        <f t="shared" ref="E73:E80" si="0">D73/C73</f>
        <v>1</v>
      </c>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row>
    <row r="74" spans="1:39" ht="15.75" customHeight="1" x14ac:dyDescent="0.25">
      <c r="A74" s="3"/>
      <c r="B74" s="3" t="s">
        <v>2071</v>
      </c>
      <c r="C74" s="3">
        <v>3170</v>
      </c>
      <c r="D74" s="3">
        <v>6740</v>
      </c>
      <c r="E74" s="1052">
        <f t="shared" si="0"/>
        <v>2.1261829652996846</v>
      </c>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row>
    <row r="75" spans="1:39" ht="15.75" customHeight="1" x14ac:dyDescent="0.25">
      <c r="A75" s="3"/>
      <c r="B75" s="3" t="s">
        <v>2072</v>
      </c>
      <c r="C75" s="3">
        <v>1300</v>
      </c>
      <c r="D75" s="3">
        <v>4140</v>
      </c>
      <c r="E75" s="1052">
        <f t="shared" si="0"/>
        <v>3.1846153846153844</v>
      </c>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row>
    <row r="76" spans="1:39" ht="15.75" customHeight="1" x14ac:dyDescent="0.25">
      <c r="A76" s="3"/>
      <c r="B76" s="3" t="s">
        <v>2075</v>
      </c>
      <c r="C76" s="3">
        <v>4800</v>
      </c>
      <c r="D76" s="3">
        <v>7840</v>
      </c>
      <c r="E76" s="1052">
        <f t="shared" si="0"/>
        <v>1.6333333333333333</v>
      </c>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row>
    <row r="77" spans="1:39" ht="15.75" customHeight="1" x14ac:dyDescent="0.25">
      <c r="A77" s="3"/>
      <c r="B77" s="3" t="s">
        <v>2076</v>
      </c>
      <c r="C77" s="3">
        <v>12400</v>
      </c>
      <c r="D77" s="3">
        <v>12400</v>
      </c>
      <c r="E77" s="1052">
        <f t="shared" si="0"/>
        <v>1</v>
      </c>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row>
    <row r="78" spans="1:39" ht="15.75" customHeight="1" x14ac:dyDescent="0.25">
      <c r="A78" s="3"/>
      <c r="B78" s="3" t="s">
        <v>2077</v>
      </c>
      <c r="C78" s="3">
        <v>8060</v>
      </c>
      <c r="D78" s="3">
        <v>7450</v>
      </c>
      <c r="E78" s="1052">
        <f t="shared" si="0"/>
        <v>0.92431761786600497</v>
      </c>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row>
    <row r="79" spans="1:39" ht="15.75" customHeight="1" x14ac:dyDescent="0.25">
      <c r="A79" s="3"/>
      <c r="B79" s="3" t="s">
        <v>2078</v>
      </c>
      <c r="C79" s="3">
        <v>677</v>
      </c>
      <c r="D79" s="3">
        <v>2690</v>
      </c>
      <c r="E79" s="1052">
        <f t="shared" si="0"/>
        <v>3.9734121122599704</v>
      </c>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row>
    <row r="80" spans="1:39" ht="15.75" customHeight="1" x14ac:dyDescent="0.25">
      <c r="A80" s="3"/>
      <c r="B80" s="3" t="s">
        <v>2083</v>
      </c>
      <c r="C80" s="3">
        <v>6630</v>
      </c>
      <c r="D80" s="3">
        <v>5300</v>
      </c>
      <c r="E80" s="1052">
        <f t="shared" si="0"/>
        <v>0.79939668174962297</v>
      </c>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row>
    <row r="81" spans="1:39" ht="15.75" customHeight="1" x14ac:dyDescent="0.25">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row>
    <row r="82" spans="1:39" ht="15.75" customHeight="1" x14ac:dyDescent="0.25">
      <c r="A82" s="3"/>
      <c r="B82" s="60" t="s">
        <v>189</v>
      </c>
      <c r="C82" s="60" t="s">
        <v>2</v>
      </c>
      <c r="D82" s="60" t="s">
        <v>2139</v>
      </c>
      <c r="E82" s="60" t="s">
        <v>2140</v>
      </c>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row>
    <row r="83" spans="1:39" ht="15.75" customHeight="1" x14ac:dyDescent="0.25">
      <c r="A83" s="3"/>
      <c r="B83" s="3" t="s">
        <v>2099</v>
      </c>
      <c r="C83" s="3">
        <v>138</v>
      </c>
      <c r="D83" s="3">
        <v>591</v>
      </c>
      <c r="E83" s="1052">
        <f t="shared" ref="E83:E87" si="1">D83/C83</f>
        <v>4.2826086956521738</v>
      </c>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row>
    <row r="84" spans="1:39" ht="15.75" customHeight="1" x14ac:dyDescent="0.25">
      <c r="A84" s="3"/>
      <c r="B84" s="3" t="s">
        <v>2100</v>
      </c>
      <c r="C84" s="3">
        <v>3350</v>
      </c>
      <c r="D84" s="3">
        <v>5850</v>
      </c>
      <c r="E84" s="1052">
        <f t="shared" si="1"/>
        <v>1.7462686567164178</v>
      </c>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row>
    <row r="85" spans="1:39" ht="15.75" customHeight="1" x14ac:dyDescent="0.25">
      <c r="A85" s="3"/>
      <c r="B85" s="3" t="s">
        <v>2101</v>
      </c>
      <c r="C85" s="3">
        <v>858</v>
      </c>
      <c r="D85" s="3">
        <v>3170</v>
      </c>
      <c r="E85" s="1052">
        <f t="shared" si="1"/>
        <v>3.6946386946386944</v>
      </c>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row>
    <row r="86" spans="1:39" ht="15.75" customHeight="1" x14ac:dyDescent="0.25">
      <c r="A86" s="3"/>
      <c r="B86" s="3" t="s">
        <v>2102</v>
      </c>
      <c r="C86" s="3">
        <v>804</v>
      </c>
      <c r="D86" s="3">
        <v>2920</v>
      </c>
      <c r="E86" s="1052">
        <f t="shared" si="1"/>
        <v>3.6318407960199006</v>
      </c>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row>
    <row r="87" spans="1:39" ht="15.75" customHeight="1" x14ac:dyDescent="0.25">
      <c r="A87" s="3"/>
      <c r="B87" s="3" t="s">
        <v>2103</v>
      </c>
      <c r="C87" s="3">
        <v>1650</v>
      </c>
      <c r="D87" s="3">
        <v>3960</v>
      </c>
      <c r="E87" s="1052">
        <f t="shared" si="1"/>
        <v>2.4</v>
      </c>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row>
    <row r="88" spans="1:39" ht="15.75" customHeight="1" x14ac:dyDescent="0.25">
      <c r="A88" s="3"/>
      <c r="B88" s="2141" t="s">
        <v>2079</v>
      </c>
      <c r="C88" s="2142"/>
      <c r="D88" s="2142"/>
      <c r="E88" s="2143">
        <f>AVERAGE(E83:E87)</f>
        <v>3.1510713686054377</v>
      </c>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row>
    <row r="89" spans="1:39" ht="15.7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row>
    <row r="90" spans="1:39" ht="15.75" customHeight="1" x14ac:dyDescent="0.25">
      <c r="A90" s="3"/>
      <c r="B90" s="60" t="s">
        <v>189</v>
      </c>
      <c r="C90" s="60" t="s">
        <v>2</v>
      </c>
      <c r="D90" s="60" t="s">
        <v>2139</v>
      </c>
      <c r="E90" s="60" t="s">
        <v>2140</v>
      </c>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row>
    <row r="91" spans="1:39" ht="15.75" customHeight="1" x14ac:dyDescent="0.25">
      <c r="A91" s="3"/>
      <c r="B91" s="3" t="s">
        <v>2104</v>
      </c>
      <c r="C91" s="3">
        <v>9200</v>
      </c>
      <c r="D91" s="3">
        <v>7300</v>
      </c>
      <c r="E91" s="1052">
        <f t="shared" ref="E91:E92" si="2">D91/C91</f>
        <v>0.79347826086956519</v>
      </c>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row>
    <row r="92" spans="1:39" ht="15.75" customHeight="1" x14ac:dyDescent="0.25">
      <c r="A92" s="3"/>
      <c r="B92" s="3" t="s">
        <v>2105</v>
      </c>
      <c r="C92" s="3">
        <v>7910</v>
      </c>
      <c r="D92" s="3">
        <v>6260</v>
      </c>
      <c r="E92" s="1052">
        <f t="shared" si="2"/>
        <v>0.79140328697850826</v>
      </c>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row>
    <row r="93" spans="1:39" ht="15.75" customHeight="1" x14ac:dyDescent="0.25">
      <c r="A93" s="3"/>
      <c r="B93" s="60" t="s">
        <v>2015</v>
      </c>
      <c r="C93" s="3" t="s">
        <v>2094</v>
      </c>
      <c r="D93" s="3"/>
      <c r="E93" s="1052"/>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row>
    <row r="94" spans="1:39" ht="15.75" customHeight="1" x14ac:dyDescent="0.25">
      <c r="A94" s="3"/>
      <c r="B94" s="60" t="s">
        <v>2017</v>
      </c>
      <c r="C94" s="3" t="s">
        <v>2106</v>
      </c>
      <c r="D94" s="3"/>
      <c r="E94" s="1052"/>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row>
    <row r="95" spans="1:39" ht="15.75" customHeight="1" x14ac:dyDescent="0.25">
      <c r="A95" s="3"/>
      <c r="B95" s="60" t="s">
        <v>2019</v>
      </c>
      <c r="C95" s="3" t="s">
        <v>2107</v>
      </c>
      <c r="D95" s="3"/>
      <c r="E95" s="1052"/>
      <c r="F95" s="3"/>
      <c r="G95" s="3"/>
      <c r="H95" s="4" t="s">
        <v>2108</v>
      </c>
      <c r="I95" s="4"/>
      <c r="J95" s="4"/>
      <c r="K95" s="4"/>
      <c r="L95" s="4"/>
      <c r="M95" s="4" t="s">
        <v>2109</v>
      </c>
      <c r="N95" s="4"/>
      <c r="O95" s="4"/>
      <c r="P95" s="4"/>
      <c r="Q95" s="4"/>
      <c r="R95" s="4"/>
      <c r="S95" s="3"/>
      <c r="T95" s="3"/>
      <c r="U95" s="3"/>
      <c r="V95" s="3"/>
      <c r="W95" s="3"/>
      <c r="X95" s="3"/>
      <c r="Y95" s="3"/>
      <c r="Z95" s="3"/>
      <c r="AA95" s="3"/>
      <c r="AB95" s="3"/>
      <c r="AC95" s="3"/>
      <c r="AD95" s="3"/>
      <c r="AE95" s="3"/>
      <c r="AF95" s="3"/>
      <c r="AG95" s="3"/>
      <c r="AH95" s="3"/>
      <c r="AI95" s="3"/>
      <c r="AJ95" s="3"/>
      <c r="AK95" s="3"/>
      <c r="AL95" s="3"/>
      <c r="AM95" s="3"/>
    </row>
    <row r="96" spans="1:39" ht="15.75" customHeight="1" x14ac:dyDescent="0.25">
      <c r="A96" s="3"/>
      <c r="B96" s="60" t="s">
        <v>189</v>
      </c>
      <c r="C96" s="60" t="s">
        <v>2097</v>
      </c>
      <c r="D96" s="60" t="s">
        <v>2139</v>
      </c>
      <c r="E96" s="2144" t="s">
        <v>2140</v>
      </c>
      <c r="F96" s="3"/>
      <c r="G96" s="3"/>
      <c r="H96" s="4" t="s">
        <v>2110</v>
      </c>
      <c r="I96" s="4" t="s">
        <v>2111</v>
      </c>
      <c r="J96" s="4" t="s">
        <v>2112</v>
      </c>
      <c r="K96" s="4" t="s">
        <v>2113</v>
      </c>
      <c r="L96" s="4"/>
      <c r="M96" s="4" t="s">
        <v>2110</v>
      </c>
      <c r="N96" s="4" t="s">
        <v>2111</v>
      </c>
      <c r="O96" s="4" t="s">
        <v>2113</v>
      </c>
      <c r="P96" s="4" t="s">
        <v>2114</v>
      </c>
      <c r="Q96" s="4" t="s">
        <v>2115</v>
      </c>
      <c r="R96" s="4" t="s">
        <v>2116</v>
      </c>
      <c r="S96" s="3"/>
      <c r="T96" s="3"/>
      <c r="U96" s="3"/>
      <c r="V96" s="3"/>
      <c r="W96" s="3"/>
      <c r="X96" s="3"/>
      <c r="Y96" s="3"/>
      <c r="Z96" s="3"/>
      <c r="AA96" s="3"/>
      <c r="AB96" s="3"/>
      <c r="AC96" s="3"/>
      <c r="AD96" s="3"/>
      <c r="AE96" s="3"/>
      <c r="AF96" s="3"/>
      <c r="AG96" s="3"/>
      <c r="AH96" s="3"/>
      <c r="AI96" s="3"/>
      <c r="AJ96" s="3"/>
      <c r="AK96" s="3"/>
      <c r="AL96" s="3"/>
      <c r="AM96" s="3"/>
    </row>
    <row r="97" spans="1:39" ht="15.75" customHeight="1" x14ac:dyDescent="0.25">
      <c r="A97" s="3"/>
      <c r="B97" s="3" t="s">
        <v>2117</v>
      </c>
      <c r="C97" s="3">
        <v>3.88</v>
      </c>
      <c r="D97" s="3">
        <v>14</v>
      </c>
      <c r="E97" s="1052">
        <f t="shared" ref="E97:E100" si="3">D97/C97</f>
        <v>3.6082474226804124</v>
      </c>
      <c r="F97" s="3"/>
      <c r="G97" s="3"/>
      <c r="H97" s="4" t="s">
        <v>2117</v>
      </c>
      <c r="I97" s="4" t="s">
        <v>2118</v>
      </c>
      <c r="J97" s="4">
        <v>0.11600000000000001</v>
      </c>
      <c r="K97" s="4">
        <v>42</v>
      </c>
      <c r="L97" s="4"/>
      <c r="M97" s="4" t="s">
        <v>2119</v>
      </c>
      <c r="N97" s="4" t="s">
        <v>2120</v>
      </c>
      <c r="O97" s="4">
        <v>26</v>
      </c>
      <c r="P97" s="4">
        <v>5</v>
      </c>
      <c r="Q97" s="4">
        <v>1</v>
      </c>
      <c r="R97" s="4">
        <f t="shared" ref="R97:R100" si="4">P97/Q97</f>
        <v>5</v>
      </c>
      <c r="S97" s="3"/>
      <c r="T97" s="3"/>
      <c r="U97" s="3"/>
      <c r="V97" s="3"/>
      <c r="W97" s="3"/>
      <c r="X97" s="3"/>
      <c r="Y97" s="3"/>
      <c r="Z97" s="3"/>
      <c r="AA97" s="3"/>
      <c r="AB97" s="3"/>
      <c r="AC97" s="3"/>
      <c r="AD97" s="3"/>
      <c r="AE97" s="3"/>
      <c r="AF97" s="3"/>
      <c r="AG97" s="3"/>
      <c r="AH97" s="3"/>
      <c r="AI97" s="3"/>
      <c r="AJ97" s="3"/>
      <c r="AK97" s="3"/>
      <c r="AL97" s="3"/>
      <c r="AM97" s="3"/>
    </row>
    <row r="98" spans="1:39" ht="15.75" customHeight="1" x14ac:dyDescent="0.25">
      <c r="A98" s="3"/>
      <c r="B98" s="3" t="s">
        <v>2121</v>
      </c>
      <c r="C98" s="3">
        <v>0.501</v>
      </c>
      <c r="D98" s="3">
        <v>1.81</v>
      </c>
      <c r="E98" s="1052">
        <f t="shared" si="3"/>
        <v>3.6127744510978044</v>
      </c>
      <c r="F98" s="3"/>
      <c r="G98" s="3"/>
      <c r="H98" s="4" t="s">
        <v>2121</v>
      </c>
      <c r="I98" s="4" t="s">
        <v>2122</v>
      </c>
      <c r="J98" s="4">
        <v>3.3000000000000002E-2</v>
      </c>
      <c r="K98" s="4">
        <v>12</v>
      </c>
      <c r="L98" s="4"/>
      <c r="M98" s="4" t="s">
        <v>2123</v>
      </c>
      <c r="N98" s="4" t="s">
        <v>2124</v>
      </c>
      <c r="O98" s="4">
        <v>10.5</v>
      </c>
      <c r="P98" s="4">
        <v>1</v>
      </c>
      <c r="Q98" s="4" t="s">
        <v>2125</v>
      </c>
      <c r="R98" s="4" t="e">
        <f t="shared" si="4"/>
        <v>#VALUE!</v>
      </c>
      <c r="S98" s="3"/>
      <c r="T98" s="3"/>
      <c r="U98" s="3"/>
      <c r="V98" s="3"/>
      <c r="W98" s="3"/>
      <c r="X98" s="3"/>
      <c r="Y98" s="3"/>
      <c r="Z98" s="3"/>
      <c r="AA98" s="3"/>
      <c r="AB98" s="3"/>
      <c r="AC98" s="3"/>
      <c r="AD98" s="3"/>
      <c r="AE98" s="3"/>
      <c r="AF98" s="3"/>
      <c r="AG98" s="3"/>
      <c r="AH98" s="3"/>
      <c r="AI98" s="3"/>
      <c r="AJ98" s="3"/>
      <c r="AK98" s="3"/>
      <c r="AL98" s="3"/>
      <c r="AM98" s="3"/>
    </row>
    <row r="99" spans="1:39" ht="15.75" customHeight="1" x14ac:dyDescent="0.25">
      <c r="A99" s="3"/>
      <c r="B99" s="3" t="s">
        <v>2126</v>
      </c>
      <c r="C99" s="3">
        <v>1.37</v>
      </c>
      <c r="D99" s="3">
        <v>4.9400000000000004</v>
      </c>
      <c r="E99" s="1052">
        <f t="shared" si="3"/>
        <v>3.605839416058394</v>
      </c>
      <c r="F99" s="3"/>
      <c r="G99" s="3"/>
      <c r="H99" s="4" t="s">
        <v>2126</v>
      </c>
      <c r="I99" s="4" t="s">
        <v>2127</v>
      </c>
      <c r="J99" s="4">
        <v>5.1999999999999998E-2</v>
      </c>
      <c r="K99" s="4">
        <v>19</v>
      </c>
      <c r="L99" s="4"/>
      <c r="M99" s="4" t="s">
        <v>2128</v>
      </c>
      <c r="N99" s="4" t="s">
        <v>2129</v>
      </c>
      <c r="O99" s="4">
        <v>16.399999999999999</v>
      </c>
      <c r="P99" s="4">
        <v>4</v>
      </c>
      <c r="Q99" s="4" t="s">
        <v>2125</v>
      </c>
      <c r="R99" s="4" t="e">
        <f t="shared" si="4"/>
        <v>#VALUE!</v>
      </c>
      <c r="S99" s="3"/>
      <c r="T99" s="3"/>
      <c r="U99" s="3"/>
      <c r="V99" s="3"/>
      <c r="W99" s="3"/>
      <c r="X99" s="3"/>
      <c r="Y99" s="3"/>
      <c r="Z99" s="3"/>
      <c r="AA99" s="3"/>
      <c r="AB99" s="3"/>
      <c r="AC99" s="3"/>
      <c r="AD99" s="3"/>
      <c r="AE99" s="3"/>
      <c r="AF99" s="3"/>
      <c r="AG99" s="3"/>
      <c r="AH99" s="3"/>
      <c r="AI99" s="3"/>
      <c r="AJ99" s="3"/>
      <c r="AK99" s="3"/>
      <c r="AL99" s="3"/>
      <c r="AM99" s="3"/>
    </row>
    <row r="100" spans="1:39" ht="15.75" customHeight="1" x14ac:dyDescent="0.25">
      <c r="A100" s="3"/>
      <c r="B100" s="3" t="s">
        <v>2130</v>
      </c>
      <c r="C100" s="3">
        <v>2.08</v>
      </c>
      <c r="D100" s="3">
        <v>7.48</v>
      </c>
      <c r="E100" s="1052">
        <f t="shared" si="3"/>
        <v>3.5961538461538463</v>
      </c>
      <c r="F100" s="3"/>
      <c r="G100" s="3"/>
      <c r="H100" s="4" t="s">
        <v>2130</v>
      </c>
      <c r="I100" s="4" t="s">
        <v>2131</v>
      </c>
      <c r="J100" s="4">
        <v>7.3999999999999996E-2</v>
      </c>
      <c r="K100" s="4">
        <v>27</v>
      </c>
      <c r="L100" s="4"/>
      <c r="M100" s="4" t="s">
        <v>2132</v>
      </c>
      <c r="N100" s="4" t="s">
        <v>2133</v>
      </c>
      <c r="O100" s="4">
        <v>22</v>
      </c>
      <c r="P100" s="4">
        <v>6</v>
      </c>
      <c r="Q100" s="4">
        <v>2</v>
      </c>
      <c r="R100" s="4">
        <f t="shared" si="4"/>
        <v>3</v>
      </c>
      <c r="S100" s="3"/>
      <c r="T100" s="3"/>
      <c r="U100" s="3"/>
      <c r="V100" s="3"/>
      <c r="W100" s="3"/>
      <c r="X100" s="3"/>
      <c r="Y100" s="3"/>
      <c r="Z100" s="3"/>
      <c r="AA100" s="3"/>
      <c r="AB100" s="3"/>
      <c r="AC100" s="3"/>
      <c r="AD100" s="3"/>
      <c r="AE100" s="3"/>
      <c r="AF100" s="3"/>
      <c r="AG100" s="3"/>
      <c r="AH100" s="3"/>
      <c r="AI100" s="3"/>
      <c r="AJ100" s="3"/>
      <c r="AK100" s="3"/>
      <c r="AL100" s="3"/>
      <c r="AM100" s="3"/>
    </row>
    <row r="101" spans="1:39" ht="15.75" customHeight="1" x14ac:dyDescent="0.25">
      <c r="A101" s="3"/>
      <c r="B101" s="2141" t="s">
        <v>2082</v>
      </c>
      <c r="C101" s="2142"/>
      <c r="D101" s="2142"/>
      <c r="E101" s="2143">
        <f>AVERAGE(E91:E100)</f>
        <v>2.6679827806397554</v>
      </c>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row>
    <row r="102" spans="1:39" ht="15.75"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row>
    <row r="103" spans="1:39" ht="15.75" customHeight="1" x14ac:dyDescent="0.25">
      <c r="A103" s="3"/>
      <c r="B103" s="2140" t="s">
        <v>2141</v>
      </c>
      <c r="C103" s="2138"/>
      <c r="D103" s="2138"/>
      <c r="E103" s="2138"/>
      <c r="F103" s="2138"/>
      <c r="G103" s="2138"/>
      <c r="H103" s="2138"/>
      <c r="I103" s="2138"/>
      <c r="J103" s="2138"/>
      <c r="K103" s="2138"/>
      <c r="L103" s="2138"/>
      <c r="M103" s="2138"/>
      <c r="N103" s="2138"/>
      <c r="O103" s="2138"/>
      <c r="P103" s="2138"/>
      <c r="Q103" s="2138"/>
      <c r="R103" s="2138"/>
      <c r="S103" s="2138"/>
      <c r="T103" s="2138"/>
      <c r="U103" s="2138"/>
      <c r="V103" s="2138"/>
      <c r="W103" s="2138"/>
      <c r="X103" s="2138"/>
      <c r="Y103" s="2138"/>
      <c r="Z103" s="2138"/>
      <c r="AA103" s="2138"/>
      <c r="AB103" s="2138"/>
      <c r="AC103" s="2138"/>
      <c r="AD103" s="2138"/>
      <c r="AE103" s="2138"/>
      <c r="AF103" s="2138"/>
      <c r="AG103" s="2138"/>
      <c r="AH103" s="2138"/>
      <c r="AI103" s="2138"/>
      <c r="AJ103" s="2138"/>
      <c r="AK103" s="2138"/>
      <c r="AL103" s="2138"/>
      <c r="AM103" s="2139"/>
    </row>
    <row r="104" spans="1:39" ht="15.75"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row>
    <row r="105" spans="1:39" ht="15.75" customHeight="1" x14ac:dyDescent="0.25">
      <c r="A105" s="3"/>
      <c r="B105" s="60" t="str">
        <f t="shared" ref="B105:D120" si="5">B15</f>
        <v>sub_category_1</v>
      </c>
      <c r="C105" s="60" t="str">
        <f t="shared" si="5"/>
        <v>ghg_category</v>
      </c>
      <c r="D105" s="60" t="str">
        <f t="shared" si="5"/>
        <v>ghg</v>
      </c>
      <c r="E105" s="60" t="s">
        <v>2135</v>
      </c>
      <c r="F105" s="60" t="str">
        <f t="shared" ref="F105:AL105" si="6">F15</f>
        <v>Y1990</v>
      </c>
      <c r="G105" s="60" t="str">
        <f t="shared" si="6"/>
        <v>Y1991</v>
      </c>
      <c r="H105" s="60" t="str">
        <f t="shared" si="6"/>
        <v>Y1992</v>
      </c>
      <c r="I105" s="60" t="str">
        <f t="shared" si="6"/>
        <v>Y1993</v>
      </c>
      <c r="J105" s="60" t="str">
        <f t="shared" si="6"/>
        <v>Y1994</v>
      </c>
      <c r="K105" s="60" t="str">
        <f t="shared" si="6"/>
        <v>Y1995</v>
      </c>
      <c r="L105" s="60" t="str">
        <f t="shared" si="6"/>
        <v>Y1996</v>
      </c>
      <c r="M105" s="60" t="str">
        <f t="shared" si="6"/>
        <v>Y1997</v>
      </c>
      <c r="N105" s="60" t="str">
        <f t="shared" si="6"/>
        <v>Y1998</v>
      </c>
      <c r="O105" s="60" t="str">
        <f t="shared" si="6"/>
        <v>Y1999</v>
      </c>
      <c r="P105" s="60" t="str">
        <f t="shared" si="6"/>
        <v>Y2000</v>
      </c>
      <c r="Q105" s="60" t="str">
        <f t="shared" si="6"/>
        <v>Y2001</v>
      </c>
      <c r="R105" s="60" t="str">
        <f t="shared" si="6"/>
        <v>Y2002</v>
      </c>
      <c r="S105" s="60" t="str">
        <f t="shared" si="6"/>
        <v>Y2003</v>
      </c>
      <c r="T105" s="60" t="str">
        <f t="shared" si="6"/>
        <v>Y2004</v>
      </c>
      <c r="U105" s="60" t="str">
        <f t="shared" si="6"/>
        <v>Y2005</v>
      </c>
      <c r="V105" s="60" t="str">
        <f t="shared" si="6"/>
        <v>Y2006</v>
      </c>
      <c r="W105" s="60" t="str">
        <f t="shared" si="6"/>
        <v>Y2007</v>
      </c>
      <c r="X105" s="60" t="str">
        <f t="shared" si="6"/>
        <v>Y2008</v>
      </c>
      <c r="Y105" s="60" t="str">
        <f t="shared" si="6"/>
        <v>Y2009</v>
      </c>
      <c r="Z105" s="60" t="str">
        <f t="shared" si="6"/>
        <v>Y2010</v>
      </c>
      <c r="AA105" s="60" t="str">
        <f t="shared" si="6"/>
        <v>Y2011</v>
      </c>
      <c r="AB105" s="60" t="str">
        <f t="shared" si="6"/>
        <v>Y2012</v>
      </c>
      <c r="AC105" s="60" t="str">
        <f t="shared" si="6"/>
        <v>Y2013</v>
      </c>
      <c r="AD105" s="60" t="str">
        <f t="shared" si="6"/>
        <v>Y2014</v>
      </c>
      <c r="AE105" s="60" t="str">
        <f t="shared" si="6"/>
        <v>Y2015</v>
      </c>
      <c r="AF105" s="60" t="str">
        <f t="shared" si="6"/>
        <v>Y2016</v>
      </c>
      <c r="AG105" s="60" t="str">
        <f t="shared" si="6"/>
        <v>Y2017</v>
      </c>
      <c r="AH105" s="60" t="str">
        <f t="shared" si="6"/>
        <v>Y2018</v>
      </c>
      <c r="AI105" s="60" t="str">
        <f t="shared" si="6"/>
        <v>Y2019</v>
      </c>
      <c r="AJ105" s="60" t="str">
        <f t="shared" si="6"/>
        <v>Y2020</v>
      </c>
      <c r="AK105" s="60" t="str">
        <f t="shared" si="6"/>
        <v>Y2021</v>
      </c>
      <c r="AL105" s="60" t="str">
        <f t="shared" si="6"/>
        <v>Y2022</v>
      </c>
      <c r="AM105" s="60"/>
    </row>
    <row r="106" spans="1:39" ht="15.75" customHeight="1" x14ac:dyDescent="0.25">
      <c r="A106" s="3"/>
      <c r="B106" s="3" t="str">
        <f t="shared" si="5"/>
        <v>Fire protection</v>
      </c>
      <c r="C106" s="3" t="str">
        <f t="shared" si="5"/>
        <v>CO2</v>
      </c>
      <c r="D106" s="3" t="str">
        <f t="shared" si="5"/>
        <v>Carbon Dioxide</v>
      </c>
      <c r="E106" s="1052">
        <f t="shared" ref="E106:E139" si="7">_xlfn.XLOOKUP(D106,B$73:B$101,E$73:E$101)</f>
        <v>1</v>
      </c>
      <c r="F106" s="572">
        <f t="shared" ref="F106:AL113" si="8">F16*$E106</f>
        <v>0</v>
      </c>
      <c r="G106" s="572">
        <f t="shared" si="8"/>
        <v>0</v>
      </c>
      <c r="H106" s="572">
        <f t="shared" si="8"/>
        <v>0</v>
      </c>
      <c r="I106" s="572">
        <f t="shared" si="8"/>
        <v>0</v>
      </c>
      <c r="J106" s="572">
        <f t="shared" si="8"/>
        <v>0</v>
      </c>
      <c r="K106" s="572">
        <f t="shared" si="8"/>
        <v>0</v>
      </c>
      <c r="L106" s="572">
        <f t="shared" si="8"/>
        <v>0</v>
      </c>
      <c r="M106" s="572">
        <f t="shared" si="8"/>
        <v>0</v>
      </c>
      <c r="N106" s="572">
        <f t="shared" si="8"/>
        <v>9.8519299213394535E-9</v>
      </c>
      <c r="O106" s="572">
        <f t="shared" si="8"/>
        <v>3.1540939323378811E-8</v>
      </c>
      <c r="P106" s="572">
        <f t="shared" si="8"/>
        <v>6.2501428747742371E-8</v>
      </c>
      <c r="Q106" s="572">
        <f t="shared" si="8"/>
        <v>1.018511703728463E-7</v>
      </c>
      <c r="R106" s="572">
        <f t="shared" si="8"/>
        <v>1.4894636659878889E-7</v>
      </c>
      <c r="S106" s="572">
        <f t="shared" si="8"/>
        <v>2.0074600781338119E-7</v>
      </c>
      <c r="T106" s="572">
        <f t="shared" si="8"/>
        <v>2.6107617905303778E-7</v>
      </c>
      <c r="U106" s="572">
        <f t="shared" si="8"/>
        <v>3.2987329132971848E-7</v>
      </c>
      <c r="V106" s="572">
        <f t="shared" si="8"/>
        <v>4.0711289923977971E-7</v>
      </c>
      <c r="W106" s="572">
        <f t="shared" si="8"/>
        <v>4.8314336560554063E-7</v>
      </c>
      <c r="X106" s="572">
        <f t="shared" si="8"/>
        <v>5.5882771452414812E-7</v>
      </c>
      <c r="Y106" s="572">
        <f t="shared" si="8"/>
        <v>6.3589657153355418E-7</v>
      </c>
      <c r="Z106" s="572">
        <f t="shared" si="8"/>
        <v>7.1660050457866461E-7</v>
      </c>
      <c r="AA106" s="572">
        <f t="shared" si="8"/>
        <v>7.9894555566048068E-7</v>
      </c>
      <c r="AB106" s="572">
        <f t="shared" si="8"/>
        <v>8.85221012763728E-7</v>
      </c>
      <c r="AC106" s="572">
        <f t="shared" si="8"/>
        <v>9.7440790019803123E-7</v>
      </c>
      <c r="AD106" s="572">
        <f t="shared" si="8"/>
        <v>1.0670013135791511E-6</v>
      </c>
      <c r="AE106" s="572">
        <f t="shared" si="8"/>
        <v>1.1630521332887881E-6</v>
      </c>
      <c r="AF106" s="572">
        <f t="shared" si="8"/>
        <v>1.261290134713085E-6</v>
      </c>
      <c r="AG106" s="572">
        <f t="shared" si="8"/>
        <v>1.3659550986162041E-6</v>
      </c>
      <c r="AH106" s="572">
        <f t="shared" si="8"/>
        <v>1.4755733918879199E-6</v>
      </c>
      <c r="AI106" s="572">
        <f t="shared" si="8"/>
        <v>1.5902747935584759E-6</v>
      </c>
      <c r="AJ106" s="572">
        <f t="shared" si="8"/>
        <v>1.668144611637901E-6</v>
      </c>
      <c r="AK106" s="572">
        <f t="shared" si="8"/>
        <v>1.7298704460152931E-6</v>
      </c>
      <c r="AL106" s="572">
        <f t="shared" si="8"/>
        <v>1.785639279141623E-6</v>
      </c>
      <c r="AM106" s="572"/>
    </row>
    <row r="107" spans="1:39" ht="15.75" customHeight="1" x14ac:dyDescent="0.25">
      <c r="A107" s="3"/>
      <c r="B107" s="3" t="str">
        <f t="shared" si="5"/>
        <v>Foam blowing agents</v>
      </c>
      <c r="C107" s="3" t="str">
        <f t="shared" si="5"/>
        <v>CO2</v>
      </c>
      <c r="D107" s="3" t="str">
        <f t="shared" si="5"/>
        <v>Carbon Dioxide</v>
      </c>
      <c r="E107" s="1052">
        <f t="shared" si="7"/>
        <v>1</v>
      </c>
      <c r="F107" s="572">
        <f t="shared" si="8"/>
        <v>2.6131014791080082E-7</v>
      </c>
      <c r="G107" s="572">
        <f t="shared" si="8"/>
        <v>4.1898124909234098E-7</v>
      </c>
      <c r="H107" s="572">
        <f t="shared" si="8"/>
        <v>5.8111866987456702E-7</v>
      </c>
      <c r="I107" s="572">
        <f t="shared" si="8"/>
        <v>7.4840461171582204E-7</v>
      </c>
      <c r="J107" s="572">
        <f t="shared" si="8"/>
        <v>9.2201719908830302E-7</v>
      </c>
      <c r="K107" s="572">
        <f t="shared" si="8"/>
        <v>2.3052706395561522E-6</v>
      </c>
      <c r="L107" s="572">
        <f t="shared" si="8"/>
        <v>4.4136082214367739E-6</v>
      </c>
      <c r="M107" s="572">
        <f t="shared" si="8"/>
        <v>6.5946290152229707E-6</v>
      </c>
      <c r="N107" s="572">
        <f t="shared" si="8"/>
        <v>8.8466612984224004E-6</v>
      </c>
      <c r="O107" s="572">
        <f t="shared" si="8"/>
        <v>1.147830442458914E-5</v>
      </c>
      <c r="P107" s="572">
        <f t="shared" si="8"/>
        <v>1.2507147924218111E-5</v>
      </c>
      <c r="Q107" s="572">
        <f t="shared" si="8"/>
        <v>1.314530607109544E-5</v>
      </c>
      <c r="R107" s="572">
        <f t="shared" si="8"/>
        <v>1.713973749358667E-5</v>
      </c>
      <c r="S107" s="572">
        <f t="shared" si="8"/>
        <v>2.1744247344928299E-5</v>
      </c>
      <c r="T107" s="572">
        <f t="shared" si="8"/>
        <v>2.306901239073155E-5</v>
      </c>
      <c r="U107" s="572">
        <f t="shared" si="8"/>
        <v>2.4384035920381919E-5</v>
      </c>
      <c r="V107" s="572">
        <f t="shared" si="8"/>
        <v>2.5685308896897321E-5</v>
      </c>
      <c r="W107" s="572">
        <f t="shared" si="8"/>
        <v>2.69879996666842E-5</v>
      </c>
      <c r="X107" s="572">
        <f t="shared" si="8"/>
        <v>2.8364564007057459E-5</v>
      </c>
      <c r="Y107" s="572">
        <f t="shared" si="8"/>
        <v>3.1166396877940423E-5</v>
      </c>
      <c r="Z107" s="572">
        <f t="shared" si="8"/>
        <v>3.4618545587236393E-5</v>
      </c>
      <c r="AA107" s="572">
        <f t="shared" si="8"/>
        <v>3.6918482212532093E-5</v>
      </c>
      <c r="AB107" s="572">
        <f t="shared" si="8"/>
        <v>3.867669343107176E-5</v>
      </c>
      <c r="AC107" s="572">
        <f t="shared" si="8"/>
        <v>4.0727676739808633E-5</v>
      </c>
      <c r="AD107" s="572">
        <f t="shared" si="8"/>
        <v>4.3031867101066257E-5</v>
      </c>
      <c r="AE107" s="572">
        <f t="shared" si="8"/>
        <v>4.5313001867797073E-5</v>
      </c>
      <c r="AF107" s="572">
        <f t="shared" si="8"/>
        <v>4.8376348474465388E-5</v>
      </c>
      <c r="AG107" s="572">
        <f t="shared" si="8"/>
        <v>5.1409482806971542E-5</v>
      </c>
      <c r="AH107" s="572">
        <f t="shared" si="8"/>
        <v>5.50670128350142E-5</v>
      </c>
      <c r="AI107" s="572">
        <f t="shared" si="8"/>
        <v>5.8640584864915532E-5</v>
      </c>
      <c r="AJ107" s="572">
        <f t="shared" si="8"/>
        <v>6.3052900975069188E-5</v>
      </c>
      <c r="AK107" s="572">
        <f t="shared" si="8"/>
        <v>6.6892769382864136E-5</v>
      </c>
      <c r="AL107" s="572">
        <f t="shared" si="8"/>
        <v>7.0764145343318397E-5</v>
      </c>
      <c r="AM107" s="572"/>
    </row>
    <row r="108" spans="1:39" ht="15.75" customHeight="1" x14ac:dyDescent="0.25">
      <c r="A108" s="3"/>
      <c r="B108" s="3" t="str">
        <f t="shared" si="5"/>
        <v>Refrigeration and air-conditioning</v>
      </c>
      <c r="C108" s="3" t="str">
        <f t="shared" si="5"/>
        <v>CO2</v>
      </c>
      <c r="D108" s="3" t="str">
        <f t="shared" si="5"/>
        <v>Carbon Dioxide</v>
      </c>
      <c r="E108" s="1052">
        <f t="shared" si="7"/>
        <v>1</v>
      </c>
      <c r="F108" s="572">
        <f t="shared" si="8"/>
        <v>0</v>
      </c>
      <c r="G108" s="572">
        <f t="shared" si="8"/>
        <v>0</v>
      </c>
      <c r="H108" s="572">
        <f t="shared" si="8"/>
        <v>0</v>
      </c>
      <c r="I108" s="572">
        <f t="shared" si="8"/>
        <v>0</v>
      </c>
      <c r="J108" s="572">
        <f t="shared" si="8"/>
        <v>0</v>
      </c>
      <c r="K108" s="572">
        <f t="shared" si="8"/>
        <v>0</v>
      </c>
      <c r="L108" s="572">
        <f t="shared" si="8"/>
        <v>0</v>
      </c>
      <c r="M108" s="572">
        <f t="shared" si="8"/>
        <v>0</v>
      </c>
      <c r="N108" s="572">
        <f t="shared" si="8"/>
        <v>0</v>
      </c>
      <c r="O108" s="572">
        <f t="shared" si="8"/>
        <v>0</v>
      </c>
      <c r="P108" s="572">
        <f t="shared" si="8"/>
        <v>0</v>
      </c>
      <c r="Q108" s="572">
        <f t="shared" si="8"/>
        <v>0</v>
      </c>
      <c r="R108" s="572">
        <f t="shared" si="8"/>
        <v>0</v>
      </c>
      <c r="S108" s="572">
        <f t="shared" si="8"/>
        <v>0</v>
      </c>
      <c r="T108" s="572">
        <f t="shared" si="8"/>
        <v>0</v>
      </c>
      <c r="U108" s="572">
        <f t="shared" si="8"/>
        <v>0</v>
      </c>
      <c r="V108" s="572">
        <f t="shared" si="8"/>
        <v>0</v>
      </c>
      <c r="W108" s="572">
        <f t="shared" si="8"/>
        <v>0</v>
      </c>
      <c r="X108" s="572">
        <f t="shared" si="8"/>
        <v>0</v>
      </c>
      <c r="Y108" s="572">
        <f t="shared" si="8"/>
        <v>0</v>
      </c>
      <c r="Z108" s="572">
        <f t="shared" si="8"/>
        <v>0</v>
      </c>
      <c r="AA108" s="572">
        <f t="shared" si="8"/>
        <v>0</v>
      </c>
      <c r="AB108" s="572">
        <f t="shared" si="8"/>
        <v>3.70462863680154E-10</v>
      </c>
      <c r="AC108" s="572">
        <f t="shared" si="8"/>
        <v>1.1108583319757149E-9</v>
      </c>
      <c r="AD108" s="572">
        <f t="shared" si="8"/>
        <v>1.2944556663871841E-9</v>
      </c>
      <c r="AE108" s="572">
        <f t="shared" si="8"/>
        <v>2.3984260362871581E-9</v>
      </c>
      <c r="AF108" s="572">
        <f t="shared" si="8"/>
        <v>2.940498638410223E-9</v>
      </c>
      <c r="AG108" s="572">
        <f t="shared" si="8"/>
        <v>6.4163774596117491E-9</v>
      </c>
      <c r="AH108" s="572">
        <f t="shared" si="8"/>
        <v>1.353233746433338E-8</v>
      </c>
      <c r="AI108" s="572">
        <f t="shared" si="8"/>
        <v>2.4263685619281551E-8</v>
      </c>
      <c r="AJ108" s="572">
        <f t="shared" si="8"/>
        <v>3.9230959730470671E-8</v>
      </c>
      <c r="AK108" s="572">
        <f t="shared" si="8"/>
        <v>5.8312306612808159E-8</v>
      </c>
      <c r="AL108" s="572">
        <f t="shared" si="8"/>
        <v>8.8385301478315641E-8</v>
      </c>
      <c r="AM108" s="572"/>
    </row>
    <row r="109" spans="1:39" ht="15.75" customHeight="1" x14ac:dyDescent="0.25">
      <c r="A109" s="3"/>
      <c r="B109" s="3" t="str">
        <f t="shared" si="5"/>
        <v>Fire protection</v>
      </c>
      <c r="C109" s="3" t="str">
        <f t="shared" si="5"/>
        <v>HFC</v>
      </c>
      <c r="D109" s="3" t="str">
        <f t="shared" si="5"/>
        <v>HFC-125</v>
      </c>
      <c r="E109" s="1052">
        <f t="shared" si="7"/>
        <v>2.1261829652996846</v>
      </c>
      <c r="F109" s="572">
        <f t="shared" si="8"/>
        <v>0</v>
      </c>
      <c r="G109" s="572">
        <f t="shared" si="8"/>
        <v>0</v>
      </c>
      <c r="H109" s="572">
        <f t="shared" si="8"/>
        <v>0</v>
      </c>
      <c r="I109" s="572">
        <f t="shared" si="8"/>
        <v>0</v>
      </c>
      <c r="J109" s="572">
        <f t="shared" si="8"/>
        <v>0</v>
      </c>
      <c r="K109" s="572">
        <f t="shared" si="8"/>
        <v>0</v>
      </c>
      <c r="L109" s="572">
        <f t="shared" si="8"/>
        <v>0</v>
      </c>
      <c r="M109" s="572">
        <f t="shared" si="8"/>
        <v>5.7571990095128003E-5</v>
      </c>
      <c r="N109" s="572">
        <f t="shared" si="8"/>
        <v>1.8483238300851502E-4</v>
      </c>
      <c r="O109" s="572">
        <f t="shared" si="8"/>
        <v>3.9611648142284306E-4</v>
      </c>
      <c r="P109" s="572">
        <f t="shared" si="8"/>
        <v>6.6493284392299152E-4</v>
      </c>
      <c r="Q109" s="572">
        <f t="shared" si="8"/>
        <v>1.1052573519378483E-3</v>
      </c>
      <c r="R109" s="572">
        <f t="shared" si="8"/>
        <v>1.7047470015383282E-3</v>
      </c>
      <c r="S109" s="572">
        <f t="shared" si="8"/>
        <v>2.3036362702622817E-3</v>
      </c>
      <c r="T109" s="572">
        <f t="shared" si="8"/>
        <v>2.9638695676202451E-3</v>
      </c>
      <c r="U109" s="572">
        <f t="shared" si="8"/>
        <v>3.6841870851524413E-3</v>
      </c>
      <c r="V109" s="572">
        <f t="shared" si="8"/>
        <v>4.4548546307282087E-3</v>
      </c>
      <c r="W109" s="572">
        <f t="shared" si="8"/>
        <v>5.2130733238023473E-3</v>
      </c>
      <c r="X109" s="572">
        <f t="shared" si="8"/>
        <v>5.9591261537047802E-3</v>
      </c>
      <c r="Y109" s="572">
        <f t="shared" si="8"/>
        <v>5.4487094206791559E-3</v>
      </c>
      <c r="Z109" s="572">
        <f t="shared" si="8"/>
        <v>5.8520639600508463E-3</v>
      </c>
      <c r="AA109" s="572">
        <f t="shared" si="8"/>
        <v>6.8651016120935427E-3</v>
      </c>
      <c r="AB109" s="572">
        <f t="shared" si="8"/>
        <v>8.1315806978888294E-3</v>
      </c>
      <c r="AC109" s="572">
        <f t="shared" si="8"/>
        <v>9.0795182214264501E-3</v>
      </c>
      <c r="AD109" s="572">
        <f t="shared" si="8"/>
        <v>1.1376499910347646E-2</v>
      </c>
      <c r="AE109" s="572">
        <f t="shared" si="8"/>
        <v>1.114275687659687E-2</v>
      </c>
      <c r="AF109" s="572">
        <f t="shared" si="8"/>
        <v>1.3124379754322983E-2</v>
      </c>
      <c r="AG109" s="572">
        <f t="shared" si="8"/>
        <v>1.176742624873031E-2</v>
      </c>
      <c r="AH109" s="572">
        <f t="shared" si="8"/>
        <v>1.3770671150712809E-2</v>
      </c>
      <c r="AI109" s="572">
        <f t="shared" si="8"/>
        <v>1.3012995875237405E-2</v>
      </c>
      <c r="AJ109" s="572">
        <f t="shared" si="8"/>
        <v>1.4877406661998079E-2</v>
      </c>
      <c r="AK109" s="572">
        <f t="shared" si="8"/>
        <v>1.5441254031824494E-2</v>
      </c>
      <c r="AL109" s="572">
        <f t="shared" si="8"/>
        <v>1.5998522550147595E-2</v>
      </c>
      <c r="AM109" s="572"/>
    </row>
    <row r="110" spans="1:39" ht="15.75" customHeight="1" x14ac:dyDescent="0.25">
      <c r="A110" s="3"/>
      <c r="B110" s="3" t="str">
        <f t="shared" si="5"/>
        <v>Refrigeration and air-conditioning</v>
      </c>
      <c r="C110" s="3" t="str">
        <f t="shared" si="5"/>
        <v>HFC</v>
      </c>
      <c r="D110" s="3" t="str">
        <f t="shared" si="5"/>
        <v>HFC-125</v>
      </c>
      <c r="E110" s="1052">
        <f t="shared" si="7"/>
        <v>2.1261829652996846</v>
      </c>
      <c r="F110" s="572">
        <f t="shared" si="8"/>
        <v>4.4290087025206964E-6</v>
      </c>
      <c r="G110" s="572">
        <f t="shared" si="8"/>
        <v>1.0909506577744313E-5</v>
      </c>
      <c r="H110" s="572">
        <f t="shared" si="8"/>
        <v>2.0917088739137484E-5</v>
      </c>
      <c r="I110" s="572">
        <f t="shared" si="8"/>
        <v>3.8957628337709968E-3</v>
      </c>
      <c r="J110" s="572">
        <f t="shared" si="8"/>
        <v>1.0360613347387812E-2</v>
      </c>
      <c r="K110" s="572">
        <f t="shared" si="8"/>
        <v>2.1959021848456228E-2</v>
      </c>
      <c r="L110" s="572">
        <f t="shared" si="8"/>
        <v>3.7377949140363957E-2</v>
      </c>
      <c r="M110" s="572">
        <f t="shared" si="8"/>
        <v>5.7694503290050443E-2</v>
      </c>
      <c r="N110" s="572">
        <f t="shared" si="8"/>
        <v>7.5441127688635784E-2</v>
      </c>
      <c r="O110" s="572">
        <f t="shared" si="8"/>
        <v>9.8735241306496094E-2</v>
      </c>
      <c r="P110" s="572">
        <f t="shared" si="8"/>
        <v>0.11800271401129606</v>
      </c>
      <c r="Q110" s="572">
        <f t="shared" si="8"/>
        <v>0.14357802940514391</v>
      </c>
      <c r="R110" s="572">
        <f t="shared" si="8"/>
        <v>0.1742768157574226</v>
      </c>
      <c r="S110" s="572">
        <f t="shared" si="8"/>
        <v>0.2080106369577765</v>
      </c>
      <c r="T110" s="572">
        <f t="shared" si="8"/>
        <v>0.24275140421094576</v>
      </c>
      <c r="U110" s="572">
        <f t="shared" si="8"/>
        <v>0.30517976168055727</v>
      </c>
      <c r="V110" s="572">
        <f t="shared" si="8"/>
        <v>0.38477102380691625</v>
      </c>
      <c r="W110" s="572">
        <f t="shared" si="8"/>
        <v>0.48751095517876009</v>
      </c>
      <c r="X110" s="572">
        <f t="shared" si="8"/>
        <v>0.59767345353103674</v>
      </c>
      <c r="Y110" s="572">
        <f t="shared" si="8"/>
        <v>0.58690525829513485</v>
      </c>
      <c r="Z110" s="572">
        <f t="shared" si="8"/>
        <v>0.67900030042270687</v>
      </c>
      <c r="AA110" s="572">
        <f t="shared" si="8"/>
        <v>0.83811505955745813</v>
      </c>
      <c r="AB110" s="572">
        <f t="shared" si="8"/>
        <v>1.0222672570740119</v>
      </c>
      <c r="AC110" s="572">
        <f t="shared" si="8"/>
        <v>1.1710677898250417</v>
      </c>
      <c r="AD110" s="572">
        <f t="shared" si="8"/>
        <v>1.4961260910481193</v>
      </c>
      <c r="AE110" s="572">
        <f t="shared" si="8"/>
        <v>1.4830083013932445</v>
      </c>
      <c r="AF110" s="572">
        <f t="shared" si="8"/>
        <v>1.7717247215982996</v>
      </c>
      <c r="AG110" s="572">
        <f t="shared" si="8"/>
        <v>1.5978745787807784</v>
      </c>
      <c r="AH110" s="572">
        <f t="shared" si="8"/>
        <v>1.8933909899415458</v>
      </c>
      <c r="AI110" s="572">
        <f t="shared" si="8"/>
        <v>1.8436750088781966</v>
      </c>
      <c r="AJ110" s="572">
        <f t="shared" si="8"/>
        <v>2.2150877790672681</v>
      </c>
      <c r="AK110" s="572">
        <f t="shared" si="8"/>
        <v>2.547093622214768</v>
      </c>
      <c r="AL110" s="572">
        <f t="shared" si="8"/>
        <v>2.7698784480005774</v>
      </c>
      <c r="AM110" s="572"/>
    </row>
    <row r="111" spans="1:39" ht="15.75" customHeight="1" x14ac:dyDescent="0.25">
      <c r="A111" s="3"/>
      <c r="B111" s="3" t="str">
        <f t="shared" si="5"/>
        <v>Foam blowing agents</v>
      </c>
      <c r="C111" s="3" t="str">
        <f t="shared" si="5"/>
        <v>HFC</v>
      </c>
      <c r="D111" s="3" t="str">
        <f t="shared" si="5"/>
        <v>HFC-134a</v>
      </c>
      <c r="E111" s="1052">
        <f t="shared" si="7"/>
        <v>3.1846153846153844</v>
      </c>
      <c r="F111" s="572">
        <f t="shared" si="8"/>
        <v>0</v>
      </c>
      <c r="G111" s="572">
        <f t="shared" si="8"/>
        <v>0</v>
      </c>
      <c r="H111" s="572">
        <f t="shared" si="8"/>
        <v>0</v>
      </c>
      <c r="I111" s="572">
        <f t="shared" si="8"/>
        <v>0</v>
      </c>
      <c r="J111" s="572">
        <f t="shared" si="8"/>
        <v>0</v>
      </c>
      <c r="K111" s="572">
        <f t="shared" si="8"/>
        <v>0</v>
      </c>
      <c r="L111" s="572">
        <f t="shared" si="8"/>
        <v>1.4994128497872504E-3</v>
      </c>
      <c r="M111" s="572">
        <f t="shared" si="8"/>
        <v>3.1017696015334249E-3</v>
      </c>
      <c r="N111" s="572">
        <f t="shared" si="8"/>
        <v>4.8318186145940092E-3</v>
      </c>
      <c r="O111" s="572">
        <f t="shared" si="8"/>
        <v>6.6528061640714932E-3</v>
      </c>
      <c r="P111" s="572">
        <f t="shared" si="8"/>
        <v>7.1963498948814063E-3</v>
      </c>
      <c r="Q111" s="572">
        <f t="shared" si="8"/>
        <v>7.8020888380688691E-3</v>
      </c>
      <c r="R111" s="572">
        <f t="shared" si="8"/>
        <v>3.0801386629166223E-2</v>
      </c>
      <c r="S111" s="572">
        <f t="shared" si="8"/>
        <v>5.7282043067013629E-2</v>
      </c>
      <c r="T111" s="572">
        <f t="shared" si="8"/>
        <v>6.3844046750419936E-2</v>
      </c>
      <c r="U111" s="572">
        <f t="shared" si="8"/>
        <v>7.0685939462044892E-2</v>
      </c>
      <c r="V111" s="572">
        <f t="shared" si="8"/>
        <v>7.7615713170384459E-2</v>
      </c>
      <c r="W111" s="572">
        <f t="shared" si="8"/>
        <v>8.4782618123570727E-2</v>
      </c>
      <c r="X111" s="572">
        <f t="shared" si="8"/>
        <v>9.1809561376609172E-2</v>
      </c>
      <c r="Y111" s="572">
        <f t="shared" si="8"/>
        <v>0.15865361870751421</v>
      </c>
      <c r="Z111" s="572">
        <f t="shared" si="8"/>
        <v>0.20546520687063527</v>
      </c>
      <c r="AA111" s="572">
        <f t="shared" si="8"/>
        <v>0.22268142283954873</v>
      </c>
      <c r="AB111" s="572">
        <f t="shared" si="8"/>
        <v>0.2404139897899035</v>
      </c>
      <c r="AC111" s="572">
        <f t="shared" si="8"/>
        <v>0.32773143893867596</v>
      </c>
      <c r="AD111" s="572">
        <f t="shared" si="8"/>
        <v>0.40068349054478791</v>
      </c>
      <c r="AE111" s="572">
        <f t="shared" si="8"/>
        <v>0.40264353733861563</v>
      </c>
      <c r="AF111" s="572">
        <f t="shared" si="8"/>
        <v>0.38980725810102657</v>
      </c>
      <c r="AG111" s="572">
        <f t="shared" si="8"/>
        <v>0.34019277959174604</v>
      </c>
      <c r="AH111" s="572">
        <f t="shared" si="8"/>
        <v>0.38272555204845199</v>
      </c>
      <c r="AI111" s="572">
        <f t="shared" si="8"/>
        <v>0.37348533888794161</v>
      </c>
      <c r="AJ111" s="572">
        <f t="shared" si="8"/>
        <v>0.40998230976859645</v>
      </c>
      <c r="AK111" s="572">
        <f t="shared" si="8"/>
        <v>0.21815095156291026</v>
      </c>
      <c r="AL111" s="572">
        <f t="shared" si="8"/>
        <v>0.23293601745876527</v>
      </c>
      <c r="AM111" s="572"/>
    </row>
    <row r="112" spans="1:39" ht="15.75" customHeight="1" x14ac:dyDescent="0.25">
      <c r="A112" s="3"/>
      <c r="B112" s="3" t="str">
        <f t="shared" si="5"/>
        <v>Metered does inhalers</v>
      </c>
      <c r="C112" s="3" t="str">
        <f t="shared" si="5"/>
        <v>HFC</v>
      </c>
      <c r="D112" s="3" t="str">
        <f t="shared" si="5"/>
        <v>HFC-134a</v>
      </c>
      <c r="E112" s="1052">
        <f t="shared" si="7"/>
        <v>3.1846153846153844</v>
      </c>
      <c r="F112" s="572">
        <f t="shared" si="8"/>
        <v>0</v>
      </c>
      <c r="G112" s="572">
        <f t="shared" si="8"/>
        <v>0</v>
      </c>
      <c r="H112" s="572">
        <f t="shared" si="8"/>
        <v>0</v>
      </c>
      <c r="I112" s="572">
        <f t="shared" si="8"/>
        <v>0</v>
      </c>
      <c r="J112" s="572">
        <f t="shared" si="8"/>
        <v>0</v>
      </c>
      <c r="K112" s="572">
        <f t="shared" si="8"/>
        <v>0</v>
      </c>
      <c r="L112" s="572">
        <f t="shared" si="8"/>
        <v>0</v>
      </c>
      <c r="M112" s="572">
        <f t="shared" si="8"/>
        <v>1.0265856810236431E-3</v>
      </c>
      <c r="N112" s="572">
        <f t="shared" si="8"/>
        <v>2.0786189220123263E-3</v>
      </c>
      <c r="O112" s="572">
        <f t="shared" si="8"/>
        <v>3.1542956911043947E-3</v>
      </c>
      <c r="P112" s="572">
        <f t="shared" si="8"/>
        <v>4.3679136644395287E-3</v>
      </c>
      <c r="Q112" s="572">
        <f t="shared" si="8"/>
        <v>9.9892484359226531E-3</v>
      </c>
      <c r="R112" s="572">
        <f t="shared" si="8"/>
        <v>1.578843026236286E-2</v>
      </c>
      <c r="S112" s="572">
        <f t="shared" si="8"/>
        <v>2.1731762555677086E-2</v>
      </c>
      <c r="T112" s="572">
        <f t="shared" si="8"/>
        <v>2.7859797127108493E-2</v>
      </c>
      <c r="U112" s="572">
        <f t="shared" si="8"/>
        <v>3.4165564147281502E-2</v>
      </c>
      <c r="V112" s="572">
        <f t="shared" si="8"/>
        <v>4.0574395420222648E-2</v>
      </c>
      <c r="W112" s="572">
        <f t="shared" si="8"/>
        <v>4.7044960782378471E-2</v>
      </c>
      <c r="X112" s="572">
        <f t="shared" si="8"/>
        <v>5.2401470091679676E-2</v>
      </c>
      <c r="Y112" s="572">
        <f t="shared" si="8"/>
        <v>5.6894316619321442E-2</v>
      </c>
      <c r="Z112" s="572">
        <f t="shared" si="8"/>
        <v>5.426580242259349E-2</v>
      </c>
      <c r="AA112" s="572">
        <f t="shared" si="8"/>
        <v>5.9132882557285528E-2</v>
      </c>
      <c r="AB112" s="572">
        <f t="shared" si="8"/>
        <v>5.5474906311914755E-2</v>
      </c>
      <c r="AC112" s="572">
        <f t="shared" si="8"/>
        <v>6.5038510771174687E-2</v>
      </c>
      <c r="AD112" s="572">
        <f t="shared" si="8"/>
        <v>6.782057743302472E-2</v>
      </c>
      <c r="AE112" s="572">
        <f t="shared" si="8"/>
        <v>5.728341571504908E-2</v>
      </c>
      <c r="AF112" s="572">
        <f t="shared" si="8"/>
        <v>6.6850937334274177E-2</v>
      </c>
      <c r="AG112" s="572">
        <f t="shared" si="8"/>
        <v>7.0599217449688653E-2</v>
      </c>
      <c r="AH112" s="572">
        <f t="shared" si="8"/>
        <v>9.1173364340307886E-2</v>
      </c>
      <c r="AI112" s="572">
        <f t="shared" si="8"/>
        <v>8.979497822286503E-2</v>
      </c>
      <c r="AJ112" s="572">
        <f t="shared" si="8"/>
        <v>0.10167238843379695</v>
      </c>
      <c r="AK112" s="572">
        <f t="shared" si="8"/>
        <v>0.10330924319311868</v>
      </c>
      <c r="AL112" s="572">
        <f t="shared" si="8"/>
        <v>6.2913262544123008E-2</v>
      </c>
      <c r="AM112" s="572"/>
    </row>
    <row r="113" spans="1:39" ht="15.75" customHeight="1" x14ac:dyDescent="0.25">
      <c r="A113" s="3"/>
      <c r="B113" s="3" t="str">
        <f t="shared" si="5"/>
        <v>Other Aerosols</v>
      </c>
      <c r="C113" s="3" t="str">
        <f t="shared" si="5"/>
        <v>HFC</v>
      </c>
      <c r="D113" s="3" t="str">
        <f t="shared" si="5"/>
        <v>HFC-134a</v>
      </c>
      <c r="E113" s="1052">
        <f t="shared" si="7"/>
        <v>3.1846153846153844</v>
      </c>
      <c r="F113" s="572">
        <f t="shared" si="8"/>
        <v>0</v>
      </c>
      <c r="G113" s="572">
        <f t="shared" si="8"/>
        <v>0</v>
      </c>
      <c r="H113" s="572">
        <f t="shared" si="8"/>
        <v>0</v>
      </c>
      <c r="I113" s="572">
        <f t="shared" si="8"/>
        <v>0</v>
      </c>
      <c r="J113" s="572">
        <f t="shared" si="8"/>
        <v>3.8943810087723914E-2</v>
      </c>
      <c r="K113" s="572">
        <f t="shared" si="8"/>
        <v>0.42029295827454571</v>
      </c>
      <c r="L113" s="572">
        <f t="shared" si="8"/>
        <v>0.48478290479697267</v>
      </c>
      <c r="M113" s="572">
        <f t="shared" si="8"/>
        <v>0.52268286431414135</v>
      </c>
      <c r="N113" s="572">
        <f t="shared" si="8"/>
        <v>0.52231289996806307</v>
      </c>
      <c r="O113" s="572">
        <f t="shared" si="8"/>
        <v>0.53864648080058863</v>
      </c>
      <c r="P113" s="572">
        <f t="shared" si="8"/>
        <v>0.5470518919529499</v>
      </c>
      <c r="Q113" s="572">
        <f t="shared" si="8"/>
        <v>0.51989894837310457</v>
      </c>
      <c r="R113" s="572">
        <f t="shared" si="8"/>
        <v>0.48835553827244776</v>
      </c>
      <c r="S113" s="572">
        <f t="shared" si="8"/>
        <v>0.45541103282404799</v>
      </c>
      <c r="T113" s="572">
        <f t="shared" si="8"/>
        <v>0.4181300298096759</v>
      </c>
      <c r="U113" s="572">
        <f t="shared" si="8"/>
        <v>0.37962523803022785</v>
      </c>
      <c r="V113" s="572">
        <f t="shared" si="8"/>
        <v>0.41017577893858392</v>
      </c>
      <c r="W113" s="572">
        <f t="shared" si="8"/>
        <v>0.44387890371708605</v>
      </c>
      <c r="X113" s="572">
        <f t="shared" si="8"/>
        <v>0.47419420291616937</v>
      </c>
      <c r="Y113" s="572">
        <f t="shared" si="8"/>
        <v>0.52625509984855756</v>
      </c>
      <c r="Z113" s="572">
        <f t="shared" si="8"/>
        <v>0.51341952253366885</v>
      </c>
      <c r="AA113" s="572">
        <f t="shared" si="8"/>
        <v>0.54912611935361411</v>
      </c>
      <c r="AB113" s="572">
        <f t="shared" si="8"/>
        <v>0.58140245865499718</v>
      </c>
      <c r="AC113" s="572">
        <f t="shared" si="8"/>
        <v>0.77180732496401416</v>
      </c>
      <c r="AD113" s="572">
        <f t="shared" ref="AD113:AL113" si="9">AD23*$E113</f>
        <v>0.91490094759191665</v>
      </c>
      <c r="AE113" s="572">
        <f t="shared" si="9"/>
        <v>0.89195955600412036</v>
      </c>
      <c r="AF113" s="572">
        <f t="shared" si="9"/>
        <v>0.75237300162752141</v>
      </c>
      <c r="AG113" s="572">
        <f t="shared" si="9"/>
        <v>0.59016718098948517</v>
      </c>
      <c r="AH113" s="572">
        <f t="shared" si="9"/>
        <v>0.57045971781607463</v>
      </c>
      <c r="AI113" s="572">
        <f t="shared" si="9"/>
        <v>0.56538812393734894</v>
      </c>
      <c r="AJ113" s="572">
        <f t="shared" si="9"/>
        <v>0.64422032473717783</v>
      </c>
      <c r="AK113" s="572">
        <f t="shared" si="9"/>
        <v>0.65873240261207622</v>
      </c>
      <c r="AL113" s="572">
        <f t="shared" si="9"/>
        <v>0.67271607152104895</v>
      </c>
      <c r="AM113" s="572"/>
    </row>
    <row r="114" spans="1:39" ht="15.75" customHeight="1" x14ac:dyDescent="0.25">
      <c r="A114" s="3"/>
      <c r="B114" s="3" t="str">
        <f t="shared" si="5"/>
        <v>Refrigeration and air-conditioning</v>
      </c>
      <c r="C114" s="3" t="str">
        <f t="shared" si="5"/>
        <v>HFC</v>
      </c>
      <c r="D114" s="3" t="str">
        <f t="shared" si="5"/>
        <v>HFC-134a</v>
      </c>
      <c r="E114" s="1052">
        <f t="shared" si="7"/>
        <v>3.1846153846153844</v>
      </c>
      <c r="F114" s="572">
        <f t="shared" ref="F114:AL121" si="10">F24*$E114</f>
        <v>2.3325405009276472E-7</v>
      </c>
      <c r="G114" s="572">
        <f t="shared" si="10"/>
        <v>5.7454991956196686E-7</v>
      </c>
      <c r="H114" s="572">
        <f t="shared" si="10"/>
        <v>5.5111260818336824E-2</v>
      </c>
      <c r="I114" s="572">
        <f t="shared" si="10"/>
        <v>0.23860955184777166</v>
      </c>
      <c r="J114" s="572">
        <f t="shared" si="10"/>
        <v>0.58005761805182621</v>
      </c>
      <c r="K114" s="572">
        <f t="shared" si="10"/>
        <v>0.91864643083378039</v>
      </c>
      <c r="L114" s="572">
        <f t="shared" si="10"/>
        <v>1.3314291087187682</v>
      </c>
      <c r="M114" s="572">
        <f t="shared" si="10"/>
        <v>1.7616925694515753</v>
      </c>
      <c r="N114" s="572">
        <f t="shared" si="10"/>
        <v>2.0674437487059252</v>
      </c>
      <c r="O114" s="572">
        <f t="shared" si="10"/>
        <v>2.3763116602243386</v>
      </c>
      <c r="P114" s="572">
        <f t="shared" si="10"/>
        <v>2.6702401286833868</v>
      </c>
      <c r="Q114" s="572">
        <f t="shared" si="10"/>
        <v>2.9651376940558425</v>
      </c>
      <c r="R114" s="572">
        <f t="shared" si="10"/>
        <v>3.1052498239825606</v>
      </c>
      <c r="S114" s="572">
        <f t="shared" si="10"/>
        <v>3.2085106430258623</v>
      </c>
      <c r="T114" s="572">
        <f t="shared" si="10"/>
        <v>3.3237533661465339</v>
      </c>
      <c r="U114" s="572">
        <f t="shared" si="10"/>
        <v>3.4006257358061256</v>
      </c>
      <c r="V114" s="572">
        <f t="shared" si="10"/>
        <v>3.4689016306143539</v>
      </c>
      <c r="W114" s="572">
        <f t="shared" si="10"/>
        <v>3.5214729843070822</v>
      </c>
      <c r="X114" s="572">
        <f t="shared" si="10"/>
        <v>3.5932496555941342</v>
      </c>
      <c r="Y114" s="572">
        <f t="shared" si="10"/>
        <v>3.5319795649254666</v>
      </c>
      <c r="Z114" s="572">
        <f t="shared" si="10"/>
        <v>2.9552494824640174</v>
      </c>
      <c r="AA114" s="572">
        <f t="shared" si="10"/>
        <v>2.7307864439385705</v>
      </c>
      <c r="AB114" s="572">
        <f t="shared" si="10"/>
        <v>2.5224068098133605</v>
      </c>
      <c r="AC114" s="572">
        <f t="shared" si="10"/>
        <v>2.8966967184709769</v>
      </c>
      <c r="AD114" s="572">
        <f t="shared" si="10"/>
        <v>3.1197486767980602</v>
      </c>
      <c r="AE114" s="572">
        <f t="shared" si="10"/>
        <v>2.7854238252493237</v>
      </c>
      <c r="AF114" s="572">
        <f t="shared" si="10"/>
        <v>2.4523635353856914</v>
      </c>
      <c r="AG114" s="572">
        <f t="shared" si="10"/>
        <v>2.0059578783486374</v>
      </c>
      <c r="AH114" s="572">
        <f t="shared" si="10"/>
        <v>2.1356195222887218</v>
      </c>
      <c r="AI114" s="572">
        <f t="shared" si="10"/>
        <v>1.9999667516655215</v>
      </c>
      <c r="AJ114" s="572">
        <f t="shared" si="10"/>
        <v>2.150360373937755</v>
      </c>
      <c r="AK114" s="572">
        <f t="shared" si="10"/>
        <v>2.083810323042397</v>
      </c>
      <c r="AL114" s="572">
        <f t="shared" si="10"/>
        <v>1.9969548429359503</v>
      </c>
      <c r="AM114" s="572"/>
    </row>
    <row r="115" spans="1:39" ht="15.75" customHeight="1" x14ac:dyDescent="0.25">
      <c r="A115" s="3"/>
      <c r="B115" s="3" t="str">
        <f t="shared" si="5"/>
        <v>Refrigeration and air-conditioning</v>
      </c>
      <c r="C115" s="3" t="str">
        <f t="shared" si="5"/>
        <v>HFC</v>
      </c>
      <c r="D115" s="3" t="str">
        <f t="shared" si="5"/>
        <v>HFC-143a</v>
      </c>
      <c r="E115" s="1052">
        <f t="shared" si="7"/>
        <v>1.6333333333333333</v>
      </c>
      <c r="F115" s="572">
        <f t="shared" si="10"/>
        <v>6.0826715462537077E-6</v>
      </c>
      <c r="G115" s="572">
        <f t="shared" si="10"/>
        <v>1.4982798567622121E-5</v>
      </c>
      <c r="H115" s="572">
        <f t="shared" si="10"/>
        <v>2.8726920412597866E-5</v>
      </c>
      <c r="I115" s="572">
        <f t="shared" si="10"/>
        <v>2.1538681674767943E-3</v>
      </c>
      <c r="J115" s="572">
        <f t="shared" si="10"/>
        <v>6.0010770791629215E-3</v>
      </c>
      <c r="K115" s="572">
        <f t="shared" si="10"/>
        <v>1.498875391862891E-2</v>
      </c>
      <c r="L115" s="572">
        <f t="shared" si="10"/>
        <v>2.7878513749249861E-2</v>
      </c>
      <c r="M115" s="572">
        <f t="shared" si="10"/>
        <v>4.6158284532432217E-2</v>
      </c>
      <c r="N115" s="572">
        <f t="shared" si="10"/>
        <v>6.692485122642329E-2</v>
      </c>
      <c r="O115" s="572">
        <f t="shared" si="10"/>
        <v>9.5569159328977984E-2</v>
      </c>
      <c r="P115" s="572">
        <f t="shared" si="10"/>
        <v>0.11784600501418881</v>
      </c>
      <c r="Q115" s="572">
        <f t="shared" si="10"/>
        <v>0.14597110779723291</v>
      </c>
      <c r="R115" s="572">
        <f t="shared" si="10"/>
        <v>0.17767859244451373</v>
      </c>
      <c r="S115" s="572">
        <f t="shared" si="10"/>
        <v>0.21038522560658326</v>
      </c>
      <c r="T115" s="572">
        <f t="shared" si="10"/>
        <v>0.24051172136164439</v>
      </c>
      <c r="U115" s="572">
        <f t="shared" si="10"/>
        <v>0.29114549837203457</v>
      </c>
      <c r="V115" s="572">
        <f t="shared" si="10"/>
        <v>0.34604125529150404</v>
      </c>
      <c r="W115" s="572">
        <f t="shared" si="10"/>
        <v>0.40776292147567555</v>
      </c>
      <c r="X115" s="572">
        <f t="shared" si="10"/>
        <v>0.47782023785703753</v>
      </c>
      <c r="Y115" s="572">
        <f t="shared" si="10"/>
        <v>0.53156306307269607</v>
      </c>
      <c r="Z115" s="572">
        <f t="shared" si="10"/>
        <v>0.54471077837524662</v>
      </c>
      <c r="AA115" s="572">
        <f t="shared" si="10"/>
        <v>0.6760164839645173</v>
      </c>
      <c r="AB115" s="572">
        <f t="shared" si="10"/>
        <v>0.81661582756099371</v>
      </c>
      <c r="AC115" s="572">
        <f t="shared" si="10"/>
        <v>0.92574737359298953</v>
      </c>
      <c r="AD115" s="572">
        <f t="shared" si="10"/>
        <v>1.0671266709173433</v>
      </c>
      <c r="AE115" s="572">
        <f t="shared" si="10"/>
        <v>1.0705194496358459</v>
      </c>
      <c r="AF115" s="572">
        <f t="shared" si="10"/>
        <v>1.1010979537856569</v>
      </c>
      <c r="AG115" s="572">
        <f t="shared" si="10"/>
        <v>0.82328090117755082</v>
      </c>
      <c r="AH115" s="572">
        <f t="shared" si="10"/>
        <v>1.0324198455949543</v>
      </c>
      <c r="AI115" s="572">
        <f t="shared" si="10"/>
        <v>0.90516012798468048</v>
      </c>
      <c r="AJ115" s="572">
        <f t="shared" si="10"/>
        <v>0.99541624702854425</v>
      </c>
      <c r="AK115" s="572">
        <f t="shared" si="10"/>
        <v>0.99886317341314246</v>
      </c>
      <c r="AL115" s="572">
        <f t="shared" si="10"/>
        <v>0.99422098859343533</v>
      </c>
      <c r="AM115" s="572"/>
    </row>
    <row r="116" spans="1:39" ht="15.75" customHeight="1" x14ac:dyDescent="0.25">
      <c r="A116" s="3"/>
      <c r="B116" s="3" t="str">
        <f t="shared" si="5"/>
        <v>Fire protection</v>
      </c>
      <c r="C116" s="3" t="str">
        <f t="shared" si="5"/>
        <v>HFC</v>
      </c>
      <c r="D116" s="3" t="str">
        <f t="shared" si="5"/>
        <v>HFC-23</v>
      </c>
      <c r="E116" s="1052">
        <f t="shared" si="7"/>
        <v>1</v>
      </c>
      <c r="F116" s="572">
        <f t="shared" si="10"/>
        <v>0</v>
      </c>
      <c r="G116" s="572">
        <f t="shared" si="10"/>
        <v>0</v>
      </c>
      <c r="H116" s="572">
        <f t="shared" si="10"/>
        <v>0</v>
      </c>
      <c r="I116" s="572">
        <f t="shared" si="10"/>
        <v>0</v>
      </c>
      <c r="J116" s="572">
        <f t="shared" si="10"/>
        <v>0</v>
      </c>
      <c r="K116" s="572">
        <f t="shared" si="10"/>
        <v>9.3036146234324768E-6</v>
      </c>
      <c r="L116" s="572">
        <f t="shared" si="10"/>
        <v>2.0863174107854798E-5</v>
      </c>
      <c r="M116" s="572">
        <f t="shared" si="10"/>
        <v>3.9285248301842602E-5</v>
      </c>
      <c r="N116" s="572">
        <f t="shared" si="10"/>
        <v>5.762449576632511E-5</v>
      </c>
      <c r="O116" s="572">
        <f t="shared" si="10"/>
        <v>8.2822795964448826E-5</v>
      </c>
      <c r="P116" s="572">
        <f t="shared" si="10"/>
        <v>1.080885242557396E-4</v>
      </c>
      <c r="Q116" s="572">
        <f t="shared" si="10"/>
        <v>1.313657066049777E-4</v>
      </c>
      <c r="R116" s="572">
        <f t="shared" si="10"/>
        <v>1.5256283657628139E-4</v>
      </c>
      <c r="S116" s="572">
        <f t="shared" si="10"/>
        <v>1.6903747560248619E-4</v>
      </c>
      <c r="T116" s="572">
        <f t="shared" si="10"/>
        <v>1.852557722608108E-4</v>
      </c>
      <c r="U116" s="572">
        <f t="shared" si="10"/>
        <v>2.0359600424150949E-4</v>
      </c>
      <c r="V116" s="572">
        <f t="shared" si="10"/>
        <v>2.1908588182021951E-4</v>
      </c>
      <c r="W116" s="572">
        <f t="shared" si="10"/>
        <v>2.3642555806566921E-4</v>
      </c>
      <c r="X116" s="572">
        <f t="shared" si="10"/>
        <v>2.5156468733034262E-4</v>
      </c>
      <c r="Y116" s="572">
        <f t="shared" si="10"/>
        <v>2.6969387346895552E-4</v>
      </c>
      <c r="Z116" s="572">
        <f t="shared" si="10"/>
        <v>2.9085115325012397E-4</v>
      </c>
      <c r="AA116" s="572">
        <f t="shared" si="10"/>
        <v>3.0973479855850972E-4</v>
      </c>
      <c r="AB116" s="572">
        <f t="shared" si="10"/>
        <v>3.330461144484584E-4</v>
      </c>
      <c r="AC116" s="572">
        <f t="shared" si="10"/>
        <v>3.5354917845680422E-4</v>
      </c>
      <c r="AD116" s="572">
        <f t="shared" si="10"/>
        <v>3.7605786330928268E-4</v>
      </c>
      <c r="AE116" s="572">
        <f t="shared" si="10"/>
        <v>4.0035265374947169E-4</v>
      </c>
      <c r="AF116" s="572">
        <f t="shared" si="10"/>
        <v>4.2387287872683359E-4</v>
      </c>
      <c r="AG116" s="572">
        <f t="shared" si="10"/>
        <v>4.5009971253825049E-4</v>
      </c>
      <c r="AH116" s="572">
        <f t="shared" si="10"/>
        <v>4.7619198320438021E-4</v>
      </c>
      <c r="AI116" s="572">
        <f t="shared" si="10"/>
        <v>5.0446574040930326E-4</v>
      </c>
      <c r="AJ116" s="572">
        <f t="shared" si="10"/>
        <v>5.3214126222195246E-4</v>
      </c>
      <c r="AK116" s="572">
        <f t="shared" si="10"/>
        <v>5.5199864253537782E-4</v>
      </c>
      <c r="AL116" s="572">
        <f t="shared" si="10"/>
        <v>5.6954536712445038E-4</v>
      </c>
      <c r="AM116" s="572"/>
    </row>
    <row r="117" spans="1:39" ht="15.75" customHeight="1" x14ac:dyDescent="0.25">
      <c r="A117" s="3"/>
      <c r="B117" s="3" t="str">
        <f t="shared" si="5"/>
        <v>Fire protection</v>
      </c>
      <c r="C117" s="3" t="str">
        <f t="shared" si="5"/>
        <v>HFC</v>
      </c>
      <c r="D117" s="3" t="str">
        <f t="shared" si="5"/>
        <v>HFC-236fa</v>
      </c>
      <c r="E117" s="1052">
        <f t="shared" si="7"/>
        <v>0.92431761786600497</v>
      </c>
      <c r="F117" s="572">
        <f t="shared" si="10"/>
        <v>0</v>
      </c>
      <c r="G117" s="572">
        <f t="shared" si="10"/>
        <v>0</v>
      </c>
      <c r="H117" s="572">
        <f t="shared" si="10"/>
        <v>0</v>
      </c>
      <c r="I117" s="572">
        <f t="shared" si="10"/>
        <v>0</v>
      </c>
      <c r="J117" s="572">
        <f t="shared" si="10"/>
        <v>0</v>
      </c>
      <c r="K117" s="572">
        <f t="shared" si="10"/>
        <v>0</v>
      </c>
      <c r="L117" s="572">
        <f t="shared" si="10"/>
        <v>0</v>
      </c>
      <c r="M117" s="572">
        <f t="shared" si="10"/>
        <v>1.8188063605400042E-4</v>
      </c>
      <c r="N117" s="572">
        <f t="shared" si="10"/>
        <v>5.5393870123757682E-4</v>
      </c>
      <c r="O117" s="572">
        <f t="shared" si="10"/>
        <v>1.1279039902040268E-3</v>
      </c>
      <c r="P117" s="572">
        <f t="shared" si="10"/>
        <v>1.7188449298169931E-3</v>
      </c>
      <c r="Q117" s="572">
        <f t="shared" si="10"/>
        <v>2.3331445337279803E-3</v>
      </c>
      <c r="R117" s="572">
        <f t="shared" si="10"/>
        <v>2.9720299407815917E-3</v>
      </c>
      <c r="S117" s="572">
        <f t="shared" si="10"/>
        <v>3.4460433182189787E-3</v>
      </c>
      <c r="T117" s="572">
        <f t="shared" si="10"/>
        <v>3.7425587741862693E-3</v>
      </c>
      <c r="U117" s="572">
        <f t="shared" si="10"/>
        <v>3.8517464550600344E-3</v>
      </c>
      <c r="V117" s="572">
        <f t="shared" si="10"/>
        <v>3.9543885781205884E-3</v>
      </c>
      <c r="W117" s="572">
        <f t="shared" si="10"/>
        <v>4.0545169106736218E-3</v>
      </c>
      <c r="X117" s="572">
        <f t="shared" si="10"/>
        <v>4.160518442529521E-3</v>
      </c>
      <c r="Y117" s="572">
        <f t="shared" si="10"/>
        <v>4.2829108635559455E-3</v>
      </c>
      <c r="Z117" s="572">
        <f t="shared" si="10"/>
        <v>4.4195412665630658E-3</v>
      </c>
      <c r="AA117" s="572">
        <f t="shared" si="10"/>
        <v>4.5612889730013793E-3</v>
      </c>
      <c r="AB117" s="572">
        <f t="shared" si="10"/>
        <v>4.7029519618468196E-3</v>
      </c>
      <c r="AC117" s="572">
        <f t="shared" si="10"/>
        <v>4.8413983253331599E-3</v>
      </c>
      <c r="AD117" s="572">
        <f t="shared" si="10"/>
        <v>4.9802794847461519E-3</v>
      </c>
      <c r="AE117" s="572">
        <f t="shared" si="10"/>
        <v>5.1185732511956662E-3</v>
      </c>
      <c r="AF117" s="572">
        <f t="shared" si="10"/>
        <v>5.2521348867634382E-3</v>
      </c>
      <c r="AG117" s="572">
        <f t="shared" si="10"/>
        <v>5.3961642772799683E-3</v>
      </c>
      <c r="AH117" s="572">
        <f t="shared" si="10"/>
        <v>5.5435128987929103E-3</v>
      </c>
      <c r="AI117" s="572">
        <f t="shared" si="10"/>
        <v>5.6961191195980965E-3</v>
      </c>
      <c r="AJ117" s="572">
        <f t="shared" si="10"/>
        <v>5.9236262723732025E-3</v>
      </c>
      <c r="AK117" s="572">
        <f t="shared" si="10"/>
        <v>6.092937029161076E-3</v>
      </c>
      <c r="AL117" s="572">
        <f t="shared" si="10"/>
        <v>6.2438817220323148E-3</v>
      </c>
      <c r="AM117" s="572"/>
    </row>
    <row r="118" spans="1:39" ht="15.75" customHeight="1" x14ac:dyDescent="0.25">
      <c r="A118" s="3"/>
      <c r="B118" s="3" t="str">
        <f t="shared" si="5"/>
        <v>Refrigeration and air-conditioning</v>
      </c>
      <c r="C118" s="3" t="str">
        <f t="shared" si="5"/>
        <v>HFC</v>
      </c>
      <c r="D118" s="3" t="str">
        <f t="shared" si="5"/>
        <v>HFC-236fa</v>
      </c>
      <c r="E118" s="1052">
        <f t="shared" si="7"/>
        <v>0.92431761786600497</v>
      </c>
      <c r="F118" s="572">
        <f t="shared" si="10"/>
        <v>0</v>
      </c>
      <c r="G118" s="572">
        <f t="shared" si="10"/>
        <v>0</v>
      </c>
      <c r="H118" s="572">
        <f t="shared" si="10"/>
        <v>0</v>
      </c>
      <c r="I118" s="572">
        <f t="shared" si="10"/>
        <v>1.0120891116820127E-3</v>
      </c>
      <c r="J118" s="572">
        <f t="shared" si="10"/>
        <v>3.0527457275667793E-3</v>
      </c>
      <c r="K118" s="572">
        <f t="shared" si="10"/>
        <v>5.0600502965382063E-3</v>
      </c>
      <c r="L118" s="572">
        <f t="shared" si="10"/>
        <v>6.2966125049731727E-3</v>
      </c>
      <c r="M118" s="572">
        <f t="shared" si="10"/>
        <v>7.5279145701129015E-3</v>
      </c>
      <c r="N118" s="572">
        <f t="shared" si="10"/>
        <v>8.649752819824762E-3</v>
      </c>
      <c r="O118" s="572">
        <f t="shared" si="10"/>
        <v>9.6701180336609908E-3</v>
      </c>
      <c r="P118" s="572">
        <f t="shared" si="10"/>
        <v>1.0601846580776363E-2</v>
      </c>
      <c r="Q118" s="572">
        <f t="shared" si="10"/>
        <v>1.1458024342195278E-2</v>
      </c>
      <c r="R118" s="572">
        <f t="shared" si="10"/>
        <v>1.2222820331223736E-2</v>
      </c>
      <c r="S118" s="572">
        <f t="shared" si="10"/>
        <v>1.2874317669276721E-2</v>
      </c>
      <c r="T118" s="572">
        <f t="shared" si="10"/>
        <v>1.3400864726008229E-2</v>
      </c>
      <c r="U118" s="572">
        <f t="shared" si="10"/>
        <v>1.3807072370303618E-2</v>
      </c>
      <c r="V118" s="572">
        <f t="shared" si="10"/>
        <v>1.4077290803680855E-2</v>
      </c>
      <c r="W118" s="572">
        <f t="shared" si="10"/>
        <v>1.4217011847664758E-2</v>
      </c>
      <c r="X118" s="572">
        <f t="shared" si="10"/>
        <v>1.4265027235911986E-2</v>
      </c>
      <c r="Y118" s="572">
        <f t="shared" si="10"/>
        <v>1.4252110244580687E-2</v>
      </c>
      <c r="Z118" s="572">
        <f t="shared" si="10"/>
        <v>1.4280952305622064E-2</v>
      </c>
      <c r="AA118" s="572">
        <f t="shared" si="10"/>
        <v>1.4306926035292027E-2</v>
      </c>
      <c r="AB118" s="572">
        <f t="shared" si="10"/>
        <v>1.4322751881457783E-2</v>
      </c>
      <c r="AC118" s="572">
        <f t="shared" si="10"/>
        <v>1.4551781291243541E-2</v>
      </c>
      <c r="AD118" s="572">
        <f t="shared" si="10"/>
        <v>1.3816659184652597E-2</v>
      </c>
      <c r="AE118" s="572">
        <f t="shared" si="10"/>
        <v>1.1808180129168086E-2</v>
      </c>
      <c r="AF118" s="572">
        <f t="shared" si="10"/>
        <v>1.0537129845811117E-2</v>
      </c>
      <c r="AG118" s="572">
        <f t="shared" si="10"/>
        <v>9.284516516565226E-3</v>
      </c>
      <c r="AH118" s="572">
        <f t="shared" si="10"/>
        <v>7.9358472930618588E-3</v>
      </c>
      <c r="AI118" s="572">
        <f t="shared" si="10"/>
        <v>6.6910032034792248E-3</v>
      </c>
      <c r="AJ118" s="572">
        <f t="shared" si="10"/>
        <v>5.6203783209730464E-3</v>
      </c>
      <c r="AK118" s="572">
        <f t="shared" si="10"/>
        <v>4.5799810057256668E-3</v>
      </c>
      <c r="AL118" s="572">
        <f t="shared" si="10"/>
        <v>3.6277225463598227E-3</v>
      </c>
      <c r="AM118" s="572"/>
    </row>
    <row r="119" spans="1:39" ht="15.75" customHeight="1" x14ac:dyDescent="0.25">
      <c r="A119" s="3"/>
      <c r="B119" s="3" t="str">
        <f t="shared" si="5"/>
        <v>Refrigeration and air-conditioning</v>
      </c>
      <c r="C119" s="3" t="str">
        <f t="shared" si="5"/>
        <v>HFC</v>
      </c>
      <c r="D119" s="3" t="str">
        <f t="shared" si="5"/>
        <v>HFC-32</v>
      </c>
      <c r="E119" s="1052">
        <f t="shared" si="7"/>
        <v>3.9734121122599704</v>
      </c>
      <c r="F119" s="572">
        <f t="shared" si="10"/>
        <v>0</v>
      </c>
      <c r="G119" s="572">
        <f t="shared" si="10"/>
        <v>0</v>
      </c>
      <c r="H119" s="572">
        <f t="shared" si="10"/>
        <v>0</v>
      </c>
      <c r="I119" s="572">
        <f t="shared" si="10"/>
        <v>0</v>
      </c>
      <c r="J119" s="572">
        <f t="shared" si="10"/>
        <v>0</v>
      </c>
      <c r="K119" s="572">
        <f t="shared" si="10"/>
        <v>0</v>
      </c>
      <c r="L119" s="572">
        <f t="shared" si="10"/>
        <v>1.2106596105091562E-5</v>
      </c>
      <c r="M119" s="572">
        <f t="shared" si="10"/>
        <v>3.4377210693017245E-5</v>
      </c>
      <c r="N119" s="572">
        <f t="shared" si="10"/>
        <v>7.3290285380850554E-5</v>
      </c>
      <c r="O119" s="572">
        <f t="shared" si="10"/>
        <v>1.421957429397253E-4</v>
      </c>
      <c r="P119" s="572">
        <f t="shared" si="10"/>
        <v>6.5639018015809392E-4</v>
      </c>
      <c r="Q119" s="572">
        <f t="shared" si="10"/>
        <v>1.6433603848492707E-3</v>
      </c>
      <c r="R119" s="572">
        <f t="shared" si="10"/>
        <v>3.2253604525814506E-3</v>
      </c>
      <c r="S119" s="572">
        <f t="shared" si="10"/>
        <v>5.3652108334412566E-3</v>
      </c>
      <c r="T119" s="572">
        <f t="shared" si="10"/>
        <v>8.215387663612083E-3</v>
      </c>
      <c r="U119" s="572">
        <f t="shared" si="10"/>
        <v>1.2240076466711622E-2</v>
      </c>
      <c r="V119" s="572">
        <f t="shared" si="10"/>
        <v>1.9914888257017448E-2</v>
      </c>
      <c r="W119" s="572">
        <f t="shared" si="10"/>
        <v>2.8566992461242391E-2</v>
      </c>
      <c r="X119" s="572">
        <f t="shared" si="10"/>
        <v>3.7637700322661095E-2</v>
      </c>
      <c r="Y119" s="572">
        <f t="shared" si="10"/>
        <v>4.8490918254132924E-2</v>
      </c>
      <c r="Z119" s="572">
        <f t="shared" si="10"/>
        <v>6.7781254297773749E-2</v>
      </c>
      <c r="AA119" s="572">
        <f t="shared" si="10"/>
        <v>0.12217703544136803</v>
      </c>
      <c r="AB119" s="572">
        <f t="shared" si="10"/>
        <v>0.12971529062385095</v>
      </c>
      <c r="AC119" s="572">
        <f t="shared" si="10"/>
        <v>0.19405204905176154</v>
      </c>
      <c r="AD119" s="572">
        <f t="shared" si="10"/>
        <v>0.24113529019499533</v>
      </c>
      <c r="AE119" s="572">
        <f t="shared" si="10"/>
        <v>0.29225928215637215</v>
      </c>
      <c r="AF119" s="572">
        <f t="shared" si="10"/>
        <v>0.33461691638449109</v>
      </c>
      <c r="AG119" s="572">
        <f t="shared" si="10"/>
        <v>0.32170617202744833</v>
      </c>
      <c r="AH119" s="572">
        <f t="shared" si="10"/>
        <v>0.38822324816948878</v>
      </c>
      <c r="AI119" s="572">
        <f t="shared" si="10"/>
        <v>0.41240101827494574</v>
      </c>
      <c r="AJ119" s="572">
        <f t="shared" si="10"/>
        <v>0.54884866659151543</v>
      </c>
      <c r="AK119" s="572">
        <f t="shared" si="10"/>
        <v>0.67010904358996282</v>
      </c>
      <c r="AL119" s="572">
        <f t="shared" si="10"/>
        <v>0.74899329823056759</v>
      </c>
      <c r="AM119" s="572"/>
    </row>
    <row r="120" spans="1:39" ht="15.75" customHeight="1" x14ac:dyDescent="0.25">
      <c r="A120" s="3"/>
      <c r="B120" s="3" t="str">
        <f t="shared" si="5"/>
        <v>Fire protection</v>
      </c>
      <c r="C120" s="3" t="str">
        <f t="shared" si="5"/>
        <v>HFC</v>
      </c>
      <c r="D120" s="3" t="str">
        <f t="shared" si="5"/>
        <v>Other HFC</v>
      </c>
      <c r="E120" s="1052">
        <f t="shared" si="7"/>
        <v>3.1510713686054377</v>
      </c>
      <c r="F120" s="572">
        <f t="shared" si="10"/>
        <v>0</v>
      </c>
      <c r="G120" s="572">
        <f t="shared" si="10"/>
        <v>0</v>
      </c>
      <c r="H120" s="572">
        <f t="shared" si="10"/>
        <v>0</v>
      </c>
      <c r="I120" s="572">
        <f t="shared" si="10"/>
        <v>0</v>
      </c>
      <c r="J120" s="572">
        <f t="shared" si="10"/>
        <v>2.2034497689914565E-4</v>
      </c>
      <c r="K120" s="572">
        <f t="shared" si="10"/>
        <v>1.8374733925806764E-3</v>
      </c>
      <c r="L120" s="572">
        <f t="shared" si="10"/>
        <v>4.4934743300099646E-3</v>
      </c>
      <c r="M120" s="572">
        <f t="shared" si="10"/>
        <v>8.3726620486651443E-3</v>
      </c>
      <c r="N120" s="572">
        <f t="shared" si="10"/>
        <v>1.3150822454295819E-2</v>
      </c>
      <c r="O120" s="572">
        <f t="shared" si="10"/>
        <v>1.9567606543997827E-2</v>
      </c>
      <c r="P120" s="572">
        <f t="shared" si="10"/>
        <v>2.567819537877869E-2</v>
      </c>
      <c r="Q120" s="572">
        <f t="shared" si="10"/>
        <v>3.1344154826511171E-2</v>
      </c>
      <c r="R120" s="572">
        <f t="shared" si="10"/>
        <v>3.6583809903609807E-2</v>
      </c>
      <c r="S120" s="572">
        <f t="shared" si="10"/>
        <v>4.0755574361690326E-2</v>
      </c>
      <c r="T120" s="572">
        <f t="shared" si="10"/>
        <v>4.4854063141236966E-2</v>
      </c>
      <c r="U120" s="572">
        <f t="shared" si="10"/>
        <v>4.8841005393582361E-2</v>
      </c>
      <c r="V120" s="572">
        <f t="shared" si="10"/>
        <v>5.2628423707945605E-2</v>
      </c>
      <c r="W120" s="572">
        <f t="shared" si="10"/>
        <v>5.6234024772262761E-2</v>
      </c>
      <c r="X120" s="572">
        <f t="shared" si="10"/>
        <v>5.9782730023072723E-2</v>
      </c>
      <c r="Y120" s="572">
        <f t="shared" si="10"/>
        <v>6.3409568161498481E-2</v>
      </c>
      <c r="Z120" s="572">
        <f t="shared" si="10"/>
        <v>6.7201213380360572E-2</v>
      </c>
      <c r="AA120" s="572">
        <f t="shared" si="10"/>
        <v>7.0977797197195297E-2</v>
      </c>
      <c r="AB120" s="572">
        <f t="shared" si="10"/>
        <v>7.4683428142621008E-2</v>
      </c>
      <c r="AC120" s="572">
        <f t="shared" si="10"/>
        <v>7.8234095017293614E-2</v>
      </c>
      <c r="AD120" s="572">
        <f t="shared" si="10"/>
        <v>8.1668150918618315E-2</v>
      </c>
      <c r="AE120" s="572">
        <f t="shared" si="10"/>
        <v>8.4930201087351984E-2</v>
      </c>
      <c r="AF120" s="572">
        <f t="shared" si="10"/>
        <v>8.795618919410518E-2</v>
      </c>
      <c r="AG120" s="572">
        <f t="shared" si="10"/>
        <v>9.0983229281760461E-2</v>
      </c>
      <c r="AH120" s="572">
        <f t="shared" si="10"/>
        <v>9.3876598805508291E-2</v>
      </c>
      <c r="AI120" s="572">
        <f t="shared" si="10"/>
        <v>9.6628271883523173E-2</v>
      </c>
      <c r="AJ120" s="572">
        <f t="shared" si="10"/>
        <v>9.9458170183590211E-2</v>
      </c>
      <c r="AK120" s="572">
        <f t="shared" si="10"/>
        <v>0.10127252258403674</v>
      </c>
      <c r="AL120" s="572">
        <f t="shared" si="10"/>
        <v>0.1027134051706213</v>
      </c>
      <c r="AM120" s="572"/>
    </row>
    <row r="121" spans="1:39" ht="15.75" customHeight="1" x14ac:dyDescent="0.25">
      <c r="A121" s="3"/>
      <c r="B121" s="3" t="str">
        <f t="shared" ref="B121:D136" si="11">B31</f>
        <v>Foam blowing agents</v>
      </c>
      <c r="C121" s="3" t="str">
        <f t="shared" si="11"/>
        <v>HFC</v>
      </c>
      <c r="D121" s="3" t="str">
        <f t="shared" si="11"/>
        <v>Other HFC</v>
      </c>
      <c r="E121" s="1052">
        <f t="shared" si="7"/>
        <v>3.1510713686054377</v>
      </c>
      <c r="F121" s="572">
        <f t="shared" si="10"/>
        <v>0</v>
      </c>
      <c r="G121" s="572">
        <f t="shared" si="10"/>
        <v>0</v>
      </c>
      <c r="H121" s="572">
        <f t="shared" si="10"/>
        <v>0</v>
      </c>
      <c r="I121" s="572">
        <f t="shared" si="10"/>
        <v>0</v>
      </c>
      <c r="J121" s="572">
        <f t="shared" si="10"/>
        <v>0</v>
      </c>
      <c r="K121" s="572">
        <f t="shared" si="10"/>
        <v>0</v>
      </c>
      <c r="L121" s="572">
        <f t="shared" si="10"/>
        <v>0</v>
      </c>
      <c r="M121" s="572">
        <f t="shared" si="10"/>
        <v>0</v>
      </c>
      <c r="N121" s="572">
        <f t="shared" si="10"/>
        <v>0</v>
      </c>
      <c r="O121" s="572">
        <f t="shared" si="10"/>
        <v>0</v>
      </c>
      <c r="P121" s="572">
        <f t="shared" si="10"/>
        <v>0</v>
      </c>
      <c r="Q121" s="572">
        <f t="shared" si="10"/>
        <v>0</v>
      </c>
      <c r="R121" s="572">
        <f t="shared" si="10"/>
        <v>0</v>
      </c>
      <c r="S121" s="572">
        <f t="shared" si="10"/>
        <v>0</v>
      </c>
      <c r="T121" s="572">
        <f t="shared" si="10"/>
        <v>0</v>
      </c>
      <c r="U121" s="572">
        <f t="shared" si="10"/>
        <v>0</v>
      </c>
      <c r="V121" s="572">
        <f t="shared" si="10"/>
        <v>0</v>
      </c>
      <c r="W121" s="572">
        <f t="shared" si="10"/>
        <v>0</v>
      </c>
      <c r="X121" s="572">
        <f t="shared" si="10"/>
        <v>0</v>
      </c>
      <c r="Y121" s="572">
        <f t="shared" si="10"/>
        <v>0</v>
      </c>
      <c r="Z121" s="572">
        <f t="shared" si="10"/>
        <v>0</v>
      </c>
      <c r="AA121" s="572">
        <f t="shared" si="10"/>
        <v>0</v>
      </c>
      <c r="AB121" s="572">
        <f t="shared" si="10"/>
        <v>0</v>
      </c>
      <c r="AC121" s="572">
        <f t="shared" si="10"/>
        <v>0</v>
      </c>
      <c r="AD121" s="572">
        <f t="shared" ref="AD121:AL121" si="12">AD31*$E121</f>
        <v>0</v>
      </c>
      <c r="AE121" s="572">
        <f t="shared" si="12"/>
        <v>0</v>
      </c>
      <c r="AF121" s="572">
        <f t="shared" si="12"/>
        <v>0</v>
      </c>
      <c r="AG121" s="572">
        <f t="shared" si="12"/>
        <v>1.5499473968193162E-5</v>
      </c>
      <c r="AH121" s="572">
        <f t="shared" si="12"/>
        <v>3.5747866495680514E-5</v>
      </c>
      <c r="AI121" s="572">
        <f t="shared" si="12"/>
        <v>6.0367376012748783E-5</v>
      </c>
      <c r="AJ121" s="572">
        <f t="shared" si="12"/>
        <v>9.0824389011100767E-5</v>
      </c>
      <c r="AK121" s="572">
        <f t="shared" si="12"/>
        <v>1.2529001097817729E-4</v>
      </c>
      <c r="AL121" s="572">
        <f t="shared" si="12"/>
        <v>1.4230913943980096E-4</v>
      </c>
      <c r="AM121" s="572"/>
    </row>
    <row r="122" spans="1:39" ht="15.75" customHeight="1" x14ac:dyDescent="0.25">
      <c r="A122" s="3"/>
      <c r="B122" s="3" t="str">
        <f t="shared" si="11"/>
        <v>Foam blowing agents</v>
      </c>
      <c r="C122" s="3" t="str">
        <f t="shared" si="11"/>
        <v>HFC</v>
      </c>
      <c r="D122" s="3" t="str">
        <f t="shared" si="11"/>
        <v>Other HFC</v>
      </c>
      <c r="E122" s="1052">
        <f t="shared" si="7"/>
        <v>3.1510713686054377</v>
      </c>
      <c r="F122" s="572">
        <f t="shared" ref="F122:AL129" si="13">F32*$E122</f>
        <v>0</v>
      </c>
      <c r="G122" s="572">
        <f t="shared" si="13"/>
        <v>0</v>
      </c>
      <c r="H122" s="572">
        <f t="shared" si="13"/>
        <v>0</v>
      </c>
      <c r="I122" s="572">
        <f t="shared" si="13"/>
        <v>0</v>
      </c>
      <c r="J122" s="572">
        <f t="shared" si="13"/>
        <v>0</v>
      </c>
      <c r="K122" s="572">
        <f t="shared" si="13"/>
        <v>0</v>
      </c>
      <c r="L122" s="572">
        <f t="shared" si="13"/>
        <v>0</v>
      </c>
      <c r="M122" s="572">
        <f t="shared" si="13"/>
        <v>0</v>
      </c>
      <c r="N122" s="572">
        <f t="shared" si="13"/>
        <v>0</v>
      </c>
      <c r="O122" s="572">
        <f t="shared" si="13"/>
        <v>0</v>
      </c>
      <c r="P122" s="572">
        <f t="shared" si="13"/>
        <v>0</v>
      </c>
      <c r="Q122" s="572">
        <f t="shared" si="13"/>
        <v>0</v>
      </c>
      <c r="R122" s="572">
        <f t="shared" si="13"/>
        <v>0</v>
      </c>
      <c r="S122" s="572">
        <f t="shared" si="13"/>
        <v>0</v>
      </c>
      <c r="T122" s="572">
        <f t="shared" si="13"/>
        <v>0</v>
      </c>
      <c r="U122" s="572">
        <f t="shared" si="13"/>
        <v>0</v>
      </c>
      <c r="V122" s="572">
        <f t="shared" si="13"/>
        <v>0</v>
      </c>
      <c r="W122" s="572">
        <f t="shared" si="13"/>
        <v>0</v>
      </c>
      <c r="X122" s="572">
        <f t="shared" si="13"/>
        <v>0</v>
      </c>
      <c r="Y122" s="572">
        <f t="shared" si="13"/>
        <v>0</v>
      </c>
      <c r="Z122" s="572">
        <f t="shared" si="13"/>
        <v>0</v>
      </c>
      <c r="AA122" s="572">
        <f t="shared" si="13"/>
        <v>0</v>
      </c>
      <c r="AB122" s="572">
        <f t="shared" si="13"/>
        <v>0</v>
      </c>
      <c r="AC122" s="572">
        <f t="shared" si="13"/>
        <v>0</v>
      </c>
      <c r="AD122" s="572">
        <f t="shared" si="13"/>
        <v>0</v>
      </c>
      <c r="AE122" s="572">
        <f t="shared" si="13"/>
        <v>1.0964350385754675E-6</v>
      </c>
      <c r="AF122" s="572">
        <f t="shared" si="13"/>
        <v>9.4527728129965025E-6</v>
      </c>
      <c r="AG122" s="572">
        <f t="shared" si="13"/>
        <v>2.6665264744951598E-5</v>
      </c>
      <c r="AH122" s="572">
        <f t="shared" si="13"/>
        <v>4.2966933688773102E-5</v>
      </c>
      <c r="AI122" s="572">
        <f t="shared" si="13"/>
        <v>6.2539203485572487E-5</v>
      </c>
      <c r="AJ122" s="572">
        <f t="shared" si="13"/>
        <v>8.9392027230833298E-5</v>
      </c>
      <c r="AK122" s="572">
        <f t="shared" si="13"/>
        <v>1.0527210437986706E-4</v>
      </c>
      <c r="AL122" s="572">
        <f t="shared" si="13"/>
        <v>1.1775427111062295E-4</v>
      </c>
      <c r="AM122" s="572"/>
    </row>
    <row r="123" spans="1:39" ht="15.75" customHeight="1" x14ac:dyDescent="0.25">
      <c r="A123" s="3"/>
      <c r="B123" s="3" t="str">
        <f t="shared" si="11"/>
        <v>Foam blowing agents</v>
      </c>
      <c r="C123" s="3" t="str">
        <f t="shared" si="11"/>
        <v>HFC</v>
      </c>
      <c r="D123" s="3" t="str">
        <f t="shared" si="11"/>
        <v>Other HFC</v>
      </c>
      <c r="E123" s="1052">
        <f t="shared" si="7"/>
        <v>3.1510713686054377</v>
      </c>
      <c r="F123" s="572">
        <f t="shared" si="13"/>
        <v>3.9301212549713166E-4</v>
      </c>
      <c r="G123" s="572">
        <f t="shared" si="13"/>
        <v>6.2131883103694005E-4</v>
      </c>
      <c r="H123" s="572">
        <f t="shared" si="13"/>
        <v>8.693179903539425E-4</v>
      </c>
      <c r="I123" s="572">
        <f t="shared" si="13"/>
        <v>1.1377365290470734E-3</v>
      </c>
      <c r="J123" s="572">
        <f t="shared" si="13"/>
        <v>1.2253811700391295E-3</v>
      </c>
      <c r="K123" s="572">
        <f t="shared" si="13"/>
        <v>2.2318811930273864E-3</v>
      </c>
      <c r="L123" s="572">
        <f t="shared" si="13"/>
        <v>3.5739684386170622E-3</v>
      </c>
      <c r="M123" s="572">
        <f t="shared" si="13"/>
        <v>4.9597734157874936E-3</v>
      </c>
      <c r="N123" s="572">
        <f t="shared" si="13"/>
        <v>6.3934797139017343E-3</v>
      </c>
      <c r="O123" s="572">
        <f t="shared" si="13"/>
        <v>7.8795602744110779E-3</v>
      </c>
      <c r="P123" s="572">
        <f t="shared" si="13"/>
        <v>8.4278697807469924E-3</v>
      </c>
      <c r="Q123" s="572">
        <f t="shared" si="13"/>
        <v>8.6811167018266203E-3</v>
      </c>
      <c r="R123" s="572">
        <f t="shared" si="13"/>
        <v>8.9477694293404516E-3</v>
      </c>
      <c r="S123" s="572">
        <f t="shared" si="13"/>
        <v>9.2093107905731331E-3</v>
      </c>
      <c r="T123" s="572">
        <f t="shared" si="13"/>
        <v>9.4607012376477437E-3</v>
      </c>
      <c r="U123" s="572">
        <f t="shared" si="13"/>
        <v>9.4977748179700672E-3</v>
      </c>
      <c r="V123" s="572">
        <f t="shared" si="13"/>
        <v>9.4950382698214646E-3</v>
      </c>
      <c r="W123" s="572">
        <f t="shared" si="13"/>
        <v>9.4596971048549229E-3</v>
      </c>
      <c r="X123" s="572">
        <f t="shared" si="13"/>
        <v>9.4147206018863634E-3</v>
      </c>
      <c r="Y123" s="572">
        <f t="shared" si="13"/>
        <v>1.0175390928081894E-2</v>
      </c>
      <c r="Z123" s="572">
        <f t="shared" si="13"/>
        <v>1.0996778048981158E-2</v>
      </c>
      <c r="AA123" s="572">
        <f t="shared" si="13"/>
        <v>1.1228867207222108E-2</v>
      </c>
      <c r="AB123" s="572">
        <f t="shared" si="13"/>
        <v>1.1442979121149647E-2</v>
      </c>
      <c r="AC123" s="572">
        <f t="shared" si="13"/>
        <v>1.1629694640172538E-2</v>
      </c>
      <c r="AD123" s="572">
        <f t="shared" si="13"/>
        <v>1.1812353545748141E-2</v>
      </c>
      <c r="AE123" s="572">
        <f t="shared" si="13"/>
        <v>1.1985505799120633E-2</v>
      </c>
      <c r="AF123" s="572">
        <f t="shared" si="13"/>
        <v>1.2143604229672826E-2</v>
      </c>
      <c r="AG123" s="572">
        <f t="shared" si="13"/>
        <v>1.2322010751256812E-2</v>
      </c>
      <c r="AH123" s="572">
        <f t="shared" si="13"/>
        <v>1.250434059146615E-2</v>
      </c>
      <c r="AI123" s="572">
        <f t="shared" si="13"/>
        <v>1.269167686736046E-2</v>
      </c>
      <c r="AJ123" s="572">
        <f t="shared" si="13"/>
        <v>1.303794194047524E-2</v>
      </c>
      <c r="AK123" s="572">
        <f t="shared" si="13"/>
        <v>1.3250662425907743E-2</v>
      </c>
      <c r="AL123" s="572">
        <f t="shared" si="13"/>
        <v>1.3415112695085883E-2</v>
      </c>
      <c r="AM123" s="572"/>
    </row>
    <row r="124" spans="1:39" ht="15.75" customHeight="1" x14ac:dyDescent="0.25">
      <c r="A124" s="3"/>
      <c r="B124" s="3" t="str">
        <f t="shared" si="11"/>
        <v>Foam blowing agents</v>
      </c>
      <c r="C124" s="3" t="str">
        <f t="shared" si="11"/>
        <v>HFC</v>
      </c>
      <c r="D124" s="3" t="str">
        <f t="shared" si="11"/>
        <v>Other HFC</v>
      </c>
      <c r="E124" s="1052">
        <f t="shared" si="7"/>
        <v>3.1510713686054377</v>
      </c>
      <c r="F124" s="572">
        <f t="shared" si="13"/>
        <v>0</v>
      </c>
      <c r="G124" s="572">
        <f t="shared" si="13"/>
        <v>0</v>
      </c>
      <c r="H124" s="572">
        <f t="shared" si="13"/>
        <v>0</v>
      </c>
      <c r="I124" s="572">
        <f t="shared" si="13"/>
        <v>0</v>
      </c>
      <c r="J124" s="572">
        <f t="shared" si="13"/>
        <v>0</v>
      </c>
      <c r="K124" s="572">
        <f t="shared" si="13"/>
        <v>0</v>
      </c>
      <c r="L124" s="572">
        <f t="shared" si="13"/>
        <v>0</v>
      </c>
      <c r="M124" s="572">
        <f t="shared" si="13"/>
        <v>0</v>
      </c>
      <c r="N124" s="572">
        <f t="shared" si="13"/>
        <v>0</v>
      </c>
      <c r="O124" s="572">
        <f t="shared" si="13"/>
        <v>0</v>
      </c>
      <c r="P124" s="572">
        <f t="shared" si="13"/>
        <v>0</v>
      </c>
      <c r="Q124" s="572">
        <f t="shared" si="13"/>
        <v>0</v>
      </c>
      <c r="R124" s="572">
        <f t="shared" si="13"/>
        <v>0</v>
      </c>
      <c r="S124" s="572">
        <f t="shared" si="13"/>
        <v>0</v>
      </c>
      <c r="T124" s="572">
        <f t="shared" si="13"/>
        <v>0</v>
      </c>
      <c r="U124" s="572">
        <f t="shared" si="13"/>
        <v>0</v>
      </c>
      <c r="V124" s="572">
        <f t="shared" si="13"/>
        <v>0</v>
      </c>
      <c r="W124" s="572">
        <f t="shared" si="13"/>
        <v>0</v>
      </c>
      <c r="X124" s="572">
        <f t="shared" si="13"/>
        <v>0</v>
      </c>
      <c r="Y124" s="572">
        <f t="shared" si="13"/>
        <v>0</v>
      </c>
      <c r="Z124" s="572">
        <f t="shared" si="13"/>
        <v>0</v>
      </c>
      <c r="AA124" s="572">
        <f t="shared" si="13"/>
        <v>0</v>
      </c>
      <c r="AB124" s="572">
        <f t="shared" si="13"/>
        <v>0</v>
      </c>
      <c r="AC124" s="572">
        <f t="shared" si="13"/>
        <v>0</v>
      </c>
      <c r="AD124" s="572">
        <f t="shared" si="13"/>
        <v>0</v>
      </c>
      <c r="AE124" s="572">
        <f t="shared" si="13"/>
        <v>0</v>
      </c>
      <c r="AF124" s="572">
        <f t="shared" si="13"/>
        <v>4.128399933012974E-5</v>
      </c>
      <c r="AG124" s="572">
        <f t="shared" si="13"/>
        <v>9.1903891450028816E-5</v>
      </c>
      <c r="AH124" s="572">
        <f t="shared" si="13"/>
        <v>1.5356594730938565E-4</v>
      </c>
      <c r="AI124" s="572">
        <f t="shared" si="13"/>
        <v>2.2770903972675442E-4</v>
      </c>
      <c r="AJ124" s="572">
        <f t="shared" si="13"/>
        <v>3.2026808491360465E-4</v>
      </c>
      <c r="AK124" s="572">
        <f t="shared" si="13"/>
        <v>3.6764376594616578E-4</v>
      </c>
      <c r="AL124" s="572">
        <f t="shared" si="13"/>
        <v>4.1625472299005944E-4</v>
      </c>
      <c r="AM124" s="572"/>
    </row>
    <row r="125" spans="1:39" ht="15.75" customHeight="1" x14ac:dyDescent="0.25">
      <c r="A125" s="3"/>
      <c r="B125" s="3" t="str">
        <f t="shared" si="11"/>
        <v>Foam blowing agents</v>
      </c>
      <c r="C125" s="3" t="str">
        <f t="shared" si="11"/>
        <v>HFC</v>
      </c>
      <c r="D125" s="3" t="str">
        <f t="shared" si="11"/>
        <v>Other HFC</v>
      </c>
      <c r="E125" s="1052">
        <f t="shared" si="7"/>
        <v>3.1510713686054377</v>
      </c>
      <c r="F125" s="572">
        <f t="shared" si="13"/>
        <v>0</v>
      </c>
      <c r="G125" s="572">
        <f t="shared" si="13"/>
        <v>0</v>
      </c>
      <c r="H125" s="572">
        <f t="shared" si="13"/>
        <v>0</v>
      </c>
      <c r="I125" s="572">
        <f t="shared" si="13"/>
        <v>0</v>
      </c>
      <c r="J125" s="572">
        <f t="shared" si="13"/>
        <v>0</v>
      </c>
      <c r="K125" s="572">
        <f t="shared" si="13"/>
        <v>0</v>
      </c>
      <c r="L125" s="572">
        <f t="shared" si="13"/>
        <v>0</v>
      </c>
      <c r="M125" s="572">
        <f t="shared" si="13"/>
        <v>0</v>
      </c>
      <c r="N125" s="572">
        <f t="shared" si="13"/>
        <v>0</v>
      </c>
      <c r="O125" s="572">
        <f t="shared" si="13"/>
        <v>0</v>
      </c>
      <c r="P125" s="572">
        <f t="shared" si="13"/>
        <v>0</v>
      </c>
      <c r="Q125" s="572">
        <f t="shared" si="13"/>
        <v>0</v>
      </c>
      <c r="R125" s="572">
        <f t="shared" si="13"/>
        <v>5.3811122248354683E-3</v>
      </c>
      <c r="S125" s="572">
        <f t="shared" si="13"/>
        <v>1.1701708970743531E-2</v>
      </c>
      <c r="T125" s="572">
        <f t="shared" si="13"/>
        <v>1.3169210501605801E-2</v>
      </c>
      <c r="U125" s="572">
        <f t="shared" si="13"/>
        <v>1.4681194978391023E-2</v>
      </c>
      <c r="V125" s="572">
        <f t="shared" si="13"/>
        <v>1.6213901102938411E-2</v>
      </c>
      <c r="W125" s="572">
        <f t="shared" si="13"/>
        <v>1.7773336265136483E-2</v>
      </c>
      <c r="X125" s="572">
        <f t="shared" si="13"/>
        <v>1.9402432755360053E-2</v>
      </c>
      <c r="Y125" s="572">
        <f t="shared" si="13"/>
        <v>2.1151167172264729E-2</v>
      </c>
      <c r="Z125" s="572">
        <f t="shared" si="13"/>
        <v>2.3028693271167796E-2</v>
      </c>
      <c r="AA125" s="572">
        <f t="shared" si="13"/>
        <v>2.4982270517616E-2</v>
      </c>
      <c r="AB125" s="572">
        <f t="shared" si="13"/>
        <v>2.6999970598364662E-2</v>
      </c>
      <c r="AC125" s="572">
        <f t="shared" si="13"/>
        <v>2.9055474489210607E-2</v>
      </c>
      <c r="AD125" s="572">
        <f t="shared" si="13"/>
        <v>3.1169467611792123E-2</v>
      </c>
      <c r="AE125" s="572">
        <f t="shared" si="13"/>
        <v>3.3326335135242725E-2</v>
      </c>
      <c r="AF125" s="572">
        <f t="shared" si="13"/>
        <v>3.2015447583425456E-2</v>
      </c>
      <c r="AG125" s="572">
        <f t="shared" si="13"/>
        <v>3.0162387065744145E-2</v>
      </c>
      <c r="AH125" s="572">
        <f t="shared" si="13"/>
        <v>2.7900138291621485E-2</v>
      </c>
      <c r="AI125" s="572">
        <f t="shared" si="13"/>
        <v>2.473154939198997E-2</v>
      </c>
      <c r="AJ125" s="572">
        <f t="shared" si="13"/>
        <v>2.0801290846097307E-2</v>
      </c>
      <c r="AK125" s="572">
        <f t="shared" si="13"/>
        <v>2.0775042253684723E-2</v>
      </c>
      <c r="AL125" s="572">
        <f t="shared" si="13"/>
        <v>2.0666830330765718E-2</v>
      </c>
      <c r="AM125" s="572"/>
    </row>
    <row r="126" spans="1:39" ht="15.75" customHeight="1" x14ac:dyDescent="0.25">
      <c r="A126" s="3"/>
      <c r="B126" s="3" t="str">
        <f t="shared" si="11"/>
        <v>Foam blowing agents</v>
      </c>
      <c r="C126" s="3" t="str">
        <f t="shared" si="11"/>
        <v>HFC</v>
      </c>
      <c r="D126" s="3" t="str">
        <f t="shared" si="11"/>
        <v>Other HFC</v>
      </c>
      <c r="E126" s="1052">
        <f t="shared" si="7"/>
        <v>3.1510713686054377</v>
      </c>
      <c r="F126" s="572">
        <f t="shared" si="13"/>
        <v>0</v>
      </c>
      <c r="G126" s="572">
        <f t="shared" si="13"/>
        <v>0</v>
      </c>
      <c r="H126" s="572">
        <f t="shared" si="13"/>
        <v>0</v>
      </c>
      <c r="I126" s="572">
        <f t="shared" si="13"/>
        <v>0</v>
      </c>
      <c r="J126" s="572">
        <f t="shared" si="13"/>
        <v>0</v>
      </c>
      <c r="K126" s="572">
        <f t="shared" si="13"/>
        <v>0</v>
      </c>
      <c r="L126" s="572">
        <f t="shared" si="13"/>
        <v>0</v>
      </c>
      <c r="M126" s="572">
        <f t="shared" si="13"/>
        <v>0</v>
      </c>
      <c r="N126" s="572">
        <f t="shared" si="13"/>
        <v>0</v>
      </c>
      <c r="O126" s="572">
        <f t="shared" si="13"/>
        <v>0</v>
      </c>
      <c r="P126" s="572">
        <f t="shared" si="13"/>
        <v>0</v>
      </c>
      <c r="Q126" s="572">
        <f t="shared" si="13"/>
        <v>0</v>
      </c>
      <c r="R126" s="572">
        <f t="shared" si="13"/>
        <v>8.6428940965049671E-3</v>
      </c>
      <c r="S126" s="572">
        <f t="shared" si="13"/>
        <v>1.8794744869932687E-2</v>
      </c>
      <c r="T126" s="572">
        <f t="shared" si="13"/>
        <v>2.1151778097963776E-2</v>
      </c>
      <c r="U126" s="572">
        <f t="shared" si="13"/>
        <v>2.3580257780677266E-2</v>
      </c>
      <c r="V126" s="572">
        <f t="shared" si="13"/>
        <v>2.6042019617642624E-2</v>
      </c>
      <c r="W126" s="572">
        <f t="shared" si="13"/>
        <v>2.8546712401234596E-2</v>
      </c>
      <c r="X126" s="572">
        <f t="shared" si="13"/>
        <v>3.1163291994762914E-2</v>
      </c>
      <c r="Y126" s="572">
        <f t="shared" si="13"/>
        <v>3.3972028504375945E-2</v>
      </c>
      <c r="Z126" s="572">
        <f t="shared" si="13"/>
        <v>3.6987624269383346E-2</v>
      </c>
      <c r="AA126" s="572">
        <f t="shared" si="13"/>
        <v>4.0125369877524769E-2</v>
      </c>
      <c r="AB126" s="572">
        <f t="shared" si="13"/>
        <v>4.3366106622604143E-2</v>
      </c>
      <c r="AC126" s="572">
        <f t="shared" si="13"/>
        <v>4.6667562102670583E-2</v>
      </c>
      <c r="AD126" s="572">
        <f t="shared" si="13"/>
        <v>5.0062960287247653E-2</v>
      </c>
      <c r="AE126" s="572">
        <f t="shared" si="13"/>
        <v>5.3527221355682143E-2</v>
      </c>
      <c r="AF126" s="572">
        <f t="shared" si="13"/>
        <v>5.1421734272455659E-2</v>
      </c>
      <c r="AG126" s="572">
        <f t="shared" si="13"/>
        <v>4.8445433994825975E-2</v>
      </c>
      <c r="AH126" s="572">
        <f t="shared" si="13"/>
        <v>4.4811914425312044E-2</v>
      </c>
      <c r="AI126" s="572">
        <f t="shared" si="13"/>
        <v>3.9722673177288489E-2</v>
      </c>
      <c r="AJ126" s="572">
        <f t="shared" si="13"/>
        <v>3.3410073297423973E-2</v>
      </c>
      <c r="AK126" s="572">
        <f t="shared" si="13"/>
        <v>3.3367914019764383E-2</v>
      </c>
      <c r="AL126" s="572">
        <f t="shared" si="13"/>
        <v>3.3194109023568327E-2</v>
      </c>
      <c r="AM126" s="572"/>
    </row>
    <row r="127" spans="1:39" ht="15.75" customHeight="1" x14ac:dyDescent="0.25">
      <c r="A127" s="3"/>
      <c r="B127" s="3" t="str">
        <f t="shared" si="11"/>
        <v>Foam blowing agents</v>
      </c>
      <c r="C127" s="3" t="str">
        <f t="shared" si="11"/>
        <v>HFC</v>
      </c>
      <c r="D127" s="3" t="str">
        <f t="shared" si="11"/>
        <v>Other HFC</v>
      </c>
      <c r="E127" s="1052">
        <f t="shared" si="7"/>
        <v>3.1510713686054377</v>
      </c>
      <c r="F127" s="572">
        <f t="shared" si="13"/>
        <v>0</v>
      </c>
      <c r="G127" s="572">
        <f t="shared" si="13"/>
        <v>0</v>
      </c>
      <c r="H127" s="572">
        <f t="shared" si="13"/>
        <v>0</v>
      </c>
      <c r="I127" s="572">
        <f t="shared" si="13"/>
        <v>0</v>
      </c>
      <c r="J127" s="572">
        <f t="shared" si="13"/>
        <v>0</v>
      </c>
      <c r="K127" s="572">
        <f t="shared" si="13"/>
        <v>0</v>
      </c>
      <c r="L127" s="572">
        <f t="shared" si="13"/>
        <v>0</v>
      </c>
      <c r="M127" s="572">
        <f t="shared" si="13"/>
        <v>0</v>
      </c>
      <c r="N127" s="572">
        <f t="shared" si="13"/>
        <v>0</v>
      </c>
      <c r="O127" s="572">
        <f t="shared" si="13"/>
        <v>0</v>
      </c>
      <c r="P127" s="572">
        <f t="shared" si="13"/>
        <v>0</v>
      </c>
      <c r="Q127" s="572">
        <f t="shared" si="13"/>
        <v>2.2577061261906217E-3</v>
      </c>
      <c r="R127" s="572">
        <f t="shared" si="13"/>
        <v>2.9249261733934738E-2</v>
      </c>
      <c r="S127" s="572">
        <f t="shared" si="13"/>
        <v>6.1574571215105171E-2</v>
      </c>
      <c r="T127" s="572">
        <f t="shared" si="13"/>
        <v>7.0367950812915858E-2</v>
      </c>
      <c r="U127" s="572">
        <f t="shared" si="13"/>
        <v>7.9370015812516084E-2</v>
      </c>
      <c r="V127" s="572">
        <f t="shared" si="13"/>
        <v>8.8625467454758758E-2</v>
      </c>
      <c r="W127" s="572">
        <f t="shared" si="13"/>
        <v>9.7911373949078992E-2</v>
      </c>
      <c r="X127" s="572">
        <f t="shared" si="13"/>
        <v>0.10665880064019971</v>
      </c>
      <c r="Y127" s="572">
        <f t="shared" si="13"/>
        <v>0.11671251370218837</v>
      </c>
      <c r="Z127" s="572">
        <f t="shared" si="13"/>
        <v>0.12874896027379057</v>
      </c>
      <c r="AA127" s="572">
        <f t="shared" si="13"/>
        <v>0.14188286283534246</v>
      </c>
      <c r="AB127" s="572">
        <f t="shared" si="13"/>
        <v>0.15432857347794168</v>
      </c>
      <c r="AC127" s="572">
        <f t="shared" si="13"/>
        <v>0.16668951111312774</v>
      </c>
      <c r="AD127" s="572">
        <f t="shared" si="13"/>
        <v>0.17946864711692243</v>
      </c>
      <c r="AE127" s="572">
        <f t="shared" si="13"/>
        <v>0.23084548578526387</v>
      </c>
      <c r="AF127" s="572">
        <f t="shared" si="13"/>
        <v>0.27317875310932022</v>
      </c>
      <c r="AG127" s="572">
        <f t="shared" si="13"/>
        <v>0.32230753307301641</v>
      </c>
      <c r="AH127" s="572">
        <f t="shared" si="13"/>
        <v>0.33963545423342739</v>
      </c>
      <c r="AI127" s="572">
        <f t="shared" si="13"/>
        <v>0.34273584802036922</v>
      </c>
      <c r="AJ127" s="572">
        <f t="shared" si="13"/>
        <v>0.33802800711121339</v>
      </c>
      <c r="AK127" s="572">
        <f t="shared" si="13"/>
        <v>0.35037593077526197</v>
      </c>
      <c r="AL127" s="572">
        <f t="shared" si="13"/>
        <v>0.3868879446428703</v>
      </c>
      <c r="AM127" s="572"/>
    </row>
    <row r="128" spans="1:39" ht="15.75" customHeight="1" x14ac:dyDescent="0.25">
      <c r="A128" s="3"/>
      <c r="B128" s="3" t="str">
        <f t="shared" si="11"/>
        <v>Metered does inhalers</v>
      </c>
      <c r="C128" s="3" t="str">
        <f t="shared" si="11"/>
        <v>HFC</v>
      </c>
      <c r="D128" s="3" t="str">
        <f t="shared" si="11"/>
        <v>Other HFC</v>
      </c>
      <c r="E128" s="1052">
        <f t="shared" si="7"/>
        <v>3.1510713686054377</v>
      </c>
      <c r="F128" s="572">
        <f t="shared" si="13"/>
        <v>0</v>
      </c>
      <c r="G128" s="572">
        <f t="shared" si="13"/>
        <v>0</v>
      </c>
      <c r="H128" s="572">
        <f t="shared" si="13"/>
        <v>0</v>
      </c>
      <c r="I128" s="572">
        <f t="shared" si="13"/>
        <v>0</v>
      </c>
      <c r="J128" s="572">
        <f t="shared" si="13"/>
        <v>0</v>
      </c>
      <c r="K128" s="572">
        <f t="shared" si="13"/>
        <v>0</v>
      </c>
      <c r="L128" s="572">
        <f t="shared" si="13"/>
        <v>0</v>
      </c>
      <c r="M128" s="572">
        <f t="shared" si="13"/>
        <v>0</v>
      </c>
      <c r="N128" s="572">
        <f t="shared" si="13"/>
        <v>0</v>
      </c>
      <c r="O128" s="572">
        <f t="shared" si="13"/>
        <v>0</v>
      </c>
      <c r="P128" s="572">
        <f t="shared" si="13"/>
        <v>0</v>
      </c>
      <c r="Q128" s="572">
        <f t="shared" si="13"/>
        <v>0</v>
      </c>
      <c r="R128" s="572">
        <f t="shared" si="13"/>
        <v>0</v>
      </c>
      <c r="S128" s="572">
        <f t="shared" si="13"/>
        <v>0</v>
      </c>
      <c r="T128" s="572">
        <f t="shared" si="13"/>
        <v>0</v>
      </c>
      <c r="U128" s="572">
        <f t="shared" si="13"/>
        <v>0</v>
      </c>
      <c r="V128" s="572">
        <f t="shared" si="13"/>
        <v>0</v>
      </c>
      <c r="W128" s="572">
        <f t="shared" si="13"/>
        <v>3.4684618100898753E-3</v>
      </c>
      <c r="X128" s="572">
        <f t="shared" si="13"/>
        <v>6.9795514746707815E-3</v>
      </c>
      <c r="Y128" s="572">
        <f t="shared" si="13"/>
        <v>1.0553344513898982E-2</v>
      </c>
      <c r="Z128" s="572">
        <f t="shared" si="13"/>
        <v>1.4218528219065532E-2</v>
      </c>
      <c r="AA128" s="572">
        <f t="shared" si="13"/>
        <v>1.7933905719995792E-2</v>
      </c>
      <c r="AB128" s="572">
        <f t="shared" si="13"/>
        <v>2.1702091084041121E-2</v>
      </c>
      <c r="AC128" s="572">
        <f t="shared" si="13"/>
        <v>2.5481292301660616E-2</v>
      </c>
      <c r="AD128" s="572">
        <f t="shared" si="13"/>
        <v>2.5636346440094038E-2</v>
      </c>
      <c r="AE128" s="572">
        <f t="shared" si="13"/>
        <v>2.4061836649183283E-2</v>
      </c>
      <c r="AF128" s="572">
        <f t="shared" si="13"/>
        <v>2.9420256939622504E-2</v>
      </c>
      <c r="AG128" s="572">
        <f t="shared" si="13"/>
        <v>3.4678708257559233E-2</v>
      </c>
      <c r="AH128" s="572">
        <f t="shared" si="13"/>
        <v>3.9513069872097024E-2</v>
      </c>
      <c r="AI128" s="572">
        <f t="shared" si="13"/>
        <v>3.9954296013381997E-2</v>
      </c>
      <c r="AJ128" s="572">
        <f t="shared" si="13"/>
        <v>4.0885658504363563E-2</v>
      </c>
      <c r="AK128" s="572">
        <f t="shared" si="13"/>
        <v>4.138942015720258E-2</v>
      </c>
      <c r="AL128" s="572">
        <f t="shared" si="13"/>
        <v>2.5044276193502437E-2</v>
      </c>
      <c r="AM128" s="572"/>
    </row>
    <row r="129" spans="1:39" ht="15.75" customHeight="1" x14ac:dyDescent="0.25">
      <c r="A129" s="3"/>
      <c r="B129" s="3" t="str">
        <f t="shared" si="11"/>
        <v>Other Aerosols</v>
      </c>
      <c r="C129" s="3" t="str">
        <f t="shared" si="11"/>
        <v>HFC</v>
      </c>
      <c r="D129" s="3" t="str">
        <f t="shared" si="11"/>
        <v>Other HFC</v>
      </c>
      <c r="E129" s="1052">
        <f t="shared" si="7"/>
        <v>3.1510713686054377</v>
      </c>
      <c r="F129" s="572">
        <f t="shared" si="13"/>
        <v>0</v>
      </c>
      <c r="G129" s="572">
        <f t="shared" si="13"/>
        <v>0</v>
      </c>
      <c r="H129" s="572">
        <f t="shared" si="13"/>
        <v>0</v>
      </c>
      <c r="I129" s="572">
        <f t="shared" si="13"/>
        <v>0</v>
      </c>
      <c r="J129" s="572">
        <f t="shared" si="13"/>
        <v>0</v>
      </c>
      <c r="K129" s="572">
        <f t="shared" si="13"/>
        <v>0</v>
      </c>
      <c r="L129" s="572">
        <f t="shared" si="13"/>
        <v>0</v>
      </c>
      <c r="M129" s="572">
        <f t="shared" si="13"/>
        <v>0</v>
      </c>
      <c r="N129" s="572">
        <f t="shared" si="13"/>
        <v>0</v>
      </c>
      <c r="O129" s="572">
        <f t="shared" si="13"/>
        <v>0</v>
      </c>
      <c r="P129" s="572">
        <f t="shared" si="13"/>
        <v>0</v>
      </c>
      <c r="Q129" s="572">
        <f t="shared" si="13"/>
        <v>0</v>
      </c>
      <c r="R129" s="572">
        <f t="shared" si="13"/>
        <v>0</v>
      </c>
      <c r="S129" s="572">
        <f t="shared" si="13"/>
        <v>0</v>
      </c>
      <c r="T129" s="572">
        <f t="shared" si="13"/>
        <v>0</v>
      </c>
      <c r="U129" s="572">
        <f t="shared" si="13"/>
        <v>0</v>
      </c>
      <c r="V129" s="572">
        <f t="shared" si="13"/>
        <v>0</v>
      </c>
      <c r="W129" s="572">
        <f t="shared" si="13"/>
        <v>0</v>
      </c>
      <c r="X129" s="572">
        <f t="shared" si="13"/>
        <v>0</v>
      </c>
      <c r="Y129" s="572">
        <f t="shared" si="13"/>
        <v>0</v>
      </c>
      <c r="Z129" s="572">
        <f t="shared" si="13"/>
        <v>0</v>
      </c>
      <c r="AA129" s="572">
        <f t="shared" si="13"/>
        <v>0</v>
      </c>
      <c r="AB129" s="572">
        <f t="shared" si="13"/>
        <v>4.8007471203197866E-6</v>
      </c>
      <c r="AC129" s="572">
        <f t="shared" si="13"/>
        <v>1.0158143052718795E-5</v>
      </c>
      <c r="AD129" s="572">
        <f t="shared" ref="AD129:AL129" si="14">AD39*$E129</f>
        <v>1.6058716655265169E-5</v>
      </c>
      <c r="AE129" s="572">
        <f t="shared" si="14"/>
        <v>2.2479825064494267E-5</v>
      </c>
      <c r="AF129" s="572">
        <f t="shared" si="14"/>
        <v>9.762421628968397E-5</v>
      </c>
      <c r="AG129" s="572">
        <f t="shared" si="14"/>
        <v>1.6960922262782699E-4</v>
      </c>
      <c r="AH129" s="572">
        <f t="shared" si="14"/>
        <v>2.4407915113197552E-4</v>
      </c>
      <c r="AI129" s="572">
        <f t="shared" si="14"/>
        <v>2.4836784435641718E-4</v>
      </c>
      <c r="AJ129" s="572">
        <f t="shared" si="14"/>
        <v>2.5576363380166507E-4</v>
      </c>
      <c r="AK129" s="572">
        <f t="shared" si="14"/>
        <v>2.6055042912003005E-4</v>
      </c>
      <c r="AL129" s="572">
        <f t="shared" si="14"/>
        <v>2.6437654259772454E-4</v>
      </c>
      <c r="AM129" s="572"/>
    </row>
    <row r="130" spans="1:39" ht="15.75" customHeight="1" x14ac:dyDescent="0.25">
      <c r="A130" s="3"/>
      <c r="B130" s="3" t="str">
        <f t="shared" si="11"/>
        <v>Other Aerosols</v>
      </c>
      <c r="C130" s="3" t="str">
        <f t="shared" si="11"/>
        <v>HFC</v>
      </c>
      <c r="D130" s="3" t="str">
        <f t="shared" si="11"/>
        <v>Other HFC</v>
      </c>
      <c r="E130" s="1052">
        <f t="shared" si="7"/>
        <v>3.1510713686054377</v>
      </c>
      <c r="F130" s="572">
        <f t="shared" ref="F130:AL137" si="15">F40*$E130</f>
        <v>1.3754024600626417E-2</v>
      </c>
      <c r="G130" s="572">
        <f t="shared" si="15"/>
        <v>3.0150608716945367E-2</v>
      </c>
      <c r="H130" s="572">
        <f t="shared" si="15"/>
        <v>3.0078155851213689E-2</v>
      </c>
      <c r="I130" s="572">
        <f t="shared" si="15"/>
        <v>2.9979021610693629E-2</v>
      </c>
      <c r="J130" s="572">
        <f t="shared" si="15"/>
        <v>3.1850097558794845E-2</v>
      </c>
      <c r="K130" s="572">
        <f t="shared" si="15"/>
        <v>3.3150242370900924E-2</v>
      </c>
      <c r="L130" s="572">
        <f t="shared" si="15"/>
        <v>3.7995404435182206E-2</v>
      </c>
      <c r="M130" s="572">
        <f t="shared" si="15"/>
        <v>6.1270973625599745E-2</v>
      </c>
      <c r="N130" s="572">
        <f t="shared" si="15"/>
        <v>9.4796900350886018E-2</v>
      </c>
      <c r="O130" s="572">
        <f t="shared" si="15"/>
        <v>9.732146430036015E-2</v>
      </c>
      <c r="P130" s="572">
        <f t="shared" si="15"/>
        <v>9.8442545066098147E-2</v>
      </c>
      <c r="Q130" s="572">
        <f t="shared" si="15"/>
        <v>0.10685600223146616</v>
      </c>
      <c r="R130" s="572">
        <f t="shared" si="15"/>
        <v>0.11526816169985858</v>
      </c>
      <c r="S130" s="572">
        <f t="shared" si="15"/>
        <v>0.12428022160481807</v>
      </c>
      <c r="T130" s="572">
        <f t="shared" si="15"/>
        <v>0.13292017253366459</v>
      </c>
      <c r="U130" s="572">
        <f t="shared" si="15"/>
        <v>0.14217161949977622</v>
      </c>
      <c r="V130" s="572">
        <f t="shared" si="15"/>
        <v>0.14510685523225011</v>
      </c>
      <c r="W130" s="572">
        <f t="shared" si="15"/>
        <v>0.14880802731840678</v>
      </c>
      <c r="X130" s="572">
        <f t="shared" si="15"/>
        <v>0.1512502601752275</v>
      </c>
      <c r="Y130" s="572">
        <f t="shared" si="15"/>
        <v>0.1631710986471003</v>
      </c>
      <c r="Z130" s="572">
        <f t="shared" si="15"/>
        <v>0.17560912881103505</v>
      </c>
      <c r="AA130" s="572">
        <f t="shared" si="15"/>
        <v>0.18756716325209183</v>
      </c>
      <c r="AB130" s="572">
        <f t="shared" si="15"/>
        <v>0.19942607983972288</v>
      </c>
      <c r="AC130" s="572">
        <f t="shared" si="15"/>
        <v>0.21097688833369685</v>
      </c>
      <c r="AD130" s="572">
        <f t="shared" si="15"/>
        <v>0.22235740737338544</v>
      </c>
      <c r="AE130" s="572">
        <f t="shared" si="15"/>
        <v>0.23344792085770188</v>
      </c>
      <c r="AF130" s="572">
        <f t="shared" si="15"/>
        <v>0.23719647023383791</v>
      </c>
      <c r="AG130" s="572">
        <f t="shared" si="15"/>
        <v>0.24133998403545587</v>
      </c>
      <c r="AH130" s="572">
        <f t="shared" si="15"/>
        <v>0.24555486607106852</v>
      </c>
      <c r="AI130" s="572">
        <f t="shared" si="15"/>
        <v>0.24986929226808338</v>
      </c>
      <c r="AJ130" s="572">
        <f t="shared" si="15"/>
        <v>0.25731033728524599</v>
      </c>
      <c r="AK130" s="572">
        <f t="shared" si="15"/>
        <v>0.26212535234022533</v>
      </c>
      <c r="AL130" s="572">
        <f t="shared" si="15"/>
        <v>0.26597519691834942</v>
      </c>
      <c r="AM130" s="572"/>
    </row>
    <row r="131" spans="1:39" ht="15.75" customHeight="1" x14ac:dyDescent="0.25">
      <c r="A131" s="3"/>
      <c r="B131" s="3" t="str">
        <f t="shared" si="11"/>
        <v>Refrigeration and air-conditioning</v>
      </c>
      <c r="C131" s="3" t="str">
        <f t="shared" si="11"/>
        <v>HFC</v>
      </c>
      <c r="D131" s="3" t="str">
        <f t="shared" si="11"/>
        <v>Other HFC</v>
      </c>
      <c r="E131" s="1052">
        <f t="shared" si="7"/>
        <v>3.1510713686054377</v>
      </c>
      <c r="F131" s="572">
        <f t="shared" si="15"/>
        <v>0</v>
      </c>
      <c r="G131" s="572">
        <f t="shared" si="15"/>
        <v>0</v>
      </c>
      <c r="H131" s="572">
        <f t="shared" si="15"/>
        <v>0</v>
      </c>
      <c r="I131" s="572">
        <f t="shared" si="15"/>
        <v>0</v>
      </c>
      <c r="J131" s="572">
        <f t="shared" si="15"/>
        <v>0</v>
      </c>
      <c r="K131" s="572">
        <f t="shared" si="15"/>
        <v>0</v>
      </c>
      <c r="L131" s="572">
        <f t="shared" si="15"/>
        <v>0</v>
      </c>
      <c r="M131" s="572">
        <f t="shared" si="15"/>
        <v>0</v>
      </c>
      <c r="N131" s="572">
        <f t="shared" si="15"/>
        <v>0</v>
      </c>
      <c r="O131" s="572">
        <f t="shared" si="15"/>
        <v>0</v>
      </c>
      <c r="P131" s="572">
        <f t="shared" si="15"/>
        <v>0</v>
      </c>
      <c r="Q131" s="572">
        <f t="shared" si="15"/>
        <v>0</v>
      </c>
      <c r="R131" s="572">
        <f t="shared" si="15"/>
        <v>0</v>
      </c>
      <c r="S131" s="572">
        <f t="shared" si="15"/>
        <v>0</v>
      </c>
      <c r="T131" s="572">
        <f t="shared" si="15"/>
        <v>0</v>
      </c>
      <c r="U131" s="572">
        <f t="shared" si="15"/>
        <v>0</v>
      </c>
      <c r="V131" s="572">
        <f t="shared" si="15"/>
        <v>0</v>
      </c>
      <c r="W131" s="572">
        <f t="shared" si="15"/>
        <v>0</v>
      </c>
      <c r="X131" s="572">
        <f t="shared" si="15"/>
        <v>0</v>
      </c>
      <c r="Y131" s="572">
        <f t="shared" si="15"/>
        <v>0</v>
      </c>
      <c r="Z131" s="572">
        <f t="shared" si="15"/>
        <v>0</v>
      </c>
      <c r="AA131" s="572">
        <f t="shared" si="15"/>
        <v>0</v>
      </c>
      <c r="AB131" s="572">
        <f t="shared" si="15"/>
        <v>0</v>
      </c>
      <c r="AC131" s="572">
        <f t="shared" si="15"/>
        <v>0</v>
      </c>
      <c r="AD131" s="572">
        <f t="shared" si="15"/>
        <v>0</v>
      </c>
      <c r="AE131" s="572">
        <f t="shared" si="15"/>
        <v>0</v>
      </c>
      <c r="AF131" s="572">
        <f t="shared" si="15"/>
        <v>5.7910756680735784E-9</v>
      </c>
      <c r="AG131" s="572">
        <f t="shared" si="15"/>
        <v>1.0571367955645889E-7</v>
      </c>
      <c r="AH131" s="572">
        <f t="shared" si="15"/>
        <v>4.8173213389411005E-7</v>
      </c>
      <c r="AI131" s="572">
        <f t="shared" si="15"/>
        <v>1.0985606936384691E-6</v>
      </c>
      <c r="AJ131" s="572">
        <f t="shared" si="15"/>
        <v>1.98661846590581E-6</v>
      </c>
      <c r="AK131" s="572">
        <f t="shared" si="15"/>
        <v>2.8176355573877506E-6</v>
      </c>
      <c r="AL131" s="572">
        <f t="shared" si="15"/>
        <v>3.6459804726045666E-6</v>
      </c>
      <c r="AM131" s="572"/>
    </row>
    <row r="132" spans="1:39" ht="15.75" customHeight="1" x14ac:dyDescent="0.25">
      <c r="A132" s="3"/>
      <c r="B132" s="3" t="str">
        <f t="shared" si="11"/>
        <v>Refrigeration and air-conditioning</v>
      </c>
      <c r="C132" s="3" t="str">
        <f t="shared" si="11"/>
        <v>HFC</v>
      </c>
      <c r="D132" s="3" t="str">
        <f t="shared" si="11"/>
        <v>Other HFC</v>
      </c>
      <c r="E132" s="1052">
        <f t="shared" si="7"/>
        <v>3.1510713686054377</v>
      </c>
      <c r="F132" s="572">
        <f t="shared" si="15"/>
        <v>0</v>
      </c>
      <c r="G132" s="572">
        <f t="shared" si="15"/>
        <v>0</v>
      </c>
      <c r="H132" s="572">
        <f t="shared" si="15"/>
        <v>0</v>
      </c>
      <c r="I132" s="572">
        <f t="shared" si="15"/>
        <v>0</v>
      </c>
      <c r="J132" s="572">
        <f t="shared" si="15"/>
        <v>0</v>
      </c>
      <c r="K132" s="572">
        <f t="shared" si="15"/>
        <v>0</v>
      </c>
      <c r="L132" s="572">
        <f t="shared" si="15"/>
        <v>0</v>
      </c>
      <c r="M132" s="572">
        <f t="shared" si="15"/>
        <v>0</v>
      </c>
      <c r="N132" s="572">
        <f t="shared" si="15"/>
        <v>0</v>
      </c>
      <c r="O132" s="572">
        <f t="shared" si="15"/>
        <v>0</v>
      </c>
      <c r="P132" s="572">
        <f t="shared" si="15"/>
        <v>0</v>
      </c>
      <c r="Q132" s="572">
        <f t="shared" si="15"/>
        <v>0</v>
      </c>
      <c r="R132" s="572">
        <f t="shared" si="15"/>
        <v>0</v>
      </c>
      <c r="S132" s="572">
        <f t="shared" si="15"/>
        <v>0</v>
      </c>
      <c r="T132" s="572">
        <f t="shared" si="15"/>
        <v>0</v>
      </c>
      <c r="U132" s="572">
        <f t="shared" si="15"/>
        <v>0</v>
      </c>
      <c r="V132" s="572">
        <f t="shared" si="15"/>
        <v>0</v>
      </c>
      <c r="W132" s="572">
        <f t="shared" si="15"/>
        <v>0</v>
      </c>
      <c r="X132" s="572">
        <f t="shared" si="15"/>
        <v>0</v>
      </c>
      <c r="Y132" s="572">
        <f t="shared" si="15"/>
        <v>0</v>
      </c>
      <c r="Z132" s="572">
        <f t="shared" si="15"/>
        <v>0</v>
      </c>
      <c r="AA132" s="572">
        <f t="shared" si="15"/>
        <v>0</v>
      </c>
      <c r="AB132" s="572">
        <f t="shared" si="15"/>
        <v>0</v>
      </c>
      <c r="AC132" s="572">
        <f t="shared" si="15"/>
        <v>0</v>
      </c>
      <c r="AD132" s="572">
        <f t="shared" si="15"/>
        <v>0</v>
      </c>
      <c r="AE132" s="572">
        <f t="shared" si="15"/>
        <v>0</v>
      </c>
      <c r="AF132" s="572">
        <f t="shared" si="15"/>
        <v>9.0688244962032264E-9</v>
      </c>
      <c r="AG132" s="572">
        <f t="shared" si="15"/>
        <v>4.1881102556520594E-8</v>
      </c>
      <c r="AH132" s="572">
        <f t="shared" si="15"/>
        <v>3.409003952293726E-7</v>
      </c>
      <c r="AI132" s="572">
        <f t="shared" si="15"/>
        <v>8.7208243279454061E-7</v>
      </c>
      <c r="AJ132" s="572">
        <f t="shared" si="15"/>
        <v>1.6520679697075207E-6</v>
      </c>
      <c r="AK132" s="572">
        <f t="shared" si="15"/>
        <v>2.6838080121316953E-6</v>
      </c>
      <c r="AL132" s="572">
        <f t="shared" si="15"/>
        <v>3.9238545813738415E-6</v>
      </c>
      <c r="AM132" s="572"/>
    </row>
    <row r="133" spans="1:39" ht="15.75" customHeight="1" x14ac:dyDescent="0.25">
      <c r="A133" s="3"/>
      <c r="B133" s="3" t="str">
        <f t="shared" si="11"/>
        <v>Refrigeration and air-conditioning</v>
      </c>
      <c r="C133" s="3" t="str">
        <f t="shared" si="11"/>
        <v>HFC</v>
      </c>
      <c r="D133" s="3" t="str">
        <f t="shared" si="11"/>
        <v>Other HFC</v>
      </c>
      <c r="E133" s="1052">
        <f t="shared" si="7"/>
        <v>3.1510713686054377</v>
      </c>
      <c r="F133" s="572">
        <f t="shared" si="15"/>
        <v>0</v>
      </c>
      <c r="G133" s="572">
        <f t="shared" si="15"/>
        <v>0</v>
      </c>
      <c r="H133" s="572">
        <f t="shared" si="15"/>
        <v>0</v>
      </c>
      <c r="I133" s="572">
        <f t="shared" si="15"/>
        <v>0</v>
      </c>
      <c r="J133" s="572">
        <f t="shared" si="15"/>
        <v>0</v>
      </c>
      <c r="K133" s="572">
        <f t="shared" si="15"/>
        <v>0</v>
      </c>
      <c r="L133" s="572">
        <f t="shared" si="15"/>
        <v>0</v>
      </c>
      <c r="M133" s="572">
        <f t="shared" si="15"/>
        <v>0</v>
      </c>
      <c r="N133" s="572">
        <f t="shared" si="15"/>
        <v>0</v>
      </c>
      <c r="O133" s="572">
        <f t="shared" si="15"/>
        <v>0</v>
      </c>
      <c r="P133" s="572">
        <f t="shared" si="15"/>
        <v>0</v>
      </c>
      <c r="Q133" s="572">
        <f t="shared" si="15"/>
        <v>0</v>
      </c>
      <c r="R133" s="572">
        <f t="shared" si="15"/>
        <v>0</v>
      </c>
      <c r="S133" s="572">
        <f t="shared" si="15"/>
        <v>0</v>
      </c>
      <c r="T133" s="572">
        <f t="shared" si="15"/>
        <v>0</v>
      </c>
      <c r="U133" s="572">
        <f t="shared" si="15"/>
        <v>0</v>
      </c>
      <c r="V133" s="572">
        <f t="shared" si="15"/>
        <v>0</v>
      </c>
      <c r="W133" s="572">
        <f t="shared" si="15"/>
        <v>0</v>
      </c>
      <c r="X133" s="572">
        <f t="shared" si="15"/>
        <v>0</v>
      </c>
      <c r="Y133" s="572">
        <f t="shared" si="15"/>
        <v>0</v>
      </c>
      <c r="Z133" s="572">
        <f t="shared" si="15"/>
        <v>0</v>
      </c>
      <c r="AA133" s="572">
        <f t="shared" si="15"/>
        <v>0</v>
      </c>
      <c r="AB133" s="572">
        <f t="shared" si="15"/>
        <v>1.1323342751878892E-7</v>
      </c>
      <c r="AC133" s="572">
        <f t="shared" si="15"/>
        <v>3.4070500475463898E-7</v>
      </c>
      <c r="AD133" s="572">
        <f t="shared" si="15"/>
        <v>6.8467622446157602E-7</v>
      </c>
      <c r="AE133" s="572">
        <f t="shared" si="15"/>
        <v>1.1464315461669259E-6</v>
      </c>
      <c r="AF133" s="572">
        <f t="shared" si="15"/>
        <v>9.385086720588058E-6</v>
      </c>
      <c r="AG133" s="572">
        <f t="shared" si="15"/>
        <v>2.5459262292437835E-5</v>
      </c>
      <c r="AH133" s="572">
        <f t="shared" si="15"/>
        <v>4.9760393998977905E-5</v>
      </c>
      <c r="AI133" s="572">
        <f t="shared" si="15"/>
        <v>8.2422651335894946E-5</v>
      </c>
      <c r="AJ133" s="572">
        <f t="shared" si="15"/>
        <v>1.2508490185770415E-4</v>
      </c>
      <c r="AK133" s="572">
        <f t="shared" si="15"/>
        <v>1.7545766023529719E-4</v>
      </c>
      <c r="AL133" s="572">
        <f t="shared" si="15"/>
        <v>2.2590106826373633E-4</v>
      </c>
      <c r="AM133" s="572"/>
    </row>
    <row r="134" spans="1:39" ht="15.75" customHeight="1" x14ac:dyDescent="0.25">
      <c r="A134" s="3"/>
      <c r="B134" s="3" t="str">
        <f t="shared" si="11"/>
        <v>Refrigeration and air-conditioning</v>
      </c>
      <c r="C134" s="3" t="str">
        <f t="shared" si="11"/>
        <v>HFC</v>
      </c>
      <c r="D134" s="3" t="str">
        <f t="shared" si="11"/>
        <v>Other HFC</v>
      </c>
      <c r="E134" s="1052">
        <f t="shared" si="7"/>
        <v>3.1510713686054377</v>
      </c>
      <c r="F134" s="572">
        <f t="shared" si="15"/>
        <v>9.1478862598953152E-4</v>
      </c>
      <c r="G134" s="572">
        <f t="shared" si="15"/>
        <v>9.3750584167291067E-4</v>
      </c>
      <c r="H134" s="572">
        <f t="shared" si="15"/>
        <v>9.4752126133110692E-4</v>
      </c>
      <c r="I134" s="572">
        <f t="shared" si="15"/>
        <v>1.2685958940648573E-3</v>
      </c>
      <c r="J134" s="572">
        <f t="shared" si="15"/>
        <v>1.5372699119661261E-3</v>
      </c>
      <c r="K134" s="572">
        <f t="shared" si="15"/>
        <v>1.7616396575513942E-3</v>
      </c>
      <c r="L134" s="572">
        <f t="shared" si="15"/>
        <v>1.9180359611930316E-3</v>
      </c>
      <c r="M134" s="572">
        <f t="shared" si="15"/>
        <v>2.029264687834128E-3</v>
      </c>
      <c r="N134" s="572">
        <f t="shared" si="15"/>
        <v>1.880075555578253E-3</v>
      </c>
      <c r="O134" s="572">
        <f t="shared" si="15"/>
        <v>1.7204533563681232E-3</v>
      </c>
      <c r="P134" s="572">
        <f t="shared" si="15"/>
        <v>1.5647863984166995E-3</v>
      </c>
      <c r="Q134" s="572">
        <f t="shared" si="15"/>
        <v>1.4146424882299387E-3</v>
      </c>
      <c r="R134" s="572">
        <f t="shared" si="15"/>
        <v>1.266641833855198E-3</v>
      </c>
      <c r="S134" s="572">
        <f t="shared" si="15"/>
        <v>1.1180156894192972E-3</v>
      </c>
      <c r="T134" s="572">
        <f t="shared" si="15"/>
        <v>9.6613493116218176E-4</v>
      </c>
      <c r="U134" s="572">
        <f t="shared" si="15"/>
        <v>8.3327653923726214E-4</v>
      </c>
      <c r="V134" s="572">
        <f t="shared" si="15"/>
        <v>7.0939191854190917E-4</v>
      </c>
      <c r="W134" s="572">
        <f t="shared" si="15"/>
        <v>5.8173941514408269E-4</v>
      </c>
      <c r="X134" s="572">
        <f t="shared" si="15"/>
        <v>4.7148268911250128E-4</v>
      </c>
      <c r="Y134" s="572">
        <f t="shared" si="15"/>
        <v>4.0039122150654867E-4</v>
      </c>
      <c r="Z134" s="572">
        <f t="shared" si="15"/>
        <v>3.4946824999974191E-4</v>
      </c>
      <c r="AA134" s="572">
        <f t="shared" si="15"/>
        <v>3.186099850237174E-4</v>
      </c>
      <c r="AB134" s="572">
        <f t="shared" si="15"/>
        <v>2.9919284493519965E-4</v>
      </c>
      <c r="AC134" s="572">
        <f t="shared" si="15"/>
        <v>2.7347075750352279E-4</v>
      </c>
      <c r="AD134" s="572">
        <f t="shared" si="15"/>
        <v>2.4629950472360266E-4</v>
      </c>
      <c r="AE134" s="572">
        <f t="shared" si="15"/>
        <v>2.1433673722751534E-4</v>
      </c>
      <c r="AF134" s="572">
        <f t="shared" si="15"/>
        <v>1.810108529885337E-4</v>
      </c>
      <c r="AG134" s="572">
        <f t="shared" si="15"/>
        <v>1.4634166486426561E-4</v>
      </c>
      <c r="AH134" s="572">
        <f t="shared" si="15"/>
        <v>1.0929996184069846E-4</v>
      </c>
      <c r="AI134" s="572">
        <f t="shared" si="15"/>
        <v>6.9612876607090746E-5</v>
      </c>
      <c r="AJ134" s="572">
        <f t="shared" si="15"/>
        <v>3.5723230482039057E-5</v>
      </c>
      <c r="AK134" s="572">
        <f t="shared" si="15"/>
        <v>1.4485475413711995E-5</v>
      </c>
      <c r="AL134" s="572">
        <f t="shared" si="15"/>
        <v>1.0841138127960641E-5</v>
      </c>
      <c r="AM134" s="572"/>
    </row>
    <row r="135" spans="1:39" ht="15.75" customHeight="1" x14ac:dyDescent="0.25">
      <c r="A135" s="3"/>
      <c r="B135" s="3" t="str">
        <f t="shared" si="11"/>
        <v>Refrigeration and air-conditioning</v>
      </c>
      <c r="C135" s="3" t="str">
        <f t="shared" si="11"/>
        <v>HFC</v>
      </c>
      <c r="D135" s="3" t="str">
        <f t="shared" si="11"/>
        <v>Other HFC</v>
      </c>
      <c r="E135" s="1052">
        <f t="shared" si="7"/>
        <v>3.1510713686054377</v>
      </c>
      <c r="F135" s="572">
        <f t="shared" si="15"/>
        <v>0</v>
      </c>
      <c r="G135" s="572">
        <f t="shared" si="15"/>
        <v>0</v>
      </c>
      <c r="H135" s="572">
        <f t="shared" si="15"/>
        <v>0</v>
      </c>
      <c r="I135" s="572">
        <f t="shared" si="15"/>
        <v>0</v>
      </c>
      <c r="J135" s="572">
        <f t="shared" si="15"/>
        <v>0</v>
      </c>
      <c r="K135" s="572">
        <f t="shared" si="15"/>
        <v>0</v>
      </c>
      <c r="L135" s="572">
        <f t="shared" si="15"/>
        <v>0</v>
      </c>
      <c r="M135" s="572">
        <f t="shared" si="15"/>
        <v>0</v>
      </c>
      <c r="N135" s="572">
        <f t="shared" si="15"/>
        <v>0</v>
      </c>
      <c r="O135" s="572">
        <f t="shared" si="15"/>
        <v>0</v>
      </c>
      <c r="P135" s="572">
        <f t="shared" si="15"/>
        <v>0</v>
      </c>
      <c r="Q135" s="572">
        <f t="shared" si="15"/>
        <v>0</v>
      </c>
      <c r="R135" s="572">
        <f t="shared" si="15"/>
        <v>0</v>
      </c>
      <c r="S135" s="572">
        <f t="shared" si="15"/>
        <v>0</v>
      </c>
      <c r="T135" s="572">
        <f t="shared" si="15"/>
        <v>0</v>
      </c>
      <c r="U135" s="572">
        <f t="shared" si="15"/>
        <v>0</v>
      </c>
      <c r="V135" s="572">
        <f t="shared" si="15"/>
        <v>0</v>
      </c>
      <c r="W135" s="572">
        <f t="shared" si="15"/>
        <v>0</v>
      </c>
      <c r="X135" s="572">
        <f t="shared" si="15"/>
        <v>0</v>
      </c>
      <c r="Y135" s="572">
        <f t="shared" si="15"/>
        <v>0</v>
      </c>
      <c r="Z135" s="572">
        <f t="shared" si="15"/>
        <v>0</v>
      </c>
      <c r="AA135" s="572">
        <f t="shared" si="15"/>
        <v>0</v>
      </c>
      <c r="AB135" s="572">
        <f t="shared" si="15"/>
        <v>0</v>
      </c>
      <c r="AC135" s="572">
        <f t="shared" si="15"/>
        <v>0</v>
      </c>
      <c r="AD135" s="572">
        <f t="shared" si="15"/>
        <v>0</v>
      </c>
      <c r="AE135" s="572">
        <f t="shared" si="15"/>
        <v>0</v>
      </c>
      <c r="AF135" s="572">
        <f t="shared" si="15"/>
        <v>0</v>
      </c>
      <c r="AG135" s="572">
        <f t="shared" si="15"/>
        <v>2.675422598348545E-8</v>
      </c>
      <c r="AH135" s="572">
        <f t="shared" si="15"/>
        <v>5.3117191095612778E-7</v>
      </c>
      <c r="AI135" s="572">
        <f t="shared" si="15"/>
        <v>1.42482114755356E-6</v>
      </c>
      <c r="AJ135" s="572">
        <f t="shared" si="15"/>
        <v>2.7599092684795267E-6</v>
      </c>
      <c r="AK135" s="572">
        <f t="shared" si="15"/>
        <v>4.0008454135046946E-6</v>
      </c>
      <c r="AL135" s="572">
        <f t="shared" si="15"/>
        <v>5.2394797931622884E-6</v>
      </c>
      <c r="AM135" s="572"/>
    </row>
    <row r="136" spans="1:39" ht="15.75" customHeight="1" x14ac:dyDescent="0.25">
      <c r="A136" s="3"/>
      <c r="B136" s="3" t="str">
        <f t="shared" si="11"/>
        <v>Solvents</v>
      </c>
      <c r="C136" s="3" t="str">
        <f t="shared" si="11"/>
        <v>HFC</v>
      </c>
      <c r="D136" s="3" t="str">
        <f t="shared" si="11"/>
        <v>Other HFC</v>
      </c>
      <c r="E136" s="1052">
        <f t="shared" si="7"/>
        <v>3.1510713686054377</v>
      </c>
      <c r="F136" s="572">
        <f t="shared" si="15"/>
        <v>0</v>
      </c>
      <c r="G136" s="572">
        <f t="shared" si="15"/>
        <v>0</v>
      </c>
      <c r="H136" s="572">
        <f t="shared" si="15"/>
        <v>0</v>
      </c>
      <c r="I136" s="572">
        <f t="shared" si="15"/>
        <v>0</v>
      </c>
      <c r="J136" s="572">
        <f t="shared" si="15"/>
        <v>0</v>
      </c>
      <c r="K136" s="572">
        <f t="shared" si="15"/>
        <v>3.6895340353314807E-2</v>
      </c>
      <c r="L136" s="572">
        <f t="shared" si="15"/>
        <v>7.5013708607581456E-2</v>
      </c>
      <c r="M136" s="572">
        <f t="shared" si="15"/>
        <v>7.6274724587913678E-2</v>
      </c>
      <c r="N136" s="572">
        <f t="shared" si="15"/>
        <v>7.7601608249692783E-2</v>
      </c>
      <c r="O136" s="572">
        <f t="shared" si="15"/>
        <v>7.9003527765208068E-2</v>
      </c>
      <c r="P136" s="572">
        <f t="shared" si="15"/>
        <v>8.0552885666341403E-2</v>
      </c>
      <c r="Q136" s="572">
        <f t="shared" si="15"/>
        <v>8.2339461213361997E-2</v>
      </c>
      <c r="R136" s="572">
        <f t="shared" si="15"/>
        <v>8.423839019765661E-2</v>
      </c>
      <c r="S136" s="572">
        <f t="shared" si="15"/>
        <v>8.6072471945251416E-2</v>
      </c>
      <c r="T136" s="572">
        <f t="shared" si="15"/>
        <v>8.7798273333118612E-2</v>
      </c>
      <c r="U136" s="572">
        <f t="shared" si="15"/>
        <v>8.9473290976395156E-2</v>
      </c>
      <c r="V136" s="572">
        <f t="shared" si="15"/>
        <v>9.0969277442397342E-2</v>
      </c>
      <c r="W136" s="572">
        <f t="shared" si="15"/>
        <v>9.2354675016152493E-2</v>
      </c>
      <c r="X136" s="572">
        <f t="shared" si="15"/>
        <v>9.3855157141695802E-2</v>
      </c>
      <c r="Y136" s="572">
        <f t="shared" si="15"/>
        <v>9.5673661380565253E-2</v>
      </c>
      <c r="Z136" s="572">
        <f t="shared" si="15"/>
        <v>9.7784910218402188E-2</v>
      </c>
      <c r="AA136" s="572">
        <f t="shared" si="15"/>
        <v>9.9921397701715681E-2</v>
      </c>
      <c r="AB136" s="572">
        <f t="shared" si="15"/>
        <v>0.10203318234352711</v>
      </c>
      <c r="AC136" s="572">
        <f t="shared" si="15"/>
        <v>0.10402426790930927</v>
      </c>
      <c r="AD136" s="572">
        <f t="shared" si="15"/>
        <v>0.1059779153224492</v>
      </c>
      <c r="AE136" s="572">
        <f t="shared" si="15"/>
        <v>0.10784682703532115</v>
      </c>
      <c r="AF136" s="572">
        <f t="shared" si="15"/>
        <v>0.10957893647893663</v>
      </c>
      <c r="AG136" s="572">
        <f t="shared" si="15"/>
        <v>0.11149353166092983</v>
      </c>
      <c r="AH136" s="572">
        <f t="shared" si="15"/>
        <v>0.11344031123521195</v>
      </c>
      <c r="AI136" s="572">
        <f t="shared" si="15"/>
        <v>0.11543415356406504</v>
      </c>
      <c r="AJ136" s="572">
        <f t="shared" si="15"/>
        <v>0.11887177959295113</v>
      </c>
      <c r="AK136" s="572">
        <f t="shared" si="15"/>
        <v>0.12109653922267896</v>
      </c>
      <c r="AL136" s="572">
        <f t="shared" si="15"/>
        <v>0.12287478918635014</v>
      </c>
      <c r="AM136" s="572"/>
    </row>
    <row r="137" spans="1:39" ht="15.75" customHeight="1" x14ac:dyDescent="0.25">
      <c r="A137" s="3"/>
      <c r="B137" s="3" t="str">
        <f t="shared" ref="B137:D139" si="16">B47</f>
        <v>Fire protection</v>
      </c>
      <c r="C137" s="3" t="str">
        <f t="shared" si="16"/>
        <v>PFC</v>
      </c>
      <c r="D137" s="3" t="str">
        <f t="shared" si="16"/>
        <v>Other PFC</v>
      </c>
      <c r="E137" s="1052">
        <f t="shared" si="7"/>
        <v>2.6679827806397554</v>
      </c>
      <c r="F137" s="572">
        <f t="shared" si="15"/>
        <v>0</v>
      </c>
      <c r="G137" s="572">
        <f t="shared" si="15"/>
        <v>0</v>
      </c>
      <c r="H137" s="572">
        <f t="shared" si="15"/>
        <v>0</v>
      </c>
      <c r="I137" s="572">
        <f t="shared" si="15"/>
        <v>0</v>
      </c>
      <c r="J137" s="572">
        <f t="shared" si="15"/>
        <v>4.6158105848900404E-6</v>
      </c>
      <c r="K137" s="572">
        <f t="shared" si="15"/>
        <v>5.064464962980319E-5</v>
      </c>
      <c r="L137" s="572">
        <f t="shared" si="15"/>
        <v>1.2389415030896646E-4</v>
      </c>
      <c r="M137" s="572">
        <f t="shared" si="15"/>
        <v>2.3329204045711784E-4</v>
      </c>
      <c r="N137" s="572">
        <f t="shared" si="15"/>
        <v>3.7869919885480743E-4</v>
      </c>
      <c r="O137" s="572">
        <f t="shared" si="15"/>
        <v>5.7380865725632053E-4</v>
      </c>
      <c r="P137" s="572">
        <f t="shared" si="15"/>
        <v>7.5568183355076987E-4</v>
      </c>
      <c r="Q137" s="572">
        <f t="shared" si="15"/>
        <v>9.352122267314698E-4</v>
      </c>
      <c r="R137" s="572">
        <f t="shared" si="15"/>
        <v>1.1027346633097816E-3</v>
      </c>
      <c r="S137" s="572">
        <f t="shared" si="15"/>
        <v>1.1046541927691269E-3</v>
      </c>
      <c r="T137" s="572">
        <f t="shared" si="15"/>
        <v>1.1047091948710704E-3</v>
      </c>
      <c r="U137" s="572">
        <f t="shared" si="15"/>
        <v>1.1037044287464223E-3</v>
      </c>
      <c r="V137" s="572">
        <f t="shared" si="15"/>
        <v>1.1001628955737044E-3</v>
      </c>
      <c r="W137" s="572">
        <f t="shared" si="15"/>
        <v>1.0950234133070111E-3</v>
      </c>
      <c r="X137" s="572">
        <f t="shared" si="15"/>
        <v>1.090996104985835E-3</v>
      </c>
      <c r="Y137" s="572">
        <f t="shared" si="15"/>
        <v>1.0903232689380544E-3</v>
      </c>
      <c r="Z137" s="572">
        <f t="shared" si="15"/>
        <v>1.0925297611513399E-3</v>
      </c>
      <c r="AA137" s="572">
        <f t="shared" si="15"/>
        <v>1.0945168186013781E-3</v>
      </c>
      <c r="AB137" s="572">
        <f t="shared" si="15"/>
        <v>1.0957275367356784E-3</v>
      </c>
      <c r="AC137" s="572">
        <f t="shared" si="15"/>
        <v>1.0952047497793153E-3</v>
      </c>
      <c r="AD137" s="572">
        <f t="shared" ref="AD137:AL137" si="17">AD47*$E137</f>
        <v>1.0938985159221542E-3</v>
      </c>
      <c r="AE137" s="572">
        <f t="shared" si="17"/>
        <v>1.0913671311600472E-3</v>
      </c>
      <c r="AF137" s="572">
        <f t="shared" si="17"/>
        <v>1.0871485531076101E-3</v>
      </c>
      <c r="AG137" s="572">
        <f t="shared" si="17"/>
        <v>1.0844505475039175E-3</v>
      </c>
      <c r="AH137" s="572">
        <f t="shared" si="17"/>
        <v>1.0817552011623693E-3</v>
      </c>
      <c r="AI137" s="572">
        <f t="shared" si="17"/>
        <v>1.0791778464734234E-3</v>
      </c>
      <c r="AJ137" s="572">
        <f t="shared" si="17"/>
        <v>1.0895250539624641E-3</v>
      </c>
      <c r="AK137" s="572">
        <f t="shared" si="17"/>
        <v>1.0881502114454137E-3</v>
      </c>
      <c r="AL137" s="572">
        <f t="shared" si="17"/>
        <v>1.0824823131390042E-3</v>
      </c>
      <c r="AM137" s="572"/>
    </row>
    <row r="138" spans="1:39" ht="15.75" customHeight="1" x14ac:dyDescent="0.25">
      <c r="A138" s="3"/>
      <c r="B138" s="3" t="str">
        <f t="shared" si="16"/>
        <v>Solvents</v>
      </c>
      <c r="C138" s="3" t="str">
        <f t="shared" si="16"/>
        <v>PFC</v>
      </c>
      <c r="D138" s="3" t="str">
        <f t="shared" si="16"/>
        <v>Other PFC</v>
      </c>
      <c r="E138" s="1052">
        <f t="shared" si="7"/>
        <v>2.6679827806397554</v>
      </c>
      <c r="F138" s="572">
        <f t="shared" ref="F138:AL139" si="18">F48*$E138</f>
        <v>0</v>
      </c>
      <c r="G138" s="572">
        <f t="shared" si="18"/>
        <v>0</v>
      </c>
      <c r="H138" s="572">
        <f t="shared" si="18"/>
        <v>0</v>
      </c>
      <c r="I138" s="572">
        <f t="shared" si="18"/>
        <v>0</v>
      </c>
      <c r="J138" s="572">
        <f t="shared" si="18"/>
        <v>0</v>
      </c>
      <c r="K138" s="572">
        <f t="shared" si="18"/>
        <v>2.2535683039613976E-2</v>
      </c>
      <c r="L138" s="572">
        <f t="shared" si="18"/>
        <v>5.4164482551011035E-2</v>
      </c>
      <c r="M138" s="572">
        <f t="shared" si="18"/>
        <v>6.3564334455957813E-2</v>
      </c>
      <c r="N138" s="572">
        <f t="shared" si="18"/>
        <v>6.4668665896530989E-2</v>
      </c>
      <c r="O138" s="572">
        <f t="shared" si="18"/>
        <v>6.5838826123758978E-2</v>
      </c>
      <c r="P138" s="572">
        <f t="shared" si="18"/>
        <v>5.2024735718055631E-2</v>
      </c>
      <c r="Q138" s="572">
        <f t="shared" si="18"/>
        <v>3.7740732386413942E-2</v>
      </c>
      <c r="R138" s="572">
        <f t="shared" si="18"/>
        <v>2.281763525316894E-2</v>
      </c>
      <c r="S138" s="572">
        <f t="shared" si="18"/>
        <v>7.1724800153089028E-3</v>
      </c>
      <c r="T138" s="572">
        <f t="shared" si="18"/>
        <v>7.3186585564070962E-3</v>
      </c>
      <c r="U138" s="572">
        <f t="shared" si="18"/>
        <v>5.9653651351015066E-3</v>
      </c>
      <c r="V138" s="572">
        <f t="shared" si="18"/>
        <v>4.5450343169845323E-3</v>
      </c>
      <c r="W138" s="572">
        <f t="shared" si="18"/>
        <v>3.0783729645569467E-3</v>
      </c>
      <c r="X138" s="572">
        <f t="shared" si="18"/>
        <v>1.5646631943695014E-3</v>
      </c>
      <c r="Y138" s="572">
        <f t="shared" si="18"/>
        <v>0</v>
      </c>
      <c r="Z138" s="572">
        <f t="shared" si="18"/>
        <v>0</v>
      </c>
      <c r="AA138" s="572">
        <f t="shared" si="18"/>
        <v>0</v>
      </c>
      <c r="AB138" s="572">
        <f t="shared" si="18"/>
        <v>0</v>
      </c>
      <c r="AC138" s="572">
        <f t="shared" si="18"/>
        <v>0</v>
      </c>
      <c r="AD138" s="572">
        <f t="shared" si="18"/>
        <v>0</v>
      </c>
      <c r="AE138" s="572">
        <f t="shared" si="18"/>
        <v>0</v>
      </c>
      <c r="AF138" s="572">
        <f t="shared" si="18"/>
        <v>0</v>
      </c>
      <c r="AG138" s="572">
        <f t="shared" si="18"/>
        <v>0</v>
      </c>
      <c r="AH138" s="572">
        <f t="shared" si="18"/>
        <v>0</v>
      </c>
      <c r="AI138" s="572">
        <f t="shared" si="18"/>
        <v>0</v>
      </c>
      <c r="AJ138" s="572">
        <f t="shared" si="18"/>
        <v>0</v>
      </c>
      <c r="AK138" s="572">
        <f t="shared" si="18"/>
        <v>0</v>
      </c>
      <c r="AL138" s="572">
        <f t="shared" si="18"/>
        <v>0</v>
      </c>
      <c r="AM138" s="572"/>
    </row>
    <row r="139" spans="1:39" ht="15.75" customHeight="1" x14ac:dyDescent="0.25">
      <c r="A139" s="3"/>
      <c r="B139" s="3" t="str">
        <f t="shared" si="16"/>
        <v>Fire protection</v>
      </c>
      <c r="C139" s="3" t="str">
        <f t="shared" si="16"/>
        <v>PFC</v>
      </c>
      <c r="D139" s="3" t="str">
        <f t="shared" si="16"/>
        <v>PFC-14 (Perfluoromethane)</v>
      </c>
      <c r="E139" s="1052">
        <f t="shared" si="7"/>
        <v>0.79939668174962297</v>
      </c>
      <c r="F139" s="572">
        <f t="shared" si="18"/>
        <v>0</v>
      </c>
      <c r="G139" s="572">
        <f t="shared" si="18"/>
        <v>0</v>
      </c>
      <c r="H139" s="572">
        <f t="shared" si="18"/>
        <v>0</v>
      </c>
      <c r="I139" s="572">
        <f t="shared" si="18"/>
        <v>0</v>
      </c>
      <c r="J139" s="572">
        <f t="shared" si="18"/>
        <v>3.5880253229869101E-7</v>
      </c>
      <c r="K139" s="572">
        <f t="shared" si="18"/>
        <v>1.1531980384044935E-6</v>
      </c>
      <c r="L139" s="572">
        <f t="shared" si="18"/>
        <v>1.0423361429727172E-5</v>
      </c>
      <c r="M139" s="572">
        <f t="shared" si="18"/>
        <v>2.860443164778566E-5</v>
      </c>
      <c r="N139" s="572">
        <f t="shared" si="18"/>
        <v>5.6234815991005604E-5</v>
      </c>
      <c r="O139" s="572">
        <f t="shared" si="18"/>
        <v>9.3770841538530787E-5</v>
      </c>
      <c r="P139" s="572">
        <f t="shared" si="18"/>
        <v>1.4162489918713957E-4</v>
      </c>
      <c r="Q139" s="572">
        <f t="shared" si="18"/>
        <v>1.9098283947628373E-4</v>
      </c>
      <c r="R139" s="572">
        <f t="shared" si="18"/>
        <v>2.3380142855728195E-4</v>
      </c>
      <c r="S139" s="572">
        <f t="shared" si="18"/>
        <v>2.6900712008882629E-4</v>
      </c>
      <c r="T139" s="572">
        <f t="shared" si="18"/>
        <v>2.9590277023990681E-4</v>
      </c>
      <c r="U139" s="572">
        <f t="shared" si="18"/>
        <v>3.1402668591161013E-4</v>
      </c>
      <c r="V139" s="572">
        <f t="shared" si="18"/>
        <v>3.2244234329665536E-4</v>
      </c>
      <c r="W139" s="572">
        <f t="shared" si="18"/>
        <v>3.3055077108085795E-4</v>
      </c>
      <c r="X139" s="572">
        <f t="shared" si="18"/>
        <v>3.3922723473823107E-4</v>
      </c>
      <c r="Y139" s="572">
        <f t="shared" si="18"/>
        <v>3.4917762718940712E-4</v>
      </c>
      <c r="Z139" s="572">
        <f t="shared" si="18"/>
        <v>3.6037765498920377E-4</v>
      </c>
      <c r="AA139" s="572">
        <f t="shared" si="18"/>
        <v>3.7185938396114119E-4</v>
      </c>
      <c r="AB139" s="572">
        <f t="shared" si="18"/>
        <v>3.8346240556669069E-4</v>
      </c>
      <c r="AC139" s="572">
        <f t="shared" si="18"/>
        <v>3.9477979630641485E-4</v>
      </c>
      <c r="AD139" s="572">
        <f t="shared" si="18"/>
        <v>4.0610920637117545E-4</v>
      </c>
      <c r="AE139" s="572">
        <f t="shared" si="18"/>
        <v>4.1733351008638474E-4</v>
      </c>
      <c r="AF139" s="572">
        <f t="shared" si="18"/>
        <v>4.2818806047870063E-4</v>
      </c>
      <c r="AG139" s="572">
        <f t="shared" si="18"/>
        <v>4.3995083664784756E-4</v>
      </c>
      <c r="AH139" s="572">
        <f t="shared" si="18"/>
        <v>4.5199982120665603E-4</v>
      </c>
      <c r="AI139" s="572">
        <f t="shared" si="18"/>
        <v>4.644594836662696E-4</v>
      </c>
      <c r="AJ139" s="572">
        <f t="shared" si="18"/>
        <v>4.357620293216674E-4</v>
      </c>
      <c r="AK139" s="572">
        <f t="shared" si="18"/>
        <v>4.0112833373407282E-4</v>
      </c>
      <c r="AL139" s="572">
        <f t="shared" si="18"/>
        <v>3.6408522469417461E-4</v>
      </c>
      <c r="AM139" s="572"/>
    </row>
    <row r="140" spans="1:39" ht="15.7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row>
    <row r="141" spans="1:39" ht="15.75" customHeight="1" x14ac:dyDescent="0.25">
      <c r="A141" s="3"/>
      <c r="B141" s="2140" t="s">
        <v>2136</v>
      </c>
      <c r="C141" s="2138"/>
      <c r="D141" s="2138"/>
      <c r="E141" s="2138"/>
      <c r="F141" s="2138"/>
      <c r="G141" s="2138"/>
      <c r="H141" s="2138"/>
      <c r="I141" s="2138"/>
      <c r="J141" s="2138"/>
      <c r="K141" s="2138"/>
      <c r="L141" s="2138"/>
      <c r="M141" s="2138"/>
      <c r="N141" s="2138"/>
      <c r="O141" s="2138"/>
      <c r="P141" s="2138"/>
      <c r="Q141" s="2138"/>
      <c r="R141" s="2138"/>
      <c r="S141" s="2138"/>
      <c r="T141" s="2138"/>
      <c r="U141" s="2138"/>
      <c r="V141" s="2138"/>
      <c r="W141" s="2138"/>
      <c r="X141" s="2138"/>
      <c r="Y141" s="2138"/>
      <c r="Z141" s="2138"/>
      <c r="AA141" s="2138"/>
      <c r="AB141" s="2138"/>
      <c r="AC141" s="2138"/>
      <c r="AD141" s="2138"/>
      <c r="AE141" s="2138"/>
      <c r="AF141" s="2138"/>
      <c r="AG141" s="2138"/>
      <c r="AH141" s="2138"/>
      <c r="AI141" s="2138"/>
      <c r="AJ141" s="2138"/>
      <c r="AK141" s="2138"/>
      <c r="AL141" s="2138"/>
      <c r="AM141" s="2139"/>
    </row>
    <row r="142" spans="1:39" ht="15.7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row>
    <row r="143" spans="1:39" ht="15.75" customHeight="1" x14ac:dyDescent="0.25">
      <c r="A143" s="3"/>
      <c r="B143" s="2141" t="s">
        <v>2</v>
      </c>
      <c r="C143" s="2142"/>
      <c r="D143" s="2142"/>
      <c r="E143" s="2142"/>
      <c r="F143" s="2142"/>
      <c r="G143" s="2142"/>
      <c r="H143" s="2142"/>
      <c r="I143" s="2142"/>
      <c r="J143" s="2142"/>
      <c r="K143" s="2142"/>
      <c r="L143" s="2142"/>
      <c r="M143" s="2142"/>
      <c r="N143" s="2142"/>
      <c r="O143" s="2142"/>
      <c r="P143" s="2142"/>
      <c r="Q143" s="2142"/>
      <c r="R143" s="2142"/>
      <c r="S143" s="2142"/>
      <c r="T143" s="2142"/>
      <c r="U143" s="2142"/>
      <c r="V143" s="2142"/>
      <c r="W143" s="2142"/>
      <c r="X143" s="2142"/>
      <c r="Y143" s="2142"/>
      <c r="Z143" s="2142"/>
      <c r="AA143" s="2142"/>
      <c r="AB143" s="2142"/>
      <c r="AC143" s="2142"/>
      <c r="AD143" s="2142"/>
      <c r="AE143" s="2142"/>
      <c r="AF143" s="2142"/>
      <c r="AG143" s="2142"/>
      <c r="AH143" s="2142"/>
      <c r="AI143" s="2142"/>
      <c r="AJ143" s="2142"/>
      <c r="AK143" s="2142"/>
      <c r="AL143" s="2142"/>
      <c r="AM143" s="2145"/>
    </row>
    <row r="144" spans="1:39" ht="15.75" customHeight="1" x14ac:dyDescent="0.25">
      <c r="A144" s="3"/>
      <c r="B144" s="3"/>
      <c r="C144" s="3"/>
      <c r="D144" s="60" t="s">
        <v>782</v>
      </c>
      <c r="E144" s="60"/>
      <c r="F144" s="60" t="s">
        <v>2033</v>
      </c>
      <c r="G144" s="60" t="s">
        <v>2034</v>
      </c>
      <c r="H144" s="60" t="s">
        <v>2035</v>
      </c>
      <c r="I144" s="60" t="s">
        <v>2036</v>
      </c>
      <c r="J144" s="60" t="s">
        <v>2037</v>
      </c>
      <c r="K144" s="60" t="s">
        <v>2038</v>
      </c>
      <c r="L144" s="60" t="s">
        <v>2039</v>
      </c>
      <c r="M144" s="60" t="s">
        <v>2040</v>
      </c>
      <c r="N144" s="60" t="s">
        <v>2041</v>
      </c>
      <c r="O144" s="60" t="s">
        <v>2042</v>
      </c>
      <c r="P144" s="60" t="s">
        <v>2043</v>
      </c>
      <c r="Q144" s="60" t="s">
        <v>2044</v>
      </c>
      <c r="R144" s="60" t="s">
        <v>2045</v>
      </c>
      <c r="S144" s="60" t="s">
        <v>2046</v>
      </c>
      <c r="T144" s="60" t="s">
        <v>2047</v>
      </c>
      <c r="U144" s="60" t="s">
        <v>2048</v>
      </c>
      <c r="V144" s="60" t="s">
        <v>2049</v>
      </c>
      <c r="W144" s="60" t="s">
        <v>2050</v>
      </c>
      <c r="X144" s="60" t="s">
        <v>2051</v>
      </c>
      <c r="Y144" s="60" t="s">
        <v>2052</v>
      </c>
      <c r="Z144" s="60" t="s">
        <v>2053</v>
      </c>
      <c r="AA144" s="60" t="s">
        <v>2054</v>
      </c>
      <c r="AB144" s="60" t="s">
        <v>2055</v>
      </c>
      <c r="AC144" s="60" t="s">
        <v>2056</v>
      </c>
      <c r="AD144" s="60" t="s">
        <v>2057</v>
      </c>
      <c r="AE144" s="60" t="s">
        <v>2058</v>
      </c>
      <c r="AF144" s="60" t="s">
        <v>2059</v>
      </c>
      <c r="AG144" s="60" t="s">
        <v>2060</v>
      </c>
      <c r="AH144" s="60" t="s">
        <v>2061</v>
      </c>
      <c r="AI144" s="60" t="s">
        <v>2062</v>
      </c>
      <c r="AJ144" s="60" t="s">
        <v>2063</v>
      </c>
      <c r="AK144" s="60" t="s">
        <v>2064</v>
      </c>
      <c r="AL144" s="60" t="s">
        <v>2065</v>
      </c>
      <c r="AM144" s="60"/>
    </row>
    <row r="145" spans="1:39" ht="15.75" customHeight="1" x14ac:dyDescent="0.25">
      <c r="A145" s="3"/>
      <c r="B145" s="3"/>
      <c r="C145" s="3"/>
      <c r="D145" s="3" t="s">
        <v>2067</v>
      </c>
      <c r="E145" s="3"/>
      <c r="F145" s="572">
        <f t="shared" ref="F145:AL152" si="19">SUMIF($D$16:$D$49,$D145,F$16:F$49)</f>
        <v>2.6131014791080082E-7</v>
      </c>
      <c r="G145" s="572">
        <f t="shared" si="19"/>
        <v>4.1898124909234098E-7</v>
      </c>
      <c r="H145" s="572">
        <f t="shared" si="19"/>
        <v>5.8111866987456702E-7</v>
      </c>
      <c r="I145" s="572">
        <f t="shared" si="19"/>
        <v>7.4840461171582204E-7</v>
      </c>
      <c r="J145" s="572">
        <f t="shared" si="19"/>
        <v>9.2201719908830302E-7</v>
      </c>
      <c r="K145" s="572">
        <f t="shared" si="19"/>
        <v>2.3052706395561522E-6</v>
      </c>
      <c r="L145" s="572">
        <f t="shared" si="19"/>
        <v>4.4136082214367739E-6</v>
      </c>
      <c r="M145" s="572">
        <f t="shared" si="19"/>
        <v>6.5946290152229707E-6</v>
      </c>
      <c r="N145" s="572">
        <f t="shared" si="19"/>
        <v>8.8565132283437395E-6</v>
      </c>
      <c r="O145" s="572">
        <f t="shared" si="19"/>
        <v>1.1509845363912519E-5</v>
      </c>
      <c r="P145" s="572">
        <f t="shared" si="19"/>
        <v>1.2569649352965852E-5</v>
      </c>
      <c r="Q145" s="572">
        <f t="shared" si="19"/>
        <v>1.3247157241468287E-5</v>
      </c>
      <c r="R145" s="572">
        <f t="shared" si="19"/>
        <v>1.7288683860185458E-5</v>
      </c>
      <c r="S145" s="572">
        <f t="shared" si="19"/>
        <v>2.1944993352741679E-5</v>
      </c>
      <c r="T145" s="572">
        <f t="shared" si="19"/>
        <v>2.3330088569784589E-5</v>
      </c>
      <c r="U145" s="572">
        <f t="shared" si="19"/>
        <v>2.4713909211711638E-5</v>
      </c>
      <c r="V145" s="572">
        <f t="shared" si="19"/>
        <v>2.6092421796137101E-5</v>
      </c>
      <c r="W145" s="572">
        <f t="shared" si="19"/>
        <v>2.7471143032289743E-5</v>
      </c>
      <c r="X145" s="572">
        <f t="shared" si="19"/>
        <v>2.8923391721581608E-5</v>
      </c>
      <c r="Y145" s="572">
        <f t="shared" si="19"/>
        <v>3.1802293449473981E-5</v>
      </c>
      <c r="Z145" s="572">
        <f t="shared" si="19"/>
        <v>3.5335146091815057E-5</v>
      </c>
      <c r="AA145" s="572">
        <f t="shared" si="19"/>
        <v>3.771742776819257E-5</v>
      </c>
      <c r="AB145" s="572">
        <f t="shared" si="19"/>
        <v>3.956228490669917E-5</v>
      </c>
      <c r="AC145" s="572">
        <f t="shared" si="19"/>
        <v>4.1703195498338638E-5</v>
      </c>
      <c r="AD145" s="572">
        <f t="shared" si="19"/>
        <v>4.4100162870311796E-5</v>
      </c>
      <c r="AE145" s="572">
        <f t="shared" si="19"/>
        <v>4.6478452427122152E-5</v>
      </c>
      <c r="AF145" s="572">
        <f t="shared" si="19"/>
        <v>4.9640579107816882E-5</v>
      </c>
      <c r="AG145" s="572">
        <f t="shared" si="19"/>
        <v>5.2781854283047353E-5</v>
      </c>
      <c r="AH145" s="572">
        <f t="shared" si="19"/>
        <v>5.6556118564366453E-5</v>
      </c>
      <c r="AI145" s="572">
        <f t="shared" si="19"/>
        <v>6.0255123344093292E-5</v>
      </c>
      <c r="AJ145" s="572">
        <f t="shared" si="19"/>
        <v>6.4760276546437561E-5</v>
      </c>
      <c r="AK145" s="572">
        <f t="shared" si="19"/>
        <v>6.8680952135492248E-5</v>
      </c>
      <c r="AL145" s="572">
        <f t="shared" si="19"/>
        <v>7.2638169923938342E-5</v>
      </c>
      <c r="AM145" s="572"/>
    </row>
    <row r="146" spans="1:39" ht="15.75" customHeight="1" x14ac:dyDescent="0.25">
      <c r="A146" s="3"/>
      <c r="B146" s="3"/>
      <c r="C146" s="3"/>
      <c r="D146" s="3" t="s">
        <v>2071</v>
      </c>
      <c r="E146" s="3"/>
      <c r="F146" s="572">
        <f t="shared" si="19"/>
        <v>2.0830797606810991E-6</v>
      </c>
      <c r="G146" s="572">
        <f t="shared" si="19"/>
        <v>5.1310290580785562E-6</v>
      </c>
      <c r="H146" s="572">
        <f t="shared" si="19"/>
        <v>9.8378592437783122E-6</v>
      </c>
      <c r="I146" s="572">
        <f t="shared" si="19"/>
        <v>1.8322801458537179E-3</v>
      </c>
      <c r="J146" s="572">
        <f t="shared" si="19"/>
        <v>4.8728700758485701E-3</v>
      </c>
      <c r="K146" s="572">
        <f t="shared" si="19"/>
        <v>1.032790790201873E-2</v>
      </c>
      <c r="L146" s="572">
        <f t="shared" si="19"/>
        <v>1.7579836613494621E-2</v>
      </c>
      <c r="M146" s="572">
        <f t="shared" si="19"/>
        <v>2.7162326207427513E-2</v>
      </c>
      <c r="N146" s="572">
        <f t="shared" si="19"/>
        <v>3.5568886265150208E-2</v>
      </c>
      <c r="O146" s="572">
        <f t="shared" si="19"/>
        <v>4.6624095576810541E-2</v>
      </c>
      <c r="P146" s="572">
        <f t="shared" si="19"/>
        <v>5.5812528268700944E-2</v>
      </c>
      <c r="Q146" s="572">
        <f t="shared" si="19"/>
        <v>6.8048370774473177E-2</v>
      </c>
      <c r="R146" s="572">
        <f t="shared" si="19"/>
        <v>8.2768776549837705E-2</v>
      </c>
      <c r="S146" s="572">
        <f t="shared" si="19"/>
        <v>9.8916356993009324E-2</v>
      </c>
      <c r="T146" s="572">
        <f t="shared" si="19"/>
        <v>0.11556638247448875</v>
      </c>
      <c r="U146" s="572">
        <f t="shared" si="19"/>
        <v>0.14526687204559344</v>
      </c>
      <c r="V146" s="572">
        <f t="shared" si="19"/>
        <v>0.1830632098883283</v>
      </c>
      <c r="W146" s="572">
        <f t="shared" si="19"/>
        <v>0.23174112319779269</v>
      </c>
      <c r="X146" s="572">
        <f t="shared" si="19"/>
        <v>0.28390434385766028</v>
      </c>
      <c r="Y146" s="572">
        <f t="shared" si="19"/>
        <v>0.27859971478622109</v>
      </c>
      <c r="Z146" s="572">
        <f t="shared" si="19"/>
        <v>0.32210415357467981</v>
      </c>
      <c r="AA146" s="572">
        <f t="shared" si="19"/>
        <v>0.39741648529784546</v>
      </c>
      <c r="AB146" s="572">
        <f t="shared" si="19"/>
        <v>0.48462378571764464</v>
      </c>
      <c r="AC146" s="572">
        <f t="shared" si="19"/>
        <v>0.55505444606933285</v>
      </c>
      <c r="AD146" s="572">
        <f t="shared" si="19"/>
        <v>0.70901828091073293</v>
      </c>
      <c r="AE146" s="572">
        <f t="shared" si="19"/>
        <v>0.70273870248002923</v>
      </c>
      <c r="AF146" s="572">
        <f t="shared" si="19"/>
        <v>0.83946166933053612</v>
      </c>
      <c r="AG146" s="572">
        <f t="shared" si="19"/>
        <v>0.7570571447987452</v>
      </c>
      <c r="AH146" s="572">
        <f t="shared" si="19"/>
        <v>0.89698849638908895</v>
      </c>
      <c r="AI146" s="572">
        <f t="shared" si="19"/>
        <v>0.87324940282913732</v>
      </c>
      <c r="AJ146" s="572">
        <f t="shared" si="19"/>
        <v>1.0488115191041207</v>
      </c>
      <c r="AK146" s="572">
        <f t="shared" si="19"/>
        <v>1.2052278275521806</v>
      </c>
      <c r="AL146" s="572">
        <f t="shared" si="19"/>
        <v>1.3102715128554596</v>
      </c>
      <c r="AM146" s="572"/>
    </row>
    <row r="147" spans="1:39" ht="15.75" customHeight="1" x14ac:dyDescent="0.25">
      <c r="A147" s="3"/>
      <c r="B147" s="3"/>
      <c r="C147" s="3"/>
      <c r="D147" s="3" t="s">
        <v>2072</v>
      </c>
      <c r="E147" s="3"/>
      <c r="F147" s="572">
        <f t="shared" si="19"/>
        <v>7.3244025391447861E-8</v>
      </c>
      <c r="G147" s="572">
        <f t="shared" si="19"/>
        <v>1.8041422594940989E-7</v>
      </c>
      <c r="H147" s="572">
        <f t="shared" si="19"/>
        <v>1.7305468372907699E-2</v>
      </c>
      <c r="I147" s="572">
        <f t="shared" si="19"/>
        <v>7.4925704686498354E-2</v>
      </c>
      <c r="J147" s="572">
        <f t="shared" si="19"/>
        <v>0.19437242912594571</v>
      </c>
      <c r="K147" s="572">
        <f t="shared" si="19"/>
        <v>0.42043990479246957</v>
      </c>
      <c r="L147" s="572">
        <f t="shared" si="19"/>
        <v>0.57077895030801606</v>
      </c>
      <c r="M147" s="572">
        <f t="shared" si="19"/>
        <v>0.71861230090887829</v>
      </c>
      <c r="N147" s="572">
        <f t="shared" si="19"/>
        <v>0.81537855364100809</v>
      </c>
      <c r="O147" s="572">
        <f t="shared" si="19"/>
        <v>0.91840454486573297</v>
      </c>
      <c r="P147" s="572">
        <f t="shared" si="19"/>
        <v>1.0138920699165108</v>
      </c>
      <c r="Q147" s="572">
        <f t="shared" si="19"/>
        <v>1.099921829375319</v>
      </c>
      <c r="R147" s="572">
        <f t="shared" si="19"/>
        <v>1.1430564572199273</v>
      </c>
      <c r="S147" s="572">
        <f t="shared" si="19"/>
        <v>1.1753179048102371</v>
      </c>
      <c r="T147" s="572">
        <f t="shared" si="19"/>
        <v>1.2037834327980339</v>
      </c>
      <c r="U147" s="572">
        <f t="shared" si="19"/>
        <v>1.2199597151399479</v>
      </c>
      <c r="V147" s="572">
        <f t="shared" si="19"/>
        <v>1.2551806216392776</v>
      </c>
      <c r="W147" s="572">
        <f t="shared" si="19"/>
        <v>1.2865539388910998</v>
      </c>
      <c r="X147" s="572">
        <f t="shared" si="19"/>
        <v>1.3225003277710556</v>
      </c>
      <c r="Y147" s="572">
        <f t="shared" si="19"/>
        <v>1.3420090290171782</v>
      </c>
      <c r="Z147" s="572">
        <f t="shared" si="19"/>
        <v>1.1707536276758914</v>
      </c>
      <c r="AA147" s="572">
        <f t="shared" si="19"/>
        <v>1.1184166495883394</v>
      </c>
      <c r="AB147" s="572">
        <f t="shared" si="19"/>
        <v>1.0675380710002969</v>
      </c>
      <c r="AC147" s="572">
        <f t="shared" si="19"/>
        <v>1.2752792732097329</v>
      </c>
      <c r="AD147" s="572">
        <f t="shared" si="19"/>
        <v>1.4140337681348132</v>
      </c>
      <c r="AE147" s="572">
        <f t="shared" si="19"/>
        <v>1.2991554189853241</v>
      </c>
      <c r="AF147" s="572">
        <f t="shared" si="19"/>
        <v>1.14971332178335</v>
      </c>
      <c r="AG147" s="572">
        <f t="shared" si="19"/>
        <v>0.94420100804189</v>
      </c>
      <c r="AH147" s="572">
        <f t="shared" si="19"/>
        <v>0.99854386556560959</v>
      </c>
      <c r="AI147" s="572">
        <f t="shared" si="19"/>
        <v>0.9510207126878697</v>
      </c>
      <c r="AJ147" s="572">
        <f t="shared" si="19"/>
        <v>1.038189858922832</v>
      </c>
      <c r="AK147" s="572">
        <f t="shared" si="19"/>
        <v>0.96212652090184858</v>
      </c>
      <c r="AL147" s="572">
        <f t="shared" si="19"/>
        <v>0.93120199342943333</v>
      </c>
      <c r="AM147" s="572"/>
    </row>
    <row r="148" spans="1:39" ht="15.75" customHeight="1" x14ac:dyDescent="0.25">
      <c r="A148" s="3"/>
      <c r="B148" s="3"/>
      <c r="C148" s="3"/>
      <c r="D148" s="3" t="s">
        <v>2075</v>
      </c>
      <c r="E148" s="3"/>
      <c r="F148" s="572">
        <f t="shared" si="19"/>
        <v>3.7240846201553312E-6</v>
      </c>
      <c r="G148" s="572">
        <f t="shared" si="19"/>
        <v>9.1731419801768085E-6</v>
      </c>
      <c r="H148" s="572">
        <f t="shared" si="19"/>
        <v>1.7587910456692571E-5</v>
      </c>
      <c r="I148" s="572">
        <f t="shared" si="19"/>
        <v>1.318694796414364E-3</v>
      </c>
      <c r="J148" s="572">
        <f t="shared" si="19"/>
        <v>3.6741288239772992E-3</v>
      </c>
      <c r="K148" s="572">
        <f t="shared" si="19"/>
        <v>9.1767881134462714E-3</v>
      </c>
      <c r="L148" s="572">
        <f t="shared" si="19"/>
        <v>1.7068477805663181E-2</v>
      </c>
      <c r="M148" s="572">
        <f t="shared" si="19"/>
        <v>2.8260174203529932E-2</v>
      </c>
      <c r="N148" s="572">
        <f t="shared" si="19"/>
        <v>4.0974398710055072E-2</v>
      </c>
      <c r="O148" s="572">
        <f t="shared" si="19"/>
        <v>5.8511730201415091E-2</v>
      </c>
      <c r="P148" s="572">
        <f t="shared" si="19"/>
        <v>7.2150615314809471E-2</v>
      </c>
      <c r="Q148" s="572">
        <f t="shared" si="19"/>
        <v>8.9370065998305867E-2</v>
      </c>
      <c r="R148" s="572">
        <f t="shared" si="19"/>
        <v>0.1087828117007227</v>
      </c>
      <c r="S148" s="572">
        <f t="shared" si="19"/>
        <v>0.1288072809836224</v>
      </c>
      <c r="T148" s="572">
        <f t="shared" si="19"/>
        <v>0.1472520743030476</v>
      </c>
      <c r="U148" s="572">
        <f t="shared" si="19"/>
        <v>0.17825234594206199</v>
      </c>
      <c r="V148" s="572">
        <f t="shared" si="19"/>
        <v>0.2118619930356147</v>
      </c>
      <c r="W148" s="572">
        <f t="shared" si="19"/>
        <v>0.2496507682504136</v>
      </c>
      <c r="X148" s="572">
        <f t="shared" si="19"/>
        <v>0.29254300276961481</v>
      </c>
      <c r="Y148" s="572">
        <f t="shared" si="19"/>
        <v>0.32544677330981392</v>
      </c>
      <c r="Z148" s="572">
        <f t="shared" si="19"/>
        <v>0.33349639492362038</v>
      </c>
      <c r="AA148" s="572">
        <f t="shared" si="19"/>
        <v>0.41388764324358202</v>
      </c>
      <c r="AB148" s="572">
        <f t="shared" si="19"/>
        <v>0.49996887401693491</v>
      </c>
      <c r="AC148" s="572">
        <f t="shared" si="19"/>
        <v>0.56678410628142217</v>
      </c>
      <c r="AD148" s="572">
        <f t="shared" si="19"/>
        <v>0.65334285974531225</v>
      </c>
      <c r="AE148" s="572">
        <f t="shared" si="19"/>
        <v>0.65542007120561996</v>
      </c>
      <c r="AF148" s="572">
        <f t="shared" si="19"/>
        <v>0.6741416043585654</v>
      </c>
      <c r="AG148" s="572">
        <f t="shared" si="19"/>
        <v>0.50404953133319441</v>
      </c>
      <c r="AH148" s="572">
        <f t="shared" si="19"/>
        <v>0.632093783017319</v>
      </c>
      <c r="AI148" s="572">
        <f t="shared" si="19"/>
        <v>0.55417967019470238</v>
      </c>
      <c r="AJ148" s="572">
        <f t="shared" si="19"/>
        <v>0.60943851858890463</v>
      </c>
      <c r="AK148" s="572">
        <f t="shared" si="19"/>
        <v>0.61154888168151578</v>
      </c>
      <c r="AL148" s="572">
        <f t="shared" si="19"/>
        <v>0.60870672771026657</v>
      </c>
      <c r="AM148" s="572"/>
    </row>
    <row r="149" spans="1:39" ht="15.75" customHeight="1" x14ac:dyDescent="0.25">
      <c r="A149" s="3"/>
      <c r="B149" s="3"/>
      <c r="C149" s="3"/>
      <c r="D149" s="3" t="s">
        <v>2076</v>
      </c>
      <c r="E149" s="3"/>
      <c r="F149" s="572">
        <f t="shared" si="19"/>
        <v>0</v>
      </c>
      <c r="G149" s="572">
        <f t="shared" si="19"/>
        <v>0</v>
      </c>
      <c r="H149" s="572">
        <f t="shared" si="19"/>
        <v>0</v>
      </c>
      <c r="I149" s="572">
        <f t="shared" si="19"/>
        <v>0</v>
      </c>
      <c r="J149" s="572">
        <f t="shared" si="19"/>
        <v>0</v>
      </c>
      <c r="K149" s="572">
        <f t="shared" si="19"/>
        <v>9.3036146234324768E-6</v>
      </c>
      <c r="L149" s="572">
        <f t="shared" si="19"/>
        <v>2.0863174107854798E-5</v>
      </c>
      <c r="M149" s="572">
        <f t="shared" si="19"/>
        <v>3.9285248301842602E-5</v>
      </c>
      <c r="N149" s="572">
        <f t="shared" si="19"/>
        <v>5.762449576632511E-5</v>
      </c>
      <c r="O149" s="572">
        <f t="shared" si="19"/>
        <v>8.2822795964448826E-5</v>
      </c>
      <c r="P149" s="572">
        <f t="shared" si="19"/>
        <v>1.080885242557396E-4</v>
      </c>
      <c r="Q149" s="572">
        <f t="shared" si="19"/>
        <v>1.313657066049777E-4</v>
      </c>
      <c r="R149" s="572">
        <f t="shared" si="19"/>
        <v>1.5256283657628139E-4</v>
      </c>
      <c r="S149" s="572">
        <f t="shared" si="19"/>
        <v>1.6903747560248619E-4</v>
      </c>
      <c r="T149" s="572">
        <f t="shared" si="19"/>
        <v>1.852557722608108E-4</v>
      </c>
      <c r="U149" s="572">
        <f t="shared" si="19"/>
        <v>2.0359600424150949E-4</v>
      </c>
      <c r="V149" s="572">
        <f t="shared" si="19"/>
        <v>2.1908588182021951E-4</v>
      </c>
      <c r="W149" s="572">
        <f t="shared" si="19"/>
        <v>2.3642555806566921E-4</v>
      </c>
      <c r="X149" s="572">
        <f t="shared" si="19"/>
        <v>2.5156468733034262E-4</v>
      </c>
      <c r="Y149" s="572">
        <f t="shared" si="19"/>
        <v>2.6969387346895552E-4</v>
      </c>
      <c r="Z149" s="572">
        <f t="shared" si="19"/>
        <v>2.9085115325012397E-4</v>
      </c>
      <c r="AA149" s="572">
        <f t="shared" si="19"/>
        <v>3.0973479855850972E-4</v>
      </c>
      <c r="AB149" s="572">
        <f t="shared" si="19"/>
        <v>3.330461144484584E-4</v>
      </c>
      <c r="AC149" s="572">
        <f t="shared" si="19"/>
        <v>3.5354917845680422E-4</v>
      </c>
      <c r="AD149" s="572">
        <f t="shared" si="19"/>
        <v>3.7605786330928268E-4</v>
      </c>
      <c r="AE149" s="572">
        <f t="shared" si="19"/>
        <v>4.0035265374947169E-4</v>
      </c>
      <c r="AF149" s="572">
        <f t="shared" si="19"/>
        <v>4.2387287872683359E-4</v>
      </c>
      <c r="AG149" s="572">
        <f t="shared" si="19"/>
        <v>4.5009971253825049E-4</v>
      </c>
      <c r="AH149" s="572">
        <f t="shared" si="19"/>
        <v>4.7619198320438021E-4</v>
      </c>
      <c r="AI149" s="572">
        <f t="shared" si="19"/>
        <v>5.0446574040930326E-4</v>
      </c>
      <c r="AJ149" s="572">
        <f t="shared" si="19"/>
        <v>5.3214126222195246E-4</v>
      </c>
      <c r="AK149" s="572">
        <f t="shared" si="19"/>
        <v>5.5199864253537782E-4</v>
      </c>
      <c r="AL149" s="572">
        <f t="shared" si="19"/>
        <v>5.6954536712445038E-4</v>
      </c>
      <c r="AM149" s="572"/>
    </row>
    <row r="150" spans="1:39" ht="15.75" customHeight="1" x14ac:dyDescent="0.25">
      <c r="A150" s="3"/>
      <c r="B150" s="3"/>
      <c r="C150" s="3"/>
      <c r="D150" s="3" t="s">
        <v>2077</v>
      </c>
      <c r="E150" s="3"/>
      <c r="F150" s="572">
        <f t="shared" si="19"/>
        <v>0</v>
      </c>
      <c r="G150" s="572">
        <f t="shared" si="19"/>
        <v>0</v>
      </c>
      <c r="H150" s="572">
        <f t="shared" si="19"/>
        <v>0</v>
      </c>
      <c r="I150" s="572">
        <f t="shared" si="19"/>
        <v>1.094958153041211E-3</v>
      </c>
      <c r="J150" s="572">
        <f t="shared" si="19"/>
        <v>3.3027020891527839E-3</v>
      </c>
      <c r="K150" s="572">
        <f t="shared" si="19"/>
        <v>5.4743631396104624E-3</v>
      </c>
      <c r="L150" s="572">
        <f t="shared" si="19"/>
        <v>6.8121740657830568E-3</v>
      </c>
      <c r="M150" s="572">
        <f t="shared" si="19"/>
        <v>8.3410670284168095E-3</v>
      </c>
      <c r="N150" s="572">
        <f t="shared" si="19"/>
        <v>9.9572823704379143E-3</v>
      </c>
      <c r="O150" s="572">
        <f t="shared" si="19"/>
        <v>1.168215537078551E-2</v>
      </c>
      <c r="P150" s="572">
        <f t="shared" si="19"/>
        <v>1.3329499808776166E-2</v>
      </c>
      <c r="Q150" s="572">
        <f t="shared" si="19"/>
        <v>1.492037867650221E-2</v>
      </c>
      <c r="R150" s="572">
        <f t="shared" si="19"/>
        <v>1.6438992374813818E-2</v>
      </c>
      <c r="S150" s="572">
        <f t="shared" si="19"/>
        <v>1.765665900123696E-2</v>
      </c>
      <c r="T150" s="572">
        <f t="shared" si="19"/>
        <v>1.8547113209606399E-2</v>
      </c>
      <c r="U150" s="572">
        <f t="shared" si="19"/>
        <v>1.9104708688916918E-2</v>
      </c>
      <c r="V150" s="572">
        <f t="shared" si="19"/>
        <v>1.9508098767425455E-2</v>
      </c>
      <c r="W150" s="572">
        <f t="shared" si="19"/>
        <v>1.9767586817745951E-2</v>
      </c>
      <c r="X150" s="572">
        <f t="shared" si="19"/>
        <v>1.993421451922665E-2</v>
      </c>
      <c r="Y150" s="572">
        <f t="shared" si="19"/>
        <v>2.0052653708937083E-2</v>
      </c>
      <c r="Z150" s="572">
        <f t="shared" si="19"/>
        <v>2.0231674925075455E-2</v>
      </c>
      <c r="AA150" s="572">
        <f t="shared" si="19"/>
        <v>2.0413129257294611E-2</v>
      </c>
      <c r="AB150" s="572">
        <f t="shared" si="19"/>
        <v>2.0583513151279879E-2</v>
      </c>
      <c r="AC150" s="572">
        <f t="shared" si="19"/>
        <v>2.0981077544913854E-2</v>
      </c>
      <c r="AD150" s="572">
        <f t="shared" si="19"/>
        <v>2.0336016869175022E-2</v>
      </c>
      <c r="AE150" s="572">
        <f t="shared" si="19"/>
        <v>1.8312702314863333E-2</v>
      </c>
      <c r="AF150" s="572">
        <f t="shared" si="19"/>
        <v>1.7082077012691398E-2</v>
      </c>
      <c r="AG150" s="572">
        <f t="shared" si="19"/>
        <v>1.5882723113878155E-2</v>
      </c>
      <c r="AH150" s="572">
        <f t="shared" si="19"/>
        <v>1.4583039348503281E-2</v>
      </c>
      <c r="AI150" s="572">
        <f t="shared" si="19"/>
        <v>1.3401369922684994E-2</v>
      </c>
      <c r="AJ150" s="572">
        <f t="shared" si="19"/>
        <v>1.2489218392264533E-2</v>
      </c>
      <c r="AK150" s="572">
        <f t="shared" si="19"/>
        <v>1.1546807967944583E-2</v>
      </c>
      <c r="AL150" s="572">
        <f t="shared" si="19"/>
        <v>1.0679883275602767E-2</v>
      </c>
      <c r="AM150" s="572"/>
    </row>
    <row r="151" spans="1:39" ht="15.75" customHeight="1" x14ac:dyDescent="0.25">
      <c r="A151" s="3"/>
      <c r="B151" s="3"/>
      <c r="C151" s="3"/>
      <c r="D151" s="3" t="s">
        <v>2078</v>
      </c>
      <c r="E151" s="3"/>
      <c r="F151" s="572">
        <f t="shared" si="19"/>
        <v>0</v>
      </c>
      <c r="G151" s="572">
        <f t="shared" si="19"/>
        <v>0</v>
      </c>
      <c r="H151" s="572">
        <f t="shared" si="19"/>
        <v>0</v>
      </c>
      <c r="I151" s="572">
        <f t="shared" si="19"/>
        <v>0</v>
      </c>
      <c r="J151" s="572">
        <f t="shared" si="19"/>
        <v>0</v>
      </c>
      <c r="K151" s="572">
        <f t="shared" si="19"/>
        <v>0</v>
      </c>
      <c r="L151" s="572">
        <f t="shared" si="19"/>
        <v>3.0469016963371702E-6</v>
      </c>
      <c r="M151" s="572">
        <f t="shared" si="19"/>
        <v>8.6518110182798053E-6</v>
      </c>
      <c r="N151" s="572">
        <f t="shared" si="19"/>
        <v>1.844517591183488E-5</v>
      </c>
      <c r="O151" s="572">
        <f t="shared" si="19"/>
        <v>3.5786809654347221E-5</v>
      </c>
      <c r="P151" s="572">
        <f t="shared" si="19"/>
        <v>1.651955955267768E-4</v>
      </c>
      <c r="Q151" s="572">
        <f t="shared" si="19"/>
        <v>4.1358921209775327E-4</v>
      </c>
      <c r="R151" s="572">
        <f t="shared" si="19"/>
        <v>8.1173569754559188E-4</v>
      </c>
      <c r="S151" s="572">
        <f t="shared" si="19"/>
        <v>1.3502779681188589E-3</v>
      </c>
      <c r="T151" s="572">
        <f t="shared" si="19"/>
        <v>2.0675901294666841E-3</v>
      </c>
      <c r="U151" s="572">
        <f t="shared" si="19"/>
        <v>3.080495081027423E-3</v>
      </c>
      <c r="V151" s="572">
        <f t="shared" si="19"/>
        <v>5.012036933085804E-3</v>
      </c>
      <c r="W151" s="572">
        <f t="shared" si="19"/>
        <v>7.1895367644093308E-3</v>
      </c>
      <c r="X151" s="572">
        <f t="shared" si="19"/>
        <v>9.4723877763723281E-3</v>
      </c>
      <c r="Y151" s="572">
        <f t="shared" si="19"/>
        <v>1.2203848200017841E-2</v>
      </c>
      <c r="Z151" s="572">
        <f t="shared" si="19"/>
        <v>1.7058702289811462E-2</v>
      </c>
      <c r="AA151" s="572">
        <f t="shared" si="19"/>
        <v>3.0748644235615671E-2</v>
      </c>
      <c r="AB151" s="572">
        <f t="shared" si="19"/>
        <v>3.2645818495296318E-2</v>
      </c>
      <c r="AC151" s="572">
        <f t="shared" si="19"/>
        <v>4.8837634649829952E-2</v>
      </c>
      <c r="AD151" s="572">
        <f t="shared" si="19"/>
        <v>6.0687208721937488E-2</v>
      </c>
      <c r="AE151" s="572">
        <f t="shared" si="19"/>
        <v>7.3553730118908534E-2</v>
      </c>
      <c r="AF151" s="572">
        <f t="shared" si="19"/>
        <v>8.4213997171858915E-2</v>
      </c>
      <c r="AG151" s="572">
        <f t="shared" si="19"/>
        <v>8.0964713183116183E-2</v>
      </c>
      <c r="AH151" s="572">
        <f t="shared" si="19"/>
        <v>9.7705256137823007E-2</v>
      </c>
      <c r="AI151" s="572">
        <f t="shared" si="19"/>
        <v>0.1037901447480068</v>
      </c>
      <c r="AJ151" s="572">
        <f t="shared" si="19"/>
        <v>0.1381303149748907</v>
      </c>
      <c r="AK151" s="572">
        <f t="shared" si="19"/>
        <v>0.16864826115628431</v>
      </c>
      <c r="AL151" s="572">
        <f t="shared" si="19"/>
        <v>0.1885012873241986</v>
      </c>
      <c r="AM151" s="572"/>
    </row>
    <row r="152" spans="1:39" ht="15.75" customHeight="1" x14ac:dyDescent="0.25">
      <c r="A152" s="3"/>
      <c r="B152" s="3"/>
      <c r="C152" s="3"/>
      <c r="D152" s="3" t="s">
        <v>2079</v>
      </c>
      <c r="E152" s="3"/>
      <c r="F152" s="572">
        <f t="shared" si="19"/>
        <v>4.7799061303962012E-3</v>
      </c>
      <c r="G152" s="572">
        <f t="shared" si="19"/>
        <v>1.0063064170992987E-2</v>
      </c>
      <c r="H152" s="572">
        <f t="shared" si="19"/>
        <v>1.0121952622423285E-2</v>
      </c>
      <c r="I152" s="572">
        <f t="shared" si="19"/>
        <v>1.0277569196453418E-2</v>
      </c>
      <c r="J152" s="572">
        <f t="shared" si="19"/>
        <v>1.1054365180283189E-2</v>
      </c>
      <c r="K152" s="572">
        <f t="shared" si="19"/>
        <v>2.4079612325935897E-2</v>
      </c>
      <c r="L152" s="572">
        <f t="shared" si="19"/>
        <v>3.9032626489515901E-2</v>
      </c>
      <c r="M152" s="572">
        <f t="shared" si="19"/>
        <v>4.8525526869761776E-2</v>
      </c>
      <c r="N152" s="572">
        <f t="shared" si="19"/>
        <v>6.1510154373347108E-2</v>
      </c>
      <c r="O152" s="572">
        <f t="shared" si="19"/>
        <v>6.521356967274583E-2</v>
      </c>
      <c r="P152" s="572">
        <f t="shared" si="19"/>
        <v>6.8124855701185302E-2</v>
      </c>
      <c r="Q152" s="572">
        <f t="shared" si="19"/>
        <v>7.3909174482029411E-2</v>
      </c>
      <c r="R152" s="572">
        <f t="shared" si="19"/>
        <v>9.1898280694211548E-2</v>
      </c>
      <c r="S152" s="572">
        <f t="shared" si="19"/>
        <v>0.11218616720953045</v>
      </c>
      <c r="T152" s="572">
        <f t="shared" si="19"/>
        <v>0.12081233334864004</v>
      </c>
      <c r="U152" s="572">
        <f t="shared" si="19"/>
        <v>0.12962208341834908</v>
      </c>
      <c r="V152" s="572">
        <f t="shared" si="19"/>
        <v>0.13639499854822631</v>
      </c>
      <c r="W152" s="572">
        <f t="shared" si="19"/>
        <v>0.14443914301242577</v>
      </c>
      <c r="X152" s="572">
        <f t="shared" si="19"/>
        <v>0.15200494418124483</v>
      </c>
      <c r="Y152" s="572">
        <f t="shared" si="19"/>
        <v>0.16350602825587535</v>
      </c>
      <c r="Z152" s="572">
        <f t="shared" si="19"/>
        <v>0.1761068664680159</v>
      </c>
      <c r="AA152" s="572">
        <f t="shared" si="19"/>
        <v>0.18880506808610562</v>
      </c>
      <c r="AB152" s="572">
        <f t="shared" si="19"/>
        <v>0.20129233643355085</v>
      </c>
      <c r="AC152" s="572">
        <f t="shared" si="19"/>
        <v>0.21359172065041793</v>
      </c>
      <c r="AD152" s="572">
        <f t="shared" ref="AD152:AL152" si="20">SUMIF($D$16:$D$49,$D152,AD$16:AD$49)</f>
        <v>0.22481759650762301</v>
      </c>
      <c r="AE152" s="572">
        <f t="shared" si="20"/>
        <v>0.24760162556363813</v>
      </c>
      <c r="AF152" s="572">
        <f t="shared" si="20"/>
        <v>0.26443392305588692</v>
      </c>
      <c r="AG152" s="572">
        <f t="shared" si="20"/>
        <v>0.28314448226679401</v>
      </c>
      <c r="AH152" s="572">
        <f t="shared" si="20"/>
        <v>0.29128932994965445</v>
      </c>
      <c r="AI152" s="572">
        <f t="shared" si="20"/>
        <v>0.29276460851793995</v>
      </c>
      <c r="AJ152" s="572">
        <f t="shared" si="20"/>
        <v>0.29282951913359256</v>
      </c>
      <c r="AK152" s="572">
        <f t="shared" si="20"/>
        <v>0.29980647056303189</v>
      </c>
      <c r="AL152" s="572">
        <f t="shared" si="20"/>
        <v>0.30845442602229906</v>
      </c>
      <c r="AM152" s="572"/>
    </row>
    <row r="153" spans="1:39" ht="15.75" customHeight="1" x14ac:dyDescent="0.25">
      <c r="A153" s="3"/>
      <c r="B153" s="3"/>
      <c r="C153" s="3"/>
      <c r="D153" s="3" t="s">
        <v>2083</v>
      </c>
      <c r="E153" s="3"/>
      <c r="F153" s="572">
        <f t="shared" ref="F153:AL154" si="21">SUMIF($D$16:$D$49,$D153,F$16:F$49)</f>
        <v>0</v>
      </c>
      <c r="G153" s="572">
        <f t="shared" si="21"/>
        <v>0</v>
      </c>
      <c r="H153" s="572">
        <f t="shared" si="21"/>
        <v>0</v>
      </c>
      <c r="I153" s="572">
        <f t="shared" si="21"/>
        <v>0</v>
      </c>
      <c r="J153" s="572">
        <f t="shared" si="21"/>
        <v>4.4884165832836251E-7</v>
      </c>
      <c r="K153" s="572">
        <f t="shared" si="21"/>
        <v>1.4425854706833569E-6</v>
      </c>
      <c r="L153" s="572">
        <f t="shared" si="21"/>
        <v>1.303903514699833E-5</v>
      </c>
      <c r="M153" s="572">
        <f t="shared" si="21"/>
        <v>3.5782524872607343E-5</v>
      </c>
      <c r="N153" s="572">
        <f t="shared" si="21"/>
        <v>7.034657170195606E-5</v>
      </c>
      <c r="O153" s="572">
        <f t="shared" si="21"/>
        <v>1.1730201498121869E-4</v>
      </c>
      <c r="P153" s="572">
        <f t="shared" si="21"/>
        <v>1.77164732379384E-4</v>
      </c>
      <c r="Q153" s="572">
        <f t="shared" si="21"/>
        <v>2.3890872183542661E-4</v>
      </c>
      <c r="R153" s="572">
        <f t="shared" si="21"/>
        <v>2.9247235308203383E-4</v>
      </c>
      <c r="S153" s="572">
        <f t="shared" si="21"/>
        <v>3.3651268041300341E-4</v>
      </c>
      <c r="T153" s="572">
        <f t="shared" si="21"/>
        <v>3.7015761635671358E-4</v>
      </c>
      <c r="U153" s="572">
        <f t="shared" si="21"/>
        <v>3.9282960897999531E-4</v>
      </c>
      <c r="V153" s="572">
        <f t="shared" si="21"/>
        <v>4.033571200107217E-4</v>
      </c>
      <c r="W153" s="572">
        <f t="shared" si="21"/>
        <v>4.1350030420114872E-4</v>
      </c>
      <c r="X153" s="572">
        <f t="shared" si="21"/>
        <v>4.2435406911593812E-4</v>
      </c>
      <c r="Y153" s="572">
        <f t="shared" si="21"/>
        <v>4.3680144684259792E-4</v>
      </c>
      <c r="Z153" s="572">
        <f t="shared" si="21"/>
        <v>4.508120476563058E-4</v>
      </c>
      <c r="AA153" s="572">
        <f t="shared" si="21"/>
        <v>4.6517504069101248E-4</v>
      </c>
      <c r="AB153" s="572">
        <f t="shared" si="21"/>
        <v>4.7968976394474697E-4</v>
      </c>
      <c r="AC153" s="572">
        <f t="shared" si="21"/>
        <v>4.9384717915311894E-4</v>
      </c>
      <c r="AD153" s="572">
        <f t="shared" si="21"/>
        <v>5.0801962985677228E-4</v>
      </c>
      <c r="AE153" s="572">
        <f t="shared" si="21"/>
        <v>5.2206059846655298E-4</v>
      </c>
      <c r="AF153" s="572">
        <f t="shared" si="21"/>
        <v>5.3563902659882739E-4</v>
      </c>
      <c r="AG153" s="572">
        <f t="shared" si="21"/>
        <v>5.5035359376891116E-4</v>
      </c>
      <c r="AH153" s="572">
        <f t="shared" si="21"/>
        <v>5.6542619143398667E-4</v>
      </c>
      <c r="AI153" s="572">
        <f t="shared" si="21"/>
        <v>5.8101252390705045E-4</v>
      </c>
      <c r="AJ153" s="572">
        <f t="shared" si="21"/>
        <v>5.4511363290616125E-4</v>
      </c>
      <c r="AK153" s="572">
        <f t="shared" si="21"/>
        <v>5.0178884012394391E-4</v>
      </c>
      <c r="AL153" s="572">
        <f t="shared" si="21"/>
        <v>4.5545000749478819E-4</v>
      </c>
      <c r="AM153" s="572"/>
    </row>
    <row r="154" spans="1:39" ht="15.75" customHeight="1" x14ac:dyDescent="0.25">
      <c r="A154" s="3"/>
      <c r="B154" s="3"/>
      <c r="C154" s="3"/>
      <c r="D154" s="3" t="s">
        <v>2082</v>
      </c>
      <c r="E154" s="3"/>
      <c r="F154" s="572">
        <f t="shared" si="21"/>
        <v>0</v>
      </c>
      <c r="G154" s="572">
        <f t="shared" si="21"/>
        <v>0</v>
      </c>
      <c r="H154" s="572">
        <f t="shared" si="21"/>
        <v>0</v>
      </c>
      <c r="I154" s="572">
        <f t="shared" si="21"/>
        <v>0</v>
      </c>
      <c r="J154" s="572">
        <f t="shared" si="21"/>
        <v>1.730075103327022E-6</v>
      </c>
      <c r="K154" s="572">
        <f t="shared" si="21"/>
        <v>8.4656947013083059E-3</v>
      </c>
      <c r="L154" s="572">
        <f t="shared" si="21"/>
        <v>2.0348098606656748E-2</v>
      </c>
      <c r="M154" s="572">
        <f t="shared" si="21"/>
        <v>2.3912308190053948E-2</v>
      </c>
      <c r="N154" s="572">
        <f t="shared" si="21"/>
        <v>2.4380728978988422E-2</v>
      </c>
      <c r="O154" s="572">
        <f t="shared" si="21"/>
        <v>2.4892452553644376E-2</v>
      </c>
      <c r="P154" s="572">
        <f t="shared" si="21"/>
        <v>1.9782892878697736E-2</v>
      </c>
      <c r="Q154" s="572">
        <f t="shared" si="21"/>
        <v>1.4496324674131257E-2</v>
      </c>
      <c r="R154" s="572">
        <f t="shared" si="21"/>
        <v>8.9657137557472757E-3</v>
      </c>
      <c r="S154" s="572">
        <f t="shared" si="21"/>
        <v>3.1023941639133279E-3</v>
      </c>
      <c r="T154" s="572">
        <f t="shared" si="21"/>
        <v>3.1572046912755293E-3</v>
      </c>
      <c r="U154" s="572">
        <f t="shared" si="21"/>
        <v>2.6495933988572584E-3</v>
      </c>
      <c r="V154" s="572">
        <f t="shared" si="21"/>
        <v>2.1159046653234301E-3</v>
      </c>
      <c r="W154" s="572">
        <f t="shared" si="21"/>
        <v>1.5642516166701867E-3</v>
      </c>
      <c r="X154" s="572">
        <f t="shared" si="21"/>
        <v>9.9538097420498938E-4</v>
      </c>
      <c r="Y154" s="572">
        <f t="shared" si="21"/>
        <v>4.0866952997223088E-4</v>
      </c>
      <c r="Z154" s="572">
        <f t="shared" si="21"/>
        <v>4.0949655637933401E-4</v>
      </c>
      <c r="AA154" s="572">
        <f t="shared" si="21"/>
        <v>4.102413353428481E-4</v>
      </c>
      <c r="AB154" s="572">
        <f t="shared" si="21"/>
        <v>4.1069513067581867E-4</v>
      </c>
      <c r="AC154" s="572">
        <f t="shared" si="21"/>
        <v>4.1049918227609259E-4</v>
      </c>
      <c r="AD154" s="572">
        <f t="shared" si="21"/>
        <v>4.1000958621623801E-4</v>
      </c>
      <c r="AE154" s="572">
        <f t="shared" si="21"/>
        <v>4.0906078520429898E-4</v>
      </c>
      <c r="AF154" s="572">
        <f t="shared" si="21"/>
        <v>4.0747959881769658E-4</v>
      </c>
      <c r="AG154" s="572">
        <f t="shared" si="21"/>
        <v>4.0646834581289058E-4</v>
      </c>
      <c r="AH154" s="572">
        <f t="shared" si="21"/>
        <v>4.0545808953945921E-4</v>
      </c>
      <c r="AI154" s="572">
        <f t="shared" si="21"/>
        <v>4.0449205830880489E-4</v>
      </c>
      <c r="AJ154" s="572">
        <f t="shared" si="21"/>
        <v>4.0837034701596048E-4</v>
      </c>
      <c r="AK154" s="572">
        <f t="shared" si="21"/>
        <v>4.0785503540037322E-4</v>
      </c>
      <c r="AL154" s="572">
        <f t="shared" si="21"/>
        <v>4.0573062202426801E-4</v>
      </c>
      <c r="AM154" s="572"/>
    </row>
    <row r="155" spans="1:39" ht="15.75" customHeight="1" x14ac:dyDescent="0.25">
      <c r="A155" s="3"/>
      <c r="B155" s="3"/>
      <c r="C155" s="3"/>
      <c r="D155" s="3"/>
      <c r="E155" s="3"/>
      <c r="F155" s="572"/>
      <c r="G155" s="572"/>
      <c r="H155" s="572"/>
      <c r="I155" s="572"/>
      <c r="J155" s="572"/>
      <c r="K155" s="572"/>
      <c r="L155" s="572"/>
      <c r="M155" s="572"/>
      <c r="N155" s="572"/>
      <c r="O155" s="572"/>
      <c r="P155" s="572"/>
      <c r="Q155" s="572"/>
      <c r="R155" s="572"/>
      <c r="S155" s="572"/>
      <c r="T155" s="572"/>
      <c r="U155" s="572"/>
      <c r="V155" s="572"/>
      <c r="W155" s="572"/>
      <c r="X155" s="572"/>
      <c r="Y155" s="572"/>
      <c r="Z155" s="572"/>
      <c r="AA155" s="572"/>
      <c r="AB155" s="572"/>
      <c r="AC155" s="572"/>
      <c r="AD155" s="572"/>
      <c r="AE155" s="572"/>
      <c r="AF155" s="572"/>
      <c r="AG155" s="572"/>
      <c r="AH155" s="572"/>
      <c r="AI155" s="572"/>
      <c r="AJ155" s="572"/>
      <c r="AK155" s="572"/>
      <c r="AL155" s="572"/>
      <c r="AM155" s="572"/>
    </row>
    <row r="156" spans="1:39" ht="15.75" customHeight="1" x14ac:dyDescent="0.25">
      <c r="A156" s="3"/>
      <c r="B156" s="3"/>
      <c r="C156" s="3"/>
      <c r="D156" s="3" t="s">
        <v>3</v>
      </c>
      <c r="E156" s="3"/>
      <c r="F156" s="572">
        <f t="shared" ref="F156:AL156" si="22">F145</f>
        <v>2.6131014791080082E-7</v>
      </c>
      <c r="G156" s="572">
        <f t="shared" si="22"/>
        <v>4.1898124909234098E-7</v>
      </c>
      <c r="H156" s="572">
        <f t="shared" si="22"/>
        <v>5.8111866987456702E-7</v>
      </c>
      <c r="I156" s="572">
        <f t="shared" si="22"/>
        <v>7.4840461171582204E-7</v>
      </c>
      <c r="J156" s="572">
        <f t="shared" si="22"/>
        <v>9.2201719908830302E-7</v>
      </c>
      <c r="K156" s="572">
        <f t="shared" si="22"/>
        <v>2.3052706395561522E-6</v>
      </c>
      <c r="L156" s="572">
        <f t="shared" si="22"/>
        <v>4.4136082214367739E-6</v>
      </c>
      <c r="M156" s="572">
        <f t="shared" si="22"/>
        <v>6.5946290152229707E-6</v>
      </c>
      <c r="N156" s="572">
        <f t="shared" si="22"/>
        <v>8.8565132283437395E-6</v>
      </c>
      <c r="O156" s="572">
        <f t="shared" si="22"/>
        <v>1.1509845363912519E-5</v>
      </c>
      <c r="P156" s="572">
        <f t="shared" si="22"/>
        <v>1.2569649352965852E-5</v>
      </c>
      <c r="Q156" s="572">
        <f t="shared" si="22"/>
        <v>1.3247157241468287E-5</v>
      </c>
      <c r="R156" s="572">
        <f t="shared" si="22"/>
        <v>1.7288683860185458E-5</v>
      </c>
      <c r="S156" s="572">
        <f t="shared" si="22"/>
        <v>2.1944993352741679E-5</v>
      </c>
      <c r="T156" s="572">
        <f t="shared" si="22"/>
        <v>2.3330088569784589E-5</v>
      </c>
      <c r="U156" s="572">
        <f t="shared" si="22"/>
        <v>2.4713909211711638E-5</v>
      </c>
      <c r="V156" s="572">
        <f t="shared" si="22"/>
        <v>2.6092421796137101E-5</v>
      </c>
      <c r="W156" s="572">
        <f t="shared" si="22"/>
        <v>2.7471143032289743E-5</v>
      </c>
      <c r="X156" s="572">
        <f t="shared" si="22"/>
        <v>2.8923391721581608E-5</v>
      </c>
      <c r="Y156" s="572">
        <f t="shared" si="22"/>
        <v>3.1802293449473981E-5</v>
      </c>
      <c r="Z156" s="572">
        <f t="shared" si="22"/>
        <v>3.5335146091815057E-5</v>
      </c>
      <c r="AA156" s="572">
        <f t="shared" si="22"/>
        <v>3.771742776819257E-5</v>
      </c>
      <c r="AB156" s="572">
        <f t="shared" si="22"/>
        <v>3.956228490669917E-5</v>
      </c>
      <c r="AC156" s="572">
        <f t="shared" si="22"/>
        <v>4.1703195498338638E-5</v>
      </c>
      <c r="AD156" s="572">
        <f t="shared" si="22"/>
        <v>4.4100162870311796E-5</v>
      </c>
      <c r="AE156" s="572">
        <f t="shared" si="22"/>
        <v>4.6478452427122152E-5</v>
      </c>
      <c r="AF156" s="572">
        <f t="shared" si="22"/>
        <v>4.9640579107816882E-5</v>
      </c>
      <c r="AG156" s="572">
        <f t="shared" si="22"/>
        <v>5.2781854283047353E-5</v>
      </c>
      <c r="AH156" s="572">
        <f t="shared" si="22"/>
        <v>5.6556118564366453E-5</v>
      </c>
      <c r="AI156" s="572">
        <f t="shared" si="22"/>
        <v>6.0255123344093292E-5</v>
      </c>
      <c r="AJ156" s="572">
        <f t="shared" si="22"/>
        <v>6.4760276546437561E-5</v>
      </c>
      <c r="AK156" s="572">
        <f t="shared" si="22"/>
        <v>6.8680952135492248E-5</v>
      </c>
      <c r="AL156" s="572">
        <f t="shared" si="22"/>
        <v>7.2638169923938342E-5</v>
      </c>
      <c r="AM156" s="572"/>
    </row>
    <row r="157" spans="1:39" ht="15.75" customHeight="1" x14ac:dyDescent="0.25">
      <c r="A157" s="3"/>
      <c r="B157" s="3"/>
      <c r="C157" s="3"/>
      <c r="D157" s="3" t="s">
        <v>2070</v>
      </c>
      <c r="E157" s="3"/>
      <c r="F157" s="572">
        <f t="shared" ref="F157:AL157" si="23">SUM(F146:F152)</f>
        <v>4.7857865388024291E-3</v>
      </c>
      <c r="G157" s="572">
        <f t="shared" si="23"/>
        <v>1.0077548756257193E-2</v>
      </c>
      <c r="H157" s="572">
        <f t="shared" si="23"/>
        <v>2.7454846765031453E-2</v>
      </c>
      <c r="I157" s="572">
        <f t="shared" si="23"/>
        <v>8.9449206978261073E-2</v>
      </c>
      <c r="J157" s="572">
        <f t="shared" si="23"/>
        <v>0.21727649529520757</v>
      </c>
      <c r="K157" s="572">
        <f t="shared" si="23"/>
        <v>0.46950787988810433</v>
      </c>
      <c r="L157" s="572">
        <f t="shared" si="23"/>
        <v>0.6512959753582771</v>
      </c>
      <c r="M157" s="572">
        <f t="shared" si="23"/>
        <v>0.83094933227733447</v>
      </c>
      <c r="N157" s="572">
        <f t="shared" si="23"/>
        <v>0.96346534503167647</v>
      </c>
      <c r="O157" s="572">
        <f t="shared" si="23"/>
        <v>1.1005547052931088</v>
      </c>
      <c r="P157" s="572">
        <f t="shared" si="23"/>
        <v>1.2235828531297652</v>
      </c>
      <c r="Q157" s="572">
        <f t="shared" si="23"/>
        <v>1.3467147742253325</v>
      </c>
      <c r="R157" s="572">
        <f t="shared" si="23"/>
        <v>1.4439096170736352</v>
      </c>
      <c r="S157" s="572">
        <f t="shared" si="23"/>
        <v>1.534403684441358</v>
      </c>
      <c r="T157" s="572">
        <f t="shared" si="23"/>
        <v>1.6082141820355442</v>
      </c>
      <c r="U157" s="572">
        <f t="shared" si="23"/>
        <v>1.6954898163201382</v>
      </c>
      <c r="V157" s="572">
        <f t="shared" si="23"/>
        <v>1.8112400446937782</v>
      </c>
      <c r="W157" s="572">
        <f t="shared" si="23"/>
        <v>1.9395785224919528</v>
      </c>
      <c r="X157" s="572">
        <f t="shared" si="23"/>
        <v>2.0806107855625049</v>
      </c>
      <c r="Y157" s="572">
        <f t="shared" si="23"/>
        <v>2.1420877411515127</v>
      </c>
      <c r="Z157" s="572">
        <f t="shared" si="23"/>
        <v>2.0400422710103445</v>
      </c>
      <c r="AA157" s="572">
        <f t="shared" si="23"/>
        <v>2.1699973545073417</v>
      </c>
      <c r="AB157" s="572">
        <f t="shared" si="23"/>
        <v>2.306985444929452</v>
      </c>
      <c r="AC157" s="572">
        <f t="shared" si="23"/>
        <v>2.6808818075841065</v>
      </c>
      <c r="AD157" s="572">
        <f t="shared" si="23"/>
        <v>3.0826117887529034</v>
      </c>
      <c r="AE157" s="572">
        <f t="shared" si="23"/>
        <v>2.9971826033221327</v>
      </c>
      <c r="AF157" s="572">
        <f t="shared" si="23"/>
        <v>3.0294704655916154</v>
      </c>
      <c r="AG157" s="572">
        <f t="shared" si="23"/>
        <v>2.5857497024501561</v>
      </c>
      <c r="AH157" s="572">
        <f t="shared" si="23"/>
        <v>2.9316799623912022</v>
      </c>
      <c r="AI157" s="572">
        <f t="shared" si="23"/>
        <v>2.7889103746407504</v>
      </c>
      <c r="AJ157" s="572">
        <f t="shared" si="23"/>
        <v>3.140421090378827</v>
      </c>
      <c r="AK157" s="572">
        <f t="shared" si="23"/>
        <v>3.2594567684653413</v>
      </c>
      <c r="AL157" s="572">
        <f t="shared" si="23"/>
        <v>3.3583853759843847</v>
      </c>
      <c r="AM157" s="572"/>
    </row>
    <row r="158" spans="1:39" ht="15.75" customHeight="1" x14ac:dyDescent="0.25">
      <c r="A158" s="3"/>
      <c r="B158" s="3"/>
      <c r="C158" s="3"/>
      <c r="D158" s="3" t="s">
        <v>2081</v>
      </c>
      <c r="E158" s="3"/>
      <c r="F158" s="572">
        <f t="shared" ref="F158:AL158" si="24">SUM(F153:F154)</f>
        <v>0</v>
      </c>
      <c r="G158" s="572">
        <f t="shared" si="24"/>
        <v>0</v>
      </c>
      <c r="H158" s="572">
        <f t="shared" si="24"/>
        <v>0</v>
      </c>
      <c r="I158" s="572">
        <f t="shared" si="24"/>
        <v>0</v>
      </c>
      <c r="J158" s="572">
        <f t="shared" si="24"/>
        <v>2.1789167616553847E-6</v>
      </c>
      <c r="K158" s="572">
        <f t="shared" si="24"/>
        <v>8.467137286778989E-3</v>
      </c>
      <c r="L158" s="572">
        <f t="shared" si="24"/>
        <v>2.0361137641803747E-2</v>
      </c>
      <c r="M158" s="572">
        <f t="shared" si="24"/>
        <v>2.3948090714926557E-2</v>
      </c>
      <c r="N158" s="572">
        <f t="shared" si="24"/>
        <v>2.4451075550690378E-2</v>
      </c>
      <c r="O158" s="572">
        <f t="shared" si="24"/>
        <v>2.5009754568625593E-2</v>
      </c>
      <c r="P158" s="572">
        <f t="shared" si="24"/>
        <v>1.9960057611077119E-2</v>
      </c>
      <c r="Q158" s="572">
        <f t="shared" si="24"/>
        <v>1.4735233395966683E-2</v>
      </c>
      <c r="R158" s="572">
        <f t="shared" si="24"/>
        <v>9.25818610882931E-3</v>
      </c>
      <c r="S158" s="572">
        <f t="shared" si="24"/>
        <v>3.4389068443263313E-3</v>
      </c>
      <c r="T158" s="572">
        <f t="shared" si="24"/>
        <v>3.5273623076322426E-3</v>
      </c>
      <c r="U158" s="572">
        <f t="shared" si="24"/>
        <v>3.0424230078372537E-3</v>
      </c>
      <c r="V158" s="572">
        <f t="shared" si="24"/>
        <v>2.5192617853341519E-3</v>
      </c>
      <c r="W158" s="572">
        <f t="shared" si="24"/>
        <v>1.9777519208713356E-3</v>
      </c>
      <c r="X158" s="572">
        <f t="shared" si="24"/>
        <v>1.4197350433209275E-3</v>
      </c>
      <c r="Y158" s="572">
        <f t="shared" si="24"/>
        <v>8.4547097681482875E-4</v>
      </c>
      <c r="Z158" s="572">
        <f t="shared" si="24"/>
        <v>8.6030860403563982E-4</v>
      </c>
      <c r="AA158" s="572">
        <f t="shared" si="24"/>
        <v>8.7541637603386058E-4</v>
      </c>
      <c r="AB158" s="572">
        <f t="shared" si="24"/>
        <v>8.903848946205657E-4</v>
      </c>
      <c r="AC158" s="572">
        <f t="shared" si="24"/>
        <v>9.0434636142921153E-4</v>
      </c>
      <c r="AD158" s="572">
        <f t="shared" si="24"/>
        <v>9.1802921607301029E-4</v>
      </c>
      <c r="AE158" s="572">
        <f t="shared" si="24"/>
        <v>9.3112138367085196E-4</v>
      </c>
      <c r="AF158" s="572">
        <f t="shared" si="24"/>
        <v>9.4311862541652397E-4</v>
      </c>
      <c r="AG158" s="572">
        <f t="shared" si="24"/>
        <v>9.5682193958180175E-4</v>
      </c>
      <c r="AH158" s="572">
        <f t="shared" si="24"/>
        <v>9.7088428097344588E-4</v>
      </c>
      <c r="AI158" s="572">
        <f t="shared" si="24"/>
        <v>9.8550458221585528E-4</v>
      </c>
      <c r="AJ158" s="572">
        <f t="shared" si="24"/>
        <v>9.5348397992212172E-4</v>
      </c>
      <c r="AK158" s="572">
        <f t="shared" si="24"/>
        <v>9.0964387552431713E-4</v>
      </c>
      <c r="AL158" s="572">
        <f t="shared" si="24"/>
        <v>8.6118062951905626E-4</v>
      </c>
      <c r="AM158" s="572"/>
    </row>
    <row r="159" spans="1:39" ht="15.75" customHeight="1" x14ac:dyDescent="0.25">
      <c r="A159" s="3"/>
      <c r="B159" s="3"/>
      <c r="C159" s="3"/>
      <c r="D159" s="3"/>
      <c r="E159" s="3"/>
      <c r="F159" s="572"/>
      <c r="G159" s="572"/>
      <c r="H159" s="572"/>
      <c r="I159" s="572"/>
      <c r="J159" s="572"/>
      <c r="K159" s="572"/>
      <c r="L159" s="572"/>
      <c r="M159" s="572"/>
      <c r="N159" s="572"/>
      <c r="O159" s="572"/>
      <c r="P159" s="572"/>
      <c r="Q159" s="572"/>
      <c r="R159" s="572"/>
      <c r="S159" s="572"/>
      <c r="T159" s="572"/>
      <c r="U159" s="572"/>
      <c r="V159" s="572"/>
      <c r="W159" s="572"/>
      <c r="X159" s="572"/>
      <c r="Y159" s="572"/>
      <c r="Z159" s="572"/>
      <c r="AA159" s="572"/>
      <c r="AB159" s="572"/>
      <c r="AC159" s="572"/>
      <c r="AD159" s="572"/>
      <c r="AE159" s="572"/>
      <c r="AF159" s="572"/>
      <c r="AG159" s="572"/>
      <c r="AH159" s="572"/>
      <c r="AI159" s="572"/>
      <c r="AJ159" s="572"/>
      <c r="AK159" s="572"/>
      <c r="AL159" s="572"/>
      <c r="AM159" s="572"/>
    </row>
    <row r="160" spans="1:39" ht="15.75" customHeight="1" x14ac:dyDescent="0.25">
      <c r="A160" s="3"/>
      <c r="B160" s="3"/>
      <c r="C160" s="3"/>
      <c r="D160" s="3" t="s">
        <v>2137</v>
      </c>
      <c r="E160" s="3"/>
      <c r="F160" s="572">
        <f t="shared" ref="F160:AL160" si="25">SUM(F156:F158)</f>
        <v>4.7860478489503396E-3</v>
      </c>
      <c r="G160" s="572">
        <f t="shared" si="25"/>
        <v>1.0077967737506285E-2</v>
      </c>
      <c r="H160" s="572">
        <f t="shared" si="25"/>
        <v>2.7455427883701328E-2</v>
      </c>
      <c r="I160" s="572">
        <f t="shared" si="25"/>
        <v>8.9449955382872787E-2</v>
      </c>
      <c r="J160" s="572">
        <f t="shared" si="25"/>
        <v>0.21727959622916831</v>
      </c>
      <c r="K160" s="572">
        <f t="shared" si="25"/>
        <v>0.47797732244552288</v>
      </c>
      <c r="L160" s="572">
        <f t="shared" si="25"/>
        <v>0.67166152660830225</v>
      </c>
      <c r="M160" s="572">
        <f t="shared" si="25"/>
        <v>0.85490401762127621</v>
      </c>
      <c r="N160" s="572">
        <f t="shared" si="25"/>
        <v>0.98792527709559519</v>
      </c>
      <c r="O160" s="572">
        <f t="shared" si="25"/>
        <v>1.1255759697070984</v>
      </c>
      <c r="P160" s="572">
        <f t="shared" si="25"/>
        <v>1.2435554803901954</v>
      </c>
      <c r="Q160" s="572">
        <f t="shared" si="25"/>
        <v>1.3614632547785406</v>
      </c>
      <c r="R160" s="572">
        <f t="shared" si="25"/>
        <v>1.4531850918663245</v>
      </c>
      <c r="S160" s="572">
        <f t="shared" si="25"/>
        <v>1.5378645362790371</v>
      </c>
      <c r="T160" s="572">
        <f t="shared" si="25"/>
        <v>1.6117648744317461</v>
      </c>
      <c r="U160" s="572">
        <f t="shared" si="25"/>
        <v>1.6985569532371871</v>
      </c>
      <c r="V160" s="572">
        <f t="shared" si="25"/>
        <v>1.8137853989009085</v>
      </c>
      <c r="W160" s="572">
        <f t="shared" si="25"/>
        <v>1.9415837455558564</v>
      </c>
      <c r="X160" s="572">
        <f t="shared" si="25"/>
        <v>2.0820594439975473</v>
      </c>
      <c r="Y160" s="572">
        <f t="shared" si="25"/>
        <v>2.1429650144217769</v>
      </c>
      <c r="Z160" s="572">
        <f t="shared" si="25"/>
        <v>2.0409379147604718</v>
      </c>
      <c r="AA160" s="572">
        <f t="shared" si="25"/>
        <v>2.1709104883111436</v>
      </c>
      <c r="AB160" s="572">
        <f t="shared" si="25"/>
        <v>2.3079153921089794</v>
      </c>
      <c r="AC160" s="572">
        <f t="shared" si="25"/>
        <v>2.6818278571410339</v>
      </c>
      <c r="AD160" s="572">
        <f t="shared" si="25"/>
        <v>3.0835739181318469</v>
      </c>
      <c r="AE160" s="572">
        <f t="shared" si="25"/>
        <v>2.9981602031582306</v>
      </c>
      <c r="AF160" s="572">
        <f t="shared" si="25"/>
        <v>3.0304632247961396</v>
      </c>
      <c r="AG160" s="572">
        <f t="shared" si="25"/>
        <v>2.5867593062440211</v>
      </c>
      <c r="AH160" s="572">
        <f t="shared" si="25"/>
        <v>2.93270740279074</v>
      </c>
      <c r="AI160" s="572">
        <f t="shared" si="25"/>
        <v>2.7899561343463106</v>
      </c>
      <c r="AJ160" s="572">
        <f t="shared" si="25"/>
        <v>3.1414393346352956</v>
      </c>
      <c r="AK160" s="572">
        <f t="shared" si="25"/>
        <v>3.2604350932930011</v>
      </c>
      <c r="AL160" s="572">
        <f t="shared" si="25"/>
        <v>3.3593191947838275</v>
      </c>
      <c r="AM160" s="572"/>
    </row>
    <row r="161" spans="1:39" ht="15.7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row>
    <row r="162" spans="1:39" ht="15.75" customHeight="1" x14ac:dyDescent="0.25">
      <c r="A162" s="3"/>
      <c r="B162" s="2141" t="s">
        <v>2139</v>
      </c>
      <c r="C162" s="2142"/>
      <c r="D162" s="2142"/>
      <c r="E162" s="2142"/>
      <c r="F162" s="2142"/>
      <c r="G162" s="2142"/>
      <c r="H162" s="2142"/>
      <c r="I162" s="2142"/>
      <c r="J162" s="2142"/>
      <c r="K162" s="2142"/>
      <c r="L162" s="2142"/>
      <c r="M162" s="2142"/>
      <c r="N162" s="2142"/>
      <c r="O162" s="2142"/>
      <c r="P162" s="2142"/>
      <c r="Q162" s="2142"/>
      <c r="R162" s="2142"/>
      <c r="S162" s="2142"/>
      <c r="T162" s="2142"/>
      <c r="U162" s="2142"/>
      <c r="V162" s="2142"/>
      <c r="W162" s="2142"/>
      <c r="X162" s="2142"/>
      <c r="Y162" s="2142"/>
      <c r="Z162" s="2142"/>
      <c r="AA162" s="2142"/>
      <c r="AB162" s="2142"/>
      <c r="AC162" s="2142"/>
      <c r="AD162" s="2142"/>
      <c r="AE162" s="2142"/>
      <c r="AF162" s="2142"/>
      <c r="AG162" s="2142"/>
      <c r="AH162" s="2142"/>
      <c r="AI162" s="2142"/>
      <c r="AJ162" s="2142"/>
      <c r="AK162" s="2142"/>
      <c r="AL162" s="2142"/>
      <c r="AM162" s="2145"/>
    </row>
    <row r="163" spans="1:39" ht="15.75" customHeight="1" x14ac:dyDescent="0.25">
      <c r="A163" s="3"/>
      <c r="B163" s="3"/>
      <c r="C163" s="3"/>
      <c r="D163" s="60" t="s">
        <v>782</v>
      </c>
      <c r="E163" s="60"/>
      <c r="F163" s="60" t="s">
        <v>2033</v>
      </c>
      <c r="G163" s="60" t="s">
        <v>2034</v>
      </c>
      <c r="H163" s="60" t="s">
        <v>2035</v>
      </c>
      <c r="I163" s="60" t="s">
        <v>2036</v>
      </c>
      <c r="J163" s="60" t="s">
        <v>2037</v>
      </c>
      <c r="K163" s="60" t="s">
        <v>2038</v>
      </c>
      <c r="L163" s="60" t="s">
        <v>2039</v>
      </c>
      <c r="M163" s="60" t="s">
        <v>2040</v>
      </c>
      <c r="N163" s="60" t="s">
        <v>2041</v>
      </c>
      <c r="O163" s="60" t="s">
        <v>2042</v>
      </c>
      <c r="P163" s="60" t="s">
        <v>2043</v>
      </c>
      <c r="Q163" s="60" t="s">
        <v>2044</v>
      </c>
      <c r="R163" s="60" t="s">
        <v>2045</v>
      </c>
      <c r="S163" s="60" t="s">
        <v>2046</v>
      </c>
      <c r="T163" s="60" t="s">
        <v>2047</v>
      </c>
      <c r="U163" s="60" t="s">
        <v>2048</v>
      </c>
      <c r="V163" s="60" t="s">
        <v>2049</v>
      </c>
      <c r="W163" s="60" t="s">
        <v>2050</v>
      </c>
      <c r="X163" s="60" t="s">
        <v>2051</v>
      </c>
      <c r="Y163" s="60" t="s">
        <v>2052</v>
      </c>
      <c r="Z163" s="60" t="s">
        <v>2053</v>
      </c>
      <c r="AA163" s="60" t="s">
        <v>2054</v>
      </c>
      <c r="AB163" s="60" t="s">
        <v>2055</v>
      </c>
      <c r="AC163" s="60" t="s">
        <v>2056</v>
      </c>
      <c r="AD163" s="60" t="s">
        <v>2057</v>
      </c>
      <c r="AE163" s="60" t="s">
        <v>2058</v>
      </c>
      <c r="AF163" s="60" t="s">
        <v>2059</v>
      </c>
      <c r="AG163" s="60" t="s">
        <v>2060</v>
      </c>
      <c r="AH163" s="60" t="s">
        <v>2061</v>
      </c>
      <c r="AI163" s="60" t="s">
        <v>2062</v>
      </c>
      <c r="AJ163" s="60" t="s">
        <v>2063</v>
      </c>
      <c r="AK163" s="60" t="s">
        <v>2064</v>
      </c>
      <c r="AL163" s="60" t="s">
        <v>2065</v>
      </c>
      <c r="AM163" s="60"/>
    </row>
    <row r="164" spans="1:39" ht="15.75" customHeight="1" x14ac:dyDescent="0.25">
      <c r="A164" s="3"/>
      <c r="B164" s="3"/>
      <c r="C164" s="3"/>
      <c r="D164" s="3" t="s">
        <v>2067</v>
      </c>
      <c r="E164" s="3"/>
      <c r="F164" s="572">
        <f t="shared" ref="F164:AL171" si="26">SUMIF($D$16:$D$49,$D164,F$106:F$139)</f>
        <v>2.6131014791080082E-7</v>
      </c>
      <c r="G164" s="572">
        <f t="shared" si="26"/>
        <v>4.1898124909234098E-7</v>
      </c>
      <c r="H164" s="572">
        <f t="shared" si="26"/>
        <v>5.8111866987456702E-7</v>
      </c>
      <c r="I164" s="572">
        <f t="shared" si="26"/>
        <v>7.4840461171582204E-7</v>
      </c>
      <c r="J164" s="572">
        <f t="shared" si="26"/>
        <v>9.2201719908830302E-7</v>
      </c>
      <c r="K164" s="572">
        <f t="shared" si="26"/>
        <v>2.3052706395561522E-6</v>
      </c>
      <c r="L164" s="572">
        <f t="shared" si="26"/>
        <v>4.4136082214367739E-6</v>
      </c>
      <c r="M164" s="572">
        <f t="shared" si="26"/>
        <v>6.5946290152229707E-6</v>
      </c>
      <c r="N164" s="572">
        <f t="shared" si="26"/>
        <v>8.8565132283437395E-6</v>
      </c>
      <c r="O164" s="572">
        <f t="shared" si="26"/>
        <v>1.1509845363912519E-5</v>
      </c>
      <c r="P164" s="572">
        <f t="shared" si="26"/>
        <v>1.2569649352965852E-5</v>
      </c>
      <c r="Q164" s="572">
        <f t="shared" si="26"/>
        <v>1.3247157241468287E-5</v>
      </c>
      <c r="R164" s="572">
        <f t="shared" si="26"/>
        <v>1.7288683860185458E-5</v>
      </c>
      <c r="S164" s="572">
        <f t="shared" si="26"/>
        <v>2.1944993352741679E-5</v>
      </c>
      <c r="T164" s="572">
        <f t="shared" si="26"/>
        <v>2.3330088569784589E-5</v>
      </c>
      <c r="U164" s="572">
        <f t="shared" si="26"/>
        <v>2.4713909211711638E-5</v>
      </c>
      <c r="V164" s="572">
        <f t="shared" si="26"/>
        <v>2.6092421796137101E-5</v>
      </c>
      <c r="W164" s="572">
        <f t="shared" si="26"/>
        <v>2.7471143032289743E-5</v>
      </c>
      <c r="X164" s="572">
        <f t="shared" si="26"/>
        <v>2.8923391721581608E-5</v>
      </c>
      <c r="Y164" s="572">
        <f t="shared" si="26"/>
        <v>3.1802293449473981E-5</v>
      </c>
      <c r="Z164" s="572">
        <f t="shared" si="26"/>
        <v>3.5335146091815057E-5</v>
      </c>
      <c r="AA164" s="572">
        <f t="shared" si="26"/>
        <v>3.771742776819257E-5</v>
      </c>
      <c r="AB164" s="572">
        <f t="shared" si="26"/>
        <v>3.956228490669917E-5</v>
      </c>
      <c r="AC164" s="572">
        <f t="shared" si="26"/>
        <v>4.1703195498338638E-5</v>
      </c>
      <c r="AD164" s="572">
        <f t="shared" si="26"/>
        <v>4.4100162870311796E-5</v>
      </c>
      <c r="AE164" s="572">
        <f t="shared" si="26"/>
        <v>4.6478452427122152E-5</v>
      </c>
      <c r="AF164" s="572">
        <f t="shared" si="26"/>
        <v>4.9640579107816882E-5</v>
      </c>
      <c r="AG164" s="572">
        <f t="shared" si="26"/>
        <v>5.2781854283047353E-5</v>
      </c>
      <c r="AH164" s="572">
        <f t="shared" si="26"/>
        <v>5.6556118564366453E-5</v>
      </c>
      <c r="AI164" s="572">
        <f t="shared" si="26"/>
        <v>6.0255123344093292E-5</v>
      </c>
      <c r="AJ164" s="572">
        <f t="shared" si="26"/>
        <v>6.4760276546437561E-5</v>
      </c>
      <c r="AK164" s="572">
        <f t="shared" si="26"/>
        <v>6.8680952135492248E-5</v>
      </c>
      <c r="AL164" s="572">
        <f t="shared" si="26"/>
        <v>7.2638169923938342E-5</v>
      </c>
      <c r="AM164" s="572"/>
    </row>
    <row r="165" spans="1:39" ht="15.75" customHeight="1" x14ac:dyDescent="0.25">
      <c r="A165" s="3"/>
      <c r="B165" s="3"/>
      <c r="C165" s="3"/>
      <c r="D165" s="3" t="s">
        <v>2071</v>
      </c>
      <c r="E165" s="3"/>
      <c r="F165" s="572">
        <f t="shared" si="26"/>
        <v>4.4290087025206964E-6</v>
      </c>
      <c r="G165" s="572">
        <f t="shared" si="26"/>
        <v>1.0909506577744313E-5</v>
      </c>
      <c r="H165" s="572">
        <f t="shared" si="26"/>
        <v>2.0917088739137484E-5</v>
      </c>
      <c r="I165" s="572">
        <f t="shared" si="26"/>
        <v>3.8957628337709968E-3</v>
      </c>
      <c r="J165" s="572">
        <f t="shared" si="26"/>
        <v>1.0360613347387812E-2</v>
      </c>
      <c r="K165" s="572">
        <f t="shared" si="26"/>
        <v>2.1959021848456228E-2</v>
      </c>
      <c r="L165" s="572">
        <f t="shared" si="26"/>
        <v>3.7377949140363957E-2</v>
      </c>
      <c r="M165" s="572">
        <f t="shared" si="26"/>
        <v>5.7752075280145573E-2</v>
      </c>
      <c r="N165" s="572">
        <f t="shared" si="26"/>
        <v>7.5625960071644294E-2</v>
      </c>
      <c r="O165" s="572">
        <f t="shared" si="26"/>
        <v>9.9131357787918942E-2</v>
      </c>
      <c r="P165" s="572">
        <f t="shared" si="26"/>
        <v>0.11866764685521905</v>
      </c>
      <c r="Q165" s="572">
        <f t="shared" si="26"/>
        <v>0.14468328675708175</v>
      </c>
      <c r="R165" s="572">
        <f t="shared" si="26"/>
        <v>0.17598156275896093</v>
      </c>
      <c r="S165" s="572">
        <f t="shared" si="26"/>
        <v>0.21031427322803878</v>
      </c>
      <c r="T165" s="572">
        <f t="shared" si="26"/>
        <v>0.245715273778566</v>
      </c>
      <c r="U165" s="572">
        <f t="shared" si="26"/>
        <v>0.30886394876570972</v>
      </c>
      <c r="V165" s="572">
        <f t="shared" si="26"/>
        <v>0.38922587843764445</v>
      </c>
      <c r="W165" s="572">
        <f t="shared" si="26"/>
        <v>0.49272402850256242</v>
      </c>
      <c r="X165" s="572">
        <f t="shared" si="26"/>
        <v>0.60363257968474149</v>
      </c>
      <c r="Y165" s="572">
        <f t="shared" si="26"/>
        <v>0.59235396771581406</v>
      </c>
      <c r="Z165" s="572">
        <f t="shared" si="26"/>
        <v>0.68485236438275776</v>
      </c>
      <c r="AA165" s="572">
        <f t="shared" si="26"/>
        <v>0.84498016116955166</v>
      </c>
      <c r="AB165" s="572">
        <f t="shared" si="26"/>
        <v>1.0303988377719007</v>
      </c>
      <c r="AC165" s="572">
        <f t="shared" si="26"/>
        <v>1.1801473080464682</v>
      </c>
      <c r="AD165" s="572">
        <f t="shared" si="26"/>
        <v>1.5075025909584669</v>
      </c>
      <c r="AE165" s="572">
        <f t="shared" si="26"/>
        <v>1.4941510582698414</v>
      </c>
      <c r="AF165" s="572">
        <f t="shared" si="26"/>
        <v>1.7848491013526226</v>
      </c>
      <c r="AG165" s="572">
        <f t="shared" si="26"/>
        <v>1.6096420050295088</v>
      </c>
      <c r="AH165" s="572">
        <f t="shared" si="26"/>
        <v>1.9071616610922586</v>
      </c>
      <c r="AI165" s="572">
        <f t="shared" si="26"/>
        <v>1.856688004753434</v>
      </c>
      <c r="AJ165" s="572">
        <f t="shared" si="26"/>
        <v>2.2299651857292662</v>
      </c>
      <c r="AK165" s="572">
        <f t="shared" si="26"/>
        <v>2.5625348762465925</v>
      </c>
      <c r="AL165" s="572">
        <f t="shared" si="26"/>
        <v>2.7858769705507251</v>
      </c>
      <c r="AM165" s="572"/>
    </row>
    <row r="166" spans="1:39" ht="15.75" customHeight="1" x14ac:dyDescent="0.25">
      <c r="A166" s="3"/>
      <c r="B166" s="3"/>
      <c r="C166" s="3"/>
      <c r="D166" s="3" t="s">
        <v>2072</v>
      </c>
      <c r="E166" s="3"/>
      <c r="F166" s="572">
        <f t="shared" si="26"/>
        <v>2.3325405009276472E-7</v>
      </c>
      <c r="G166" s="572">
        <f t="shared" si="26"/>
        <v>5.7454991956196686E-7</v>
      </c>
      <c r="H166" s="572">
        <f t="shared" si="26"/>
        <v>5.5111260818336824E-2</v>
      </c>
      <c r="I166" s="572">
        <f t="shared" si="26"/>
        <v>0.23860955184777166</v>
      </c>
      <c r="J166" s="572">
        <f t="shared" si="26"/>
        <v>0.61900142813955017</v>
      </c>
      <c r="K166" s="572">
        <f t="shared" si="26"/>
        <v>1.3389393891083261</v>
      </c>
      <c r="L166" s="572">
        <f t="shared" si="26"/>
        <v>1.8177114263655281</v>
      </c>
      <c r="M166" s="572">
        <f t="shared" si="26"/>
        <v>2.2885037890482738</v>
      </c>
      <c r="N166" s="572">
        <f t="shared" si="26"/>
        <v>2.5966670862105947</v>
      </c>
      <c r="O166" s="572">
        <f t="shared" si="26"/>
        <v>2.924765242880103</v>
      </c>
      <c r="P166" s="572">
        <f t="shared" si="26"/>
        <v>3.2288562841956576</v>
      </c>
      <c r="Q166" s="572">
        <f t="shared" si="26"/>
        <v>3.5028279797029387</v>
      </c>
      <c r="R166" s="572">
        <f t="shared" si="26"/>
        <v>3.6401951791465375</v>
      </c>
      <c r="S166" s="572">
        <f t="shared" si="26"/>
        <v>3.742935481472601</v>
      </c>
      <c r="T166" s="572">
        <f t="shared" si="26"/>
        <v>3.8335872398337383</v>
      </c>
      <c r="U166" s="572">
        <f t="shared" si="26"/>
        <v>3.8851024774456797</v>
      </c>
      <c r="V166" s="572">
        <f t="shared" si="26"/>
        <v>3.9972675181435449</v>
      </c>
      <c r="W166" s="572">
        <f t="shared" si="26"/>
        <v>4.0971794669301174</v>
      </c>
      <c r="X166" s="572">
        <f t="shared" si="26"/>
        <v>4.2116548899785924</v>
      </c>
      <c r="Y166" s="572">
        <f t="shared" si="26"/>
        <v>4.2737826001008603</v>
      </c>
      <c r="Z166" s="572">
        <f t="shared" si="26"/>
        <v>3.7284000142909148</v>
      </c>
      <c r="AA166" s="572">
        <f t="shared" si="26"/>
        <v>3.5617268686890187</v>
      </c>
      <c r="AB166" s="572">
        <f t="shared" si="26"/>
        <v>3.399698164570176</v>
      </c>
      <c r="AC166" s="572">
        <f t="shared" si="26"/>
        <v>4.0612739931448418</v>
      </c>
      <c r="AD166" s="572">
        <f t="shared" si="26"/>
        <v>4.5031536923677891</v>
      </c>
      <c r="AE166" s="572">
        <f t="shared" si="26"/>
        <v>4.1373103343071094</v>
      </c>
      <c r="AF166" s="572">
        <f t="shared" si="26"/>
        <v>3.6613947324485134</v>
      </c>
      <c r="AG166" s="572">
        <f t="shared" si="26"/>
        <v>3.0069170563795575</v>
      </c>
      <c r="AH166" s="572">
        <f t="shared" si="26"/>
        <v>3.1799781564935561</v>
      </c>
      <c r="AI166" s="572">
        <f t="shared" si="26"/>
        <v>3.028635192713677</v>
      </c>
      <c r="AJ166" s="572">
        <f t="shared" si="26"/>
        <v>3.3062353968773261</v>
      </c>
      <c r="AK166" s="572">
        <f t="shared" si="26"/>
        <v>3.0640029204105019</v>
      </c>
      <c r="AL166" s="572">
        <f t="shared" si="26"/>
        <v>2.9655201944598875</v>
      </c>
      <c r="AM166" s="572"/>
    </row>
    <row r="167" spans="1:39" ht="15.75" customHeight="1" x14ac:dyDescent="0.25">
      <c r="A167" s="3"/>
      <c r="B167" s="3"/>
      <c r="C167" s="3"/>
      <c r="D167" s="3" t="s">
        <v>2075</v>
      </c>
      <c r="E167" s="3"/>
      <c r="F167" s="572">
        <f t="shared" si="26"/>
        <v>6.0826715462537077E-6</v>
      </c>
      <c r="G167" s="572">
        <f t="shared" si="26"/>
        <v>1.4982798567622121E-5</v>
      </c>
      <c r="H167" s="572">
        <f t="shared" si="26"/>
        <v>2.8726920412597866E-5</v>
      </c>
      <c r="I167" s="572">
        <f t="shared" si="26"/>
        <v>2.1538681674767943E-3</v>
      </c>
      <c r="J167" s="572">
        <f t="shared" si="26"/>
        <v>6.0010770791629215E-3</v>
      </c>
      <c r="K167" s="572">
        <f t="shared" si="26"/>
        <v>1.498875391862891E-2</v>
      </c>
      <c r="L167" s="572">
        <f t="shared" si="26"/>
        <v>2.7878513749249861E-2</v>
      </c>
      <c r="M167" s="572">
        <f t="shared" si="26"/>
        <v>4.6158284532432217E-2</v>
      </c>
      <c r="N167" s="572">
        <f t="shared" si="26"/>
        <v>6.692485122642329E-2</v>
      </c>
      <c r="O167" s="572">
        <f t="shared" si="26"/>
        <v>9.5569159328977984E-2</v>
      </c>
      <c r="P167" s="572">
        <f t="shared" si="26"/>
        <v>0.11784600501418881</v>
      </c>
      <c r="Q167" s="572">
        <f t="shared" si="26"/>
        <v>0.14597110779723291</v>
      </c>
      <c r="R167" s="572">
        <f t="shared" si="26"/>
        <v>0.17767859244451373</v>
      </c>
      <c r="S167" s="572">
        <f t="shared" si="26"/>
        <v>0.21038522560658326</v>
      </c>
      <c r="T167" s="572">
        <f t="shared" si="26"/>
        <v>0.24051172136164439</v>
      </c>
      <c r="U167" s="572">
        <f t="shared" si="26"/>
        <v>0.29114549837203457</v>
      </c>
      <c r="V167" s="572">
        <f t="shared" si="26"/>
        <v>0.34604125529150404</v>
      </c>
      <c r="W167" s="572">
        <f t="shared" si="26"/>
        <v>0.40776292147567555</v>
      </c>
      <c r="X167" s="572">
        <f t="shared" si="26"/>
        <v>0.47782023785703753</v>
      </c>
      <c r="Y167" s="572">
        <f t="shared" si="26"/>
        <v>0.53156306307269607</v>
      </c>
      <c r="Z167" s="572">
        <f t="shared" si="26"/>
        <v>0.54471077837524662</v>
      </c>
      <c r="AA167" s="572">
        <f t="shared" si="26"/>
        <v>0.6760164839645173</v>
      </c>
      <c r="AB167" s="572">
        <f t="shared" si="26"/>
        <v>0.81661582756099371</v>
      </c>
      <c r="AC167" s="572">
        <f t="shared" si="26"/>
        <v>0.92574737359298953</v>
      </c>
      <c r="AD167" s="572">
        <f t="shared" si="26"/>
        <v>1.0671266709173433</v>
      </c>
      <c r="AE167" s="572">
        <f t="shared" si="26"/>
        <v>1.0705194496358459</v>
      </c>
      <c r="AF167" s="572">
        <f t="shared" si="26"/>
        <v>1.1010979537856569</v>
      </c>
      <c r="AG167" s="572">
        <f t="shared" si="26"/>
        <v>0.82328090117755082</v>
      </c>
      <c r="AH167" s="572">
        <f t="shared" si="26"/>
        <v>1.0324198455949543</v>
      </c>
      <c r="AI167" s="572">
        <f t="shared" si="26"/>
        <v>0.90516012798468048</v>
      </c>
      <c r="AJ167" s="572">
        <f t="shared" si="26"/>
        <v>0.99541624702854425</v>
      </c>
      <c r="AK167" s="572">
        <f t="shared" si="26"/>
        <v>0.99886317341314246</v>
      </c>
      <c r="AL167" s="572">
        <f t="shared" si="26"/>
        <v>0.99422098859343533</v>
      </c>
      <c r="AM167" s="572"/>
    </row>
    <row r="168" spans="1:39" ht="15.75" customHeight="1" x14ac:dyDescent="0.25">
      <c r="A168" s="3"/>
      <c r="B168" s="3"/>
      <c r="C168" s="3"/>
      <c r="D168" s="3" t="s">
        <v>2076</v>
      </c>
      <c r="E168" s="3"/>
      <c r="F168" s="572">
        <f t="shared" si="26"/>
        <v>0</v>
      </c>
      <c r="G168" s="572">
        <f t="shared" si="26"/>
        <v>0</v>
      </c>
      <c r="H168" s="572">
        <f t="shared" si="26"/>
        <v>0</v>
      </c>
      <c r="I168" s="572">
        <f t="shared" si="26"/>
        <v>0</v>
      </c>
      <c r="J168" s="572">
        <f t="shared" si="26"/>
        <v>0</v>
      </c>
      <c r="K168" s="572">
        <f t="shared" si="26"/>
        <v>9.3036146234324768E-6</v>
      </c>
      <c r="L168" s="572">
        <f t="shared" si="26"/>
        <v>2.0863174107854798E-5</v>
      </c>
      <c r="M168" s="572">
        <f t="shared" si="26"/>
        <v>3.9285248301842602E-5</v>
      </c>
      <c r="N168" s="572">
        <f t="shared" si="26"/>
        <v>5.762449576632511E-5</v>
      </c>
      <c r="O168" s="572">
        <f t="shared" si="26"/>
        <v>8.2822795964448826E-5</v>
      </c>
      <c r="P168" s="572">
        <f t="shared" si="26"/>
        <v>1.080885242557396E-4</v>
      </c>
      <c r="Q168" s="572">
        <f t="shared" si="26"/>
        <v>1.313657066049777E-4</v>
      </c>
      <c r="R168" s="572">
        <f t="shared" si="26"/>
        <v>1.5256283657628139E-4</v>
      </c>
      <c r="S168" s="572">
        <f t="shared" si="26"/>
        <v>1.6903747560248619E-4</v>
      </c>
      <c r="T168" s="572">
        <f t="shared" si="26"/>
        <v>1.852557722608108E-4</v>
      </c>
      <c r="U168" s="572">
        <f t="shared" si="26"/>
        <v>2.0359600424150949E-4</v>
      </c>
      <c r="V168" s="572">
        <f t="shared" si="26"/>
        <v>2.1908588182021951E-4</v>
      </c>
      <c r="W168" s="572">
        <f t="shared" si="26"/>
        <v>2.3642555806566921E-4</v>
      </c>
      <c r="X168" s="572">
        <f t="shared" si="26"/>
        <v>2.5156468733034262E-4</v>
      </c>
      <c r="Y168" s="572">
        <f t="shared" si="26"/>
        <v>2.6969387346895552E-4</v>
      </c>
      <c r="Z168" s="572">
        <f t="shared" si="26"/>
        <v>2.9085115325012397E-4</v>
      </c>
      <c r="AA168" s="572">
        <f t="shared" si="26"/>
        <v>3.0973479855850972E-4</v>
      </c>
      <c r="AB168" s="572">
        <f t="shared" si="26"/>
        <v>3.330461144484584E-4</v>
      </c>
      <c r="AC168" s="572">
        <f t="shared" si="26"/>
        <v>3.5354917845680422E-4</v>
      </c>
      <c r="AD168" s="572">
        <f t="shared" si="26"/>
        <v>3.7605786330928268E-4</v>
      </c>
      <c r="AE168" s="572">
        <f t="shared" si="26"/>
        <v>4.0035265374947169E-4</v>
      </c>
      <c r="AF168" s="572">
        <f t="shared" si="26"/>
        <v>4.2387287872683359E-4</v>
      </c>
      <c r="AG168" s="572">
        <f t="shared" si="26"/>
        <v>4.5009971253825049E-4</v>
      </c>
      <c r="AH168" s="572">
        <f t="shared" si="26"/>
        <v>4.7619198320438021E-4</v>
      </c>
      <c r="AI168" s="572">
        <f t="shared" si="26"/>
        <v>5.0446574040930326E-4</v>
      </c>
      <c r="AJ168" s="572">
        <f t="shared" si="26"/>
        <v>5.3214126222195246E-4</v>
      </c>
      <c r="AK168" s="572">
        <f t="shared" si="26"/>
        <v>5.5199864253537782E-4</v>
      </c>
      <c r="AL168" s="572">
        <f t="shared" si="26"/>
        <v>5.6954536712445038E-4</v>
      </c>
      <c r="AM168" s="572"/>
    </row>
    <row r="169" spans="1:39" ht="15.75" customHeight="1" x14ac:dyDescent="0.25">
      <c r="A169" s="3"/>
      <c r="B169" s="3"/>
      <c r="C169" s="3"/>
      <c r="D169" s="3" t="s">
        <v>2077</v>
      </c>
      <c r="E169" s="3"/>
      <c r="F169" s="572">
        <f t="shared" si="26"/>
        <v>0</v>
      </c>
      <c r="G169" s="572">
        <f t="shared" si="26"/>
        <v>0</v>
      </c>
      <c r="H169" s="572">
        <f t="shared" si="26"/>
        <v>0</v>
      </c>
      <c r="I169" s="572">
        <f t="shared" si="26"/>
        <v>1.0120891116820127E-3</v>
      </c>
      <c r="J169" s="572">
        <f t="shared" si="26"/>
        <v>3.0527457275667793E-3</v>
      </c>
      <c r="K169" s="572">
        <f t="shared" si="26"/>
        <v>5.0600502965382063E-3</v>
      </c>
      <c r="L169" s="572">
        <f t="shared" si="26"/>
        <v>6.2966125049731727E-3</v>
      </c>
      <c r="M169" s="572">
        <f t="shared" si="26"/>
        <v>7.7097952061669014E-3</v>
      </c>
      <c r="N169" s="572">
        <f t="shared" si="26"/>
        <v>9.2036915210623391E-3</v>
      </c>
      <c r="O169" s="572">
        <f t="shared" si="26"/>
        <v>1.0798022023865018E-2</v>
      </c>
      <c r="P169" s="572">
        <f t="shared" si="26"/>
        <v>1.2320691510593356E-2</v>
      </c>
      <c r="Q169" s="572">
        <f t="shared" si="26"/>
        <v>1.3791168875923259E-2</v>
      </c>
      <c r="R169" s="572">
        <f t="shared" si="26"/>
        <v>1.5194850272005327E-2</v>
      </c>
      <c r="S169" s="572">
        <f t="shared" si="26"/>
        <v>1.6320360987495699E-2</v>
      </c>
      <c r="T169" s="572">
        <f t="shared" si="26"/>
        <v>1.7143423500194498E-2</v>
      </c>
      <c r="U169" s="572">
        <f t="shared" si="26"/>
        <v>1.7658818825363652E-2</v>
      </c>
      <c r="V169" s="572">
        <f t="shared" si="26"/>
        <v>1.8031679381801443E-2</v>
      </c>
      <c r="W169" s="572">
        <f t="shared" si="26"/>
        <v>1.827152875833838E-2</v>
      </c>
      <c r="X169" s="572">
        <f t="shared" si="26"/>
        <v>1.8425545678441506E-2</v>
      </c>
      <c r="Y169" s="572">
        <f t="shared" si="26"/>
        <v>1.8535021108136634E-2</v>
      </c>
      <c r="Z169" s="572">
        <f t="shared" si="26"/>
        <v>1.8700493572185131E-2</v>
      </c>
      <c r="AA169" s="572">
        <f t="shared" si="26"/>
        <v>1.8868215008293408E-2</v>
      </c>
      <c r="AB169" s="572">
        <f t="shared" si="26"/>
        <v>1.9025703843304605E-2</v>
      </c>
      <c r="AC169" s="572">
        <f t="shared" si="26"/>
        <v>1.9393179616576703E-2</v>
      </c>
      <c r="AD169" s="572">
        <f t="shared" si="26"/>
        <v>1.8796938669398751E-2</v>
      </c>
      <c r="AE169" s="572">
        <f t="shared" si="26"/>
        <v>1.692675338036375E-2</v>
      </c>
      <c r="AF169" s="572">
        <f t="shared" si="26"/>
        <v>1.5789264732574554E-2</v>
      </c>
      <c r="AG169" s="572">
        <f t="shared" si="26"/>
        <v>1.4680680793845194E-2</v>
      </c>
      <c r="AH169" s="572">
        <f t="shared" si="26"/>
        <v>1.3479360191854769E-2</v>
      </c>
      <c r="AI169" s="572">
        <f t="shared" si="26"/>
        <v>1.2387122323077322E-2</v>
      </c>
      <c r="AJ169" s="572">
        <f t="shared" si="26"/>
        <v>1.1544004593346249E-2</v>
      </c>
      <c r="AK169" s="572">
        <f t="shared" si="26"/>
        <v>1.0672918034886743E-2</v>
      </c>
      <c r="AL169" s="572">
        <f t="shared" si="26"/>
        <v>9.8716042683921375E-3</v>
      </c>
      <c r="AM169" s="572"/>
    </row>
    <row r="170" spans="1:39" ht="15.75" customHeight="1" x14ac:dyDescent="0.25">
      <c r="A170" s="3"/>
      <c r="B170" s="3"/>
      <c r="C170" s="3"/>
      <c r="D170" s="3" t="s">
        <v>2078</v>
      </c>
      <c r="E170" s="3"/>
      <c r="F170" s="572">
        <f t="shared" si="26"/>
        <v>0</v>
      </c>
      <c r="G170" s="572">
        <f t="shared" si="26"/>
        <v>0</v>
      </c>
      <c r="H170" s="572">
        <f t="shared" si="26"/>
        <v>0</v>
      </c>
      <c r="I170" s="572">
        <f t="shared" si="26"/>
        <v>0</v>
      </c>
      <c r="J170" s="572">
        <f t="shared" si="26"/>
        <v>0</v>
      </c>
      <c r="K170" s="572">
        <f t="shared" si="26"/>
        <v>0</v>
      </c>
      <c r="L170" s="572">
        <f t="shared" si="26"/>
        <v>1.2106596105091562E-5</v>
      </c>
      <c r="M170" s="572">
        <f t="shared" si="26"/>
        <v>3.4377210693017245E-5</v>
      </c>
      <c r="N170" s="572">
        <f t="shared" si="26"/>
        <v>7.3290285380850554E-5</v>
      </c>
      <c r="O170" s="572">
        <f t="shared" si="26"/>
        <v>1.421957429397253E-4</v>
      </c>
      <c r="P170" s="572">
        <f t="shared" si="26"/>
        <v>6.5639018015809392E-4</v>
      </c>
      <c r="Q170" s="572">
        <f t="shared" si="26"/>
        <v>1.6433603848492707E-3</v>
      </c>
      <c r="R170" s="572">
        <f t="shared" si="26"/>
        <v>3.2253604525814506E-3</v>
      </c>
      <c r="S170" s="572">
        <f t="shared" si="26"/>
        <v>5.3652108334412566E-3</v>
      </c>
      <c r="T170" s="572">
        <f t="shared" si="26"/>
        <v>8.215387663612083E-3</v>
      </c>
      <c r="U170" s="572">
        <f t="shared" si="26"/>
        <v>1.2240076466711622E-2</v>
      </c>
      <c r="V170" s="572">
        <f t="shared" si="26"/>
        <v>1.9914888257017448E-2</v>
      </c>
      <c r="W170" s="572">
        <f t="shared" si="26"/>
        <v>2.8566992461242391E-2</v>
      </c>
      <c r="X170" s="572">
        <f t="shared" si="26"/>
        <v>3.7637700322661095E-2</v>
      </c>
      <c r="Y170" s="572">
        <f t="shared" si="26"/>
        <v>4.8490918254132924E-2</v>
      </c>
      <c r="Z170" s="572">
        <f t="shared" si="26"/>
        <v>6.7781254297773749E-2</v>
      </c>
      <c r="AA170" s="572">
        <f t="shared" si="26"/>
        <v>0.12217703544136803</v>
      </c>
      <c r="AB170" s="572">
        <f t="shared" si="26"/>
        <v>0.12971529062385095</v>
      </c>
      <c r="AC170" s="572">
        <f t="shared" si="26"/>
        <v>0.19405204905176154</v>
      </c>
      <c r="AD170" s="572">
        <f t="shared" si="26"/>
        <v>0.24113529019499533</v>
      </c>
      <c r="AE170" s="572">
        <f t="shared" si="26"/>
        <v>0.29225928215637215</v>
      </c>
      <c r="AF170" s="572">
        <f t="shared" si="26"/>
        <v>0.33461691638449109</v>
      </c>
      <c r="AG170" s="572">
        <f t="shared" si="26"/>
        <v>0.32170617202744833</v>
      </c>
      <c r="AH170" s="572">
        <f t="shared" si="26"/>
        <v>0.38822324816948878</v>
      </c>
      <c r="AI170" s="572">
        <f t="shared" si="26"/>
        <v>0.41240101827494574</v>
      </c>
      <c r="AJ170" s="572">
        <f t="shared" si="26"/>
        <v>0.54884866659151543</v>
      </c>
      <c r="AK170" s="572">
        <f t="shared" si="26"/>
        <v>0.67010904358996282</v>
      </c>
      <c r="AL170" s="572">
        <f t="shared" si="26"/>
        <v>0.74899329823056759</v>
      </c>
      <c r="AM170" s="572"/>
    </row>
    <row r="171" spans="1:39" ht="15.75" customHeight="1" x14ac:dyDescent="0.25">
      <c r="A171" s="3"/>
      <c r="B171" s="3"/>
      <c r="C171" s="3"/>
      <c r="D171" s="3" t="s">
        <v>2079</v>
      </c>
      <c r="E171" s="3"/>
      <c r="F171" s="572">
        <f t="shared" si="26"/>
        <v>1.5061825352113079E-2</v>
      </c>
      <c r="G171" s="572">
        <f t="shared" si="26"/>
        <v>3.170943338965522E-2</v>
      </c>
      <c r="H171" s="572">
        <f t="shared" si="26"/>
        <v>3.1894995102898741E-2</v>
      </c>
      <c r="I171" s="572">
        <f t="shared" si="26"/>
        <v>3.2385354033805561E-2</v>
      </c>
      <c r="J171" s="572">
        <f t="shared" si="26"/>
        <v>3.4833093617699248E-2</v>
      </c>
      <c r="K171" s="572">
        <f t="shared" si="26"/>
        <v>7.5876576967375195E-2</v>
      </c>
      <c r="L171" s="572">
        <f t="shared" si="26"/>
        <v>0.12299459177258373</v>
      </c>
      <c r="M171" s="572">
        <f t="shared" si="26"/>
        <v>0.1529073983658002</v>
      </c>
      <c r="N171" s="572">
        <f t="shared" si="26"/>
        <v>0.19382288632435463</v>
      </c>
      <c r="O171" s="572">
        <f t="shared" si="26"/>
        <v>0.20549261224034526</v>
      </c>
      <c r="P171" s="572">
        <f t="shared" si="26"/>
        <v>0.21466628229038193</v>
      </c>
      <c r="Q171" s="572">
        <f t="shared" si="26"/>
        <v>0.23289308358758651</v>
      </c>
      <c r="R171" s="572">
        <f t="shared" si="26"/>
        <v>0.28957804111959584</v>
      </c>
      <c r="S171" s="572">
        <f t="shared" si="26"/>
        <v>0.35350661944753359</v>
      </c>
      <c r="T171" s="572">
        <f t="shared" si="26"/>
        <v>0.38068828458931547</v>
      </c>
      <c r="U171" s="572">
        <f t="shared" si="26"/>
        <v>0.40844843579854545</v>
      </c>
      <c r="V171" s="572">
        <f t="shared" si="26"/>
        <v>0.42979037474629622</v>
      </c>
      <c r="W171" s="572">
        <f t="shared" si="26"/>
        <v>0.45513804805236091</v>
      </c>
      <c r="X171" s="572">
        <f t="shared" si="26"/>
        <v>0.47897842749598835</v>
      </c>
      <c r="Y171" s="572">
        <f t="shared" si="26"/>
        <v>0.51521916423148051</v>
      </c>
      <c r="Z171" s="572">
        <f t="shared" si="26"/>
        <v>0.55492530474218604</v>
      </c>
      <c r="AA171" s="572">
        <f t="shared" si="26"/>
        <v>0.59493824429372766</v>
      </c>
      <c r="AB171" s="572">
        <f t="shared" si="26"/>
        <v>0.63428651805545522</v>
      </c>
      <c r="AC171" s="572">
        <f t="shared" si="26"/>
        <v>0.67304275551270287</v>
      </c>
      <c r="AD171" s="572">
        <f t="shared" ref="AD171:AL171" si="27">SUMIF($D$16:$D$49,$D171,AD$106:AD$139)</f>
        <v>0.70841629151386076</v>
      </c>
      <c r="AE171" s="572">
        <f t="shared" si="27"/>
        <v>0.7802103931337443</v>
      </c>
      <c r="AF171" s="572">
        <f t="shared" si="27"/>
        <v>0.8332501638294183</v>
      </c>
      <c r="AG171" s="572">
        <f t="shared" si="27"/>
        <v>0.89220847124950464</v>
      </c>
      <c r="AH171" s="572">
        <f t="shared" si="27"/>
        <v>0.91787346758461841</v>
      </c>
      <c r="AI171" s="572">
        <f t="shared" si="27"/>
        <v>0.92252217564186023</v>
      </c>
      <c r="AJ171" s="572">
        <f t="shared" si="27"/>
        <v>0.92272671362436187</v>
      </c>
      <c r="AK171" s="572">
        <f t="shared" si="27"/>
        <v>0.94471158551381873</v>
      </c>
      <c r="AL171" s="572">
        <f t="shared" si="27"/>
        <v>0.97196191035849067</v>
      </c>
      <c r="AM171" s="572"/>
    </row>
    <row r="172" spans="1:39" ht="15.75" customHeight="1" x14ac:dyDescent="0.25">
      <c r="A172" s="3"/>
      <c r="B172" s="3"/>
      <c r="C172" s="3"/>
      <c r="D172" s="3" t="s">
        <v>2083</v>
      </c>
      <c r="E172" s="3"/>
      <c r="F172" s="572">
        <f t="shared" ref="F172:AL173" si="28">SUMIF($D$16:$D$49,$D172,F$106:F$139)</f>
        <v>0</v>
      </c>
      <c r="G172" s="572">
        <f t="shared" si="28"/>
        <v>0</v>
      </c>
      <c r="H172" s="572">
        <f t="shared" si="28"/>
        <v>0</v>
      </c>
      <c r="I172" s="572">
        <f t="shared" si="28"/>
        <v>0</v>
      </c>
      <c r="J172" s="572">
        <f t="shared" si="28"/>
        <v>3.5880253229869101E-7</v>
      </c>
      <c r="K172" s="572">
        <f t="shared" si="28"/>
        <v>1.1531980384044935E-6</v>
      </c>
      <c r="L172" s="572">
        <f t="shared" si="28"/>
        <v>1.0423361429727172E-5</v>
      </c>
      <c r="M172" s="572">
        <f t="shared" si="28"/>
        <v>2.860443164778566E-5</v>
      </c>
      <c r="N172" s="572">
        <f t="shared" si="28"/>
        <v>5.6234815991005604E-5</v>
      </c>
      <c r="O172" s="572">
        <f t="shared" si="28"/>
        <v>9.3770841538530787E-5</v>
      </c>
      <c r="P172" s="572">
        <f t="shared" si="28"/>
        <v>1.4162489918713957E-4</v>
      </c>
      <c r="Q172" s="572">
        <f t="shared" si="28"/>
        <v>1.9098283947628373E-4</v>
      </c>
      <c r="R172" s="572">
        <f t="shared" si="28"/>
        <v>2.3380142855728195E-4</v>
      </c>
      <c r="S172" s="572">
        <f t="shared" si="28"/>
        <v>2.6900712008882629E-4</v>
      </c>
      <c r="T172" s="572">
        <f t="shared" si="28"/>
        <v>2.9590277023990681E-4</v>
      </c>
      <c r="U172" s="572">
        <f t="shared" si="28"/>
        <v>3.1402668591161013E-4</v>
      </c>
      <c r="V172" s="572">
        <f t="shared" si="28"/>
        <v>3.2244234329665536E-4</v>
      </c>
      <c r="W172" s="572">
        <f t="shared" si="28"/>
        <v>3.3055077108085795E-4</v>
      </c>
      <c r="X172" s="572">
        <f t="shared" si="28"/>
        <v>3.3922723473823107E-4</v>
      </c>
      <c r="Y172" s="572">
        <f t="shared" si="28"/>
        <v>3.4917762718940712E-4</v>
      </c>
      <c r="Z172" s="572">
        <f t="shared" si="28"/>
        <v>3.6037765498920377E-4</v>
      </c>
      <c r="AA172" s="572">
        <f t="shared" si="28"/>
        <v>3.7185938396114119E-4</v>
      </c>
      <c r="AB172" s="572">
        <f t="shared" si="28"/>
        <v>3.8346240556669069E-4</v>
      </c>
      <c r="AC172" s="572">
        <f t="shared" si="28"/>
        <v>3.9477979630641485E-4</v>
      </c>
      <c r="AD172" s="572">
        <f t="shared" si="28"/>
        <v>4.0610920637117545E-4</v>
      </c>
      <c r="AE172" s="572">
        <f t="shared" si="28"/>
        <v>4.1733351008638474E-4</v>
      </c>
      <c r="AF172" s="572">
        <f t="shared" si="28"/>
        <v>4.2818806047870063E-4</v>
      </c>
      <c r="AG172" s="572">
        <f t="shared" si="28"/>
        <v>4.3995083664784756E-4</v>
      </c>
      <c r="AH172" s="572">
        <f t="shared" si="28"/>
        <v>4.5199982120665603E-4</v>
      </c>
      <c r="AI172" s="572">
        <f t="shared" si="28"/>
        <v>4.644594836662696E-4</v>
      </c>
      <c r="AJ172" s="572">
        <f t="shared" si="28"/>
        <v>4.357620293216674E-4</v>
      </c>
      <c r="AK172" s="572">
        <f t="shared" si="28"/>
        <v>4.0112833373407282E-4</v>
      </c>
      <c r="AL172" s="572">
        <f t="shared" si="28"/>
        <v>3.6408522469417461E-4</v>
      </c>
      <c r="AM172" s="572"/>
    </row>
    <row r="173" spans="1:39" ht="15.75" customHeight="1" x14ac:dyDescent="0.25">
      <c r="A173" s="3"/>
      <c r="B173" s="3"/>
      <c r="C173" s="3"/>
      <c r="D173" s="3" t="s">
        <v>2082</v>
      </c>
      <c r="E173" s="3"/>
      <c r="F173" s="572">
        <f t="shared" si="28"/>
        <v>0</v>
      </c>
      <c r="G173" s="572">
        <f t="shared" si="28"/>
        <v>0</v>
      </c>
      <c r="H173" s="572">
        <f t="shared" si="28"/>
        <v>0</v>
      </c>
      <c r="I173" s="572">
        <f t="shared" si="28"/>
        <v>0</v>
      </c>
      <c r="J173" s="572">
        <f t="shared" si="28"/>
        <v>4.6158105848900404E-6</v>
      </c>
      <c r="K173" s="572">
        <f t="shared" si="28"/>
        <v>2.258632768924378E-2</v>
      </c>
      <c r="L173" s="572">
        <f t="shared" si="28"/>
        <v>5.4288376701320001E-2</v>
      </c>
      <c r="M173" s="572">
        <f t="shared" si="28"/>
        <v>6.3797626496414933E-2</v>
      </c>
      <c r="N173" s="572">
        <f t="shared" si="28"/>
        <v>6.5047365095385792E-2</v>
      </c>
      <c r="O173" s="572">
        <f t="shared" si="28"/>
        <v>6.6412634781015292E-2</v>
      </c>
      <c r="P173" s="572">
        <f t="shared" si="28"/>
        <v>5.2780417551606403E-2</v>
      </c>
      <c r="Q173" s="572">
        <f t="shared" si="28"/>
        <v>3.8675944613145413E-2</v>
      </c>
      <c r="R173" s="572">
        <f t="shared" si="28"/>
        <v>2.3920369916478723E-2</v>
      </c>
      <c r="S173" s="572">
        <f t="shared" si="28"/>
        <v>8.277134208078029E-3</v>
      </c>
      <c r="T173" s="572">
        <f t="shared" si="28"/>
        <v>8.4233677512781657E-3</v>
      </c>
      <c r="U173" s="572">
        <f t="shared" si="28"/>
        <v>7.0690695638479292E-3</v>
      </c>
      <c r="V173" s="572">
        <f t="shared" si="28"/>
        <v>5.6451972125582369E-3</v>
      </c>
      <c r="W173" s="572">
        <f t="shared" si="28"/>
        <v>4.1733963778639582E-3</v>
      </c>
      <c r="X173" s="572">
        <f t="shared" si="28"/>
        <v>2.6556592993553364E-3</v>
      </c>
      <c r="Y173" s="572">
        <f t="shared" si="28"/>
        <v>1.0903232689380544E-3</v>
      </c>
      <c r="Z173" s="572">
        <f t="shared" si="28"/>
        <v>1.0925297611513399E-3</v>
      </c>
      <c r="AA173" s="572">
        <f t="shared" si="28"/>
        <v>1.0945168186013781E-3</v>
      </c>
      <c r="AB173" s="572">
        <f t="shared" si="28"/>
        <v>1.0957275367356784E-3</v>
      </c>
      <c r="AC173" s="572">
        <f t="shared" si="28"/>
        <v>1.0952047497793153E-3</v>
      </c>
      <c r="AD173" s="572">
        <f t="shared" si="28"/>
        <v>1.0938985159221542E-3</v>
      </c>
      <c r="AE173" s="572">
        <f t="shared" si="28"/>
        <v>1.0913671311600472E-3</v>
      </c>
      <c r="AF173" s="572">
        <f t="shared" si="28"/>
        <v>1.0871485531076101E-3</v>
      </c>
      <c r="AG173" s="572">
        <f t="shared" si="28"/>
        <v>1.0844505475039175E-3</v>
      </c>
      <c r="AH173" s="572">
        <f t="shared" si="28"/>
        <v>1.0817552011623693E-3</v>
      </c>
      <c r="AI173" s="572">
        <f t="shared" si="28"/>
        <v>1.0791778464734234E-3</v>
      </c>
      <c r="AJ173" s="572">
        <f t="shared" si="28"/>
        <v>1.0895250539624641E-3</v>
      </c>
      <c r="AK173" s="572">
        <f t="shared" si="28"/>
        <v>1.0881502114454137E-3</v>
      </c>
      <c r="AL173" s="572">
        <f t="shared" si="28"/>
        <v>1.0824823131390042E-3</v>
      </c>
      <c r="AM173" s="572"/>
    </row>
    <row r="174" spans="1:39" ht="15.75" customHeight="1" x14ac:dyDescent="0.25">
      <c r="A174" s="3"/>
      <c r="B174" s="3"/>
      <c r="C174" s="3"/>
      <c r="D174" s="3"/>
      <c r="E174" s="3"/>
      <c r="F174" s="572"/>
      <c r="G174" s="572"/>
      <c r="H174" s="572"/>
      <c r="I174" s="572"/>
      <c r="J174" s="572"/>
      <c r="K174" s="572"/>
      <c r="L174" s="572"/>
      <c r="M174" s="572"/>
      <c r="N174" s="572"/>
      <c r="O174" s="572"/>
      <c r="P174" s="572"/>
      <c r="Q174" s="572"/>
      <c r="R174" s="572"/>
      <c r="S174" s="572"/>
      <c r="T174" s="572"/>
      <c r="U174" s="572"/>
      <c r="V174" s="572"/>
      <c r="W174" s="572"/>
      <c r="X174" s="572"/>
      <c r="Y174" s="572"/>
      <c r="Z174" s="572"/>
      <c r="AA174" s="572"/>
      <c r="AB174" s="572"/>
      <c r="AC174" s="572"/>
      <c r="AD174" s="572"/>
      <c r="AE174" s="572"/>
      <c r="AF174" s="572"/>
      <c r="AG174" s="572"/>
      <c r="AH174" s="572"/>
      <c r="AI174" s="572"/>
      <c r="AJ174" s="572"/>
      <c r="AK174" s="572"/>
      <c r="AL174" s="572"/>
      <c r="AM174" s="572"/>
    </row>
    <row r="175" spans="1:39" ht="15.75" customHeight="1" x14ac:dyDescent="0.25">
      <c r="A175" s="3"/>
      <c r="B175" s="3"/>
      <c r="C175" s="3"/>
      <c r="D175" s="3" t="s">
        <v>3</v>
      </c>
      <c r="E175" s="3"/>
      <c r="F175" s="572">
        <f t="shared" ref="F175:AL175" si="29">F164</f>
        <v>2.6131014791080082E-7</v>
      </c>
      <c r="G175" s="572">
        <f t="shared" si="29"/>
        <v>4.1898124909234098E-7</v>
      </c>
      <c r="H175" s="572">
        <f t="shared" si="29"/>
        <v>5.8111866987456702E-7</v>
      </c>
      <c r="I175" s="572">
        <f t="shared" si="29"/>
        <v>7.4840461171582204E-7</v>
      </c>
      <c r="J175" s="572">
        <f t="shared" si="29"/>
        <v>9.2201719908830302E-7</v>
      </c>
      <c r="K175" s="572">
        <f t="shared" si="29"/>
        <v>2.3052706395561522E-6</v>
      </c>
      <c r="L175" s="572">
        <f t="shared" si="29"/>
        <v>4.4136082214367739E-6</v>
      </c>
      <c r="M175" s="572">
        <f t="shared" si="29"/>
        <v>6.5946290152229707E-6</v>
      </c>
      <c r="N175" s="572">
        <f t="shared" si="29"/>
        <v>8.8565132283437395E-6</v>
      </c>
      <c r="O175" s="572">
        <f t="shared" si="29"/>
        <v>1.1509845363912519E-5</v>
      </c>
      <c r="P175" s="572">
        <f t="shared" si="29"/>
        <v>1.2569649352965852E-5</v>
      </c>
      <c r="Q175" s="572">
        <f t="shared" si="29"/>
        <v>1.3247157241468287E-5</v>
      </c>
      <c r="R175" s="572">
        <f t="shared" si="29"/>
        <v>1.7288683860185458E-5</v>
      </c>
      <c r="S175" s="572">
        <f t="shared" si="29"/>
        <v>2.1944993352741679E-5</v>
      </c>
      <c r="T175" s="572">
        <f t="shared" si="29"/>
        <v>2.3330088569784589E-5</v>
      </c>
      <c r="U175" s="572">
        <f t="shared" si="29"/>
        <v>2.4713909211711638E-5</v>
      </c>
      <c r="V175" s="572">
        <f t="shared" si="29"/>
        <v>2.6092421796137101E-5</v>
      </c>
      <c r="W175" s="572">
        <f t="shared" si="29"/>
        <v>2.7471143032289743E-5</v>
      </c>
      <c r="X175" s="572">
        <f t="shared" si="29"/>
        <v>2.8923391721581608E-5</v>
      </c>
      <c r="Y175" s="572">
        <f t="shared" si="29"/>
        <v>3.1802293449473981E-5</v>
      </c>
      <c r="Z175" s="572">
        <f t="shared" si="29"/>
        <v>3.5335146091815057E-5</v>
      </c>
      <c r="AA175" s="572">
        <f t="shared" si="29"/>
        <v>3.771742776819257E-5</v>
      </c>
      <c r="AB175" s="572">
        <f t="shared" si="29"/>
        <v>3.956228490669917E-5</v>
      </c>
      <c r="AC175" s="572">
        <f t="shared" si="29"/>
        <v>4.1703195498338638E-5</v>
      </c>
      <c r="AD175" s="572">
        <f t="shared" si="29"/>
        <v>4.4100162870311796E-5</v>
      </c>
      <c r="AE175" s="572">
        <f t="shared" si="29"/>
        <v>4.6478452427122152E-5</v>
      </c>
      <c r="AF175" s="572">
        <f t="shared" si="29"/>
        <v>4.9640579107816882E-5</v>
      </c>
      <c r="AG175" s="572">
        <f t="shared" si="29"/>
        <v>5.2781854283047353E-5</v>
      </c>
      <c r="AH175" s="572">
        <f t="shared" si="29"/>
        <v>5.6556118564366453E-5</v>
      </c>
      <c r="AI175" s="572">
        <f t="shared" si="29"/>
        <v>6.0255123344093292E-5</v>
      </c>
      <c r="AJ175" s="572">
        <f t="shared" si="29"/>
        <v>6.4760276546437561E-5</v>
      </c>
      <c r="AK175" s="572">
        <f t="shared" si="29"/>
        <v>6.8680952135492248E-5</v>
      </c>
      <c r="AL175" s="572">
        <f t="shared" si="29"/>
        <v>7.2638169923938342E-5</v>
      </c>
      <c r="AM175" s="572"/>
    </row>
    <row r="176" spans="1:39" ht="15.75" customHeight="1" x14ac:dyDescent="0.25">
      <c r="A176" s="3"/>
      <c r="B176" s="3"/>
      <c r="C176" s="3"/>
      <c r="D176" s="3" t="s">
        <v>2070</v>
      </c>
      <c r="E176" s="3"/>
      <c r="F176" s="572">
        <f t="shared" ref="F176:AL176" si="30">SUM(F165:F171)</f>
        <v>1.5072570286411947E-2</v>
      </c>
      <c r="G176" s="572">
        <f t="shared" si="30"/>
        <v>3.1735900244720151E-2</v>
      </c>
      <c r="H176" s="572">
        <f t="shared" si="30"/>
        <v>8.7055899930387301E-2</v>
      </c>
      <c r="I176" s="572">
        <f t="shared" si="30"/>
        <v>0.27805662599450703</v>
      </c>
      <c r="J176" s="572">
        <f t="shared" si="30"/>
        <v>0.67324895791136696</v>
      </c>
      <c r="K176" s="572">
        <f t="shared" si="30"/>
        <v>1.4568330957539479</v>
      </c>
      <c r="L176" s="572">
        <f t="shared" si="30"/>
        <v>2.0122920633029118</v>
      </c>
      <c r="M176" s="572">
        <f t="shared" si="30"/>
        <v>2.553105004891814</v>
      </c>
      <c r="N176" s="572">
        <f t="shared" si="30"/>
        <v>2.942375390135227</v>
      </c>
      <c r="O176" s="572">
        <f t="shared" si="30"/>
        <v>3.3359814128001144</v>
      </c>
      <c r="P176" s="572">
        <f t="shared" si="30"/>
        <v>3.693121388570455</v>
      </c>
      <c r="Q176" s="572">
        <f t="shared" si="30"/>
        <v>4.0419413528122172</v>
      </c>
      <c r="R176" s="572">
        <f t="shared" si="30"/>
        <v>4.3020061490307704</v>
      </c>
      <c r="S176" s="572">
        <f t="shared" si="30"/>
        <v>4.5389962090512963</v>
      </c>
      <c r="T176" s="572">
        <f t="shared" si="30"/>
        <v>4.7260465864993328</v>
      </c>
      <c r="U176" s="572">
        <f t="shared" si="30"/>
        <v>4.9236628516782863</v>
      </c>
      <c r="V176" s="572">
        <f t="shared" si="30"/>
        <v>5.2004906801396276</v>
      </c>
      <c r="W176" s="572">
        <f t="shared" si="30"/>
        <v>5.4998794117383625</v>
      </c>
      <c r="X176" s="572">
        <f t="shared" si="30"/>
        <v>5.8284009457047929</v>
      </c>
      <c r="Y176" s="572">
        <f t="shared" si="30"/>
        <v>5.9802144283565895</v>
      </c>
      <c r="Z176" s="572">
        <f t="shared" si="30"/>
        <v>5.5996610608143138</v>
      </c>
      <c r="AA176" s="572">
        <f t="shared" si="30"/>
        <v>5.8190167433650348</v>
      </c>
      <c r="AB176" s="572">
        <f t="shared" si="30"/>
        <v>6.0300733885401296</v>
      </c>
      <c r="AC176" s="572">
        <f t="shared" si="30"/>
        <v>7.0540102081437981</v>
      </c>
      <c r="AD176" s="572">
        <f t="shared" si="30"/>
        <v>8.0465075324851618</v>
      </c>
      <c r="AE176" s="572">
        <f t="shared" si="30"/>
        <v>7.7917776235370271</v>
      </c>
      <c r="AF176" s="572">
        <f t="shared" si="30"/>
        <v>7.7314220054120035</v>
      </c>
      <c r="AG176" s="572">
        <f t="shared" si="30"/>
        <v>6.6688853863699542</v>
      </c>
      <c r="AH176" s="572">
        <f t="shared" si="30"/>
        <v>7.4396119311099342</v>
      </c>
      <c r="AI176" s="572">
        <f t="shared" si="30"/>
        <v>7.1382981074320835</v>
      </c>
      <c r="AJ176" s="572">
        <f t="shared" si="30"/>
        <v>8.0152683557065814</v>
      </c>
      <c r="AK176" s="572">
        <f t="shared" si="30"/>
        <v>8.2514465158514412</v>
      </c>
      <c r="AL176" s="572">
        <f t="shared" si="30"/>
        <v>8.4770145118286226</v>
      </c>
      <c r="AM176" s="572"/>
    </row>
    <row r="177" spans="1:39" ht="15.75" customHeight="1" x14ac:dyDescent="0.25">
      <c r="A177" s="3"/>
      <c r="B177" s="3"/>
      <c r="C177" s="3"/>
      <c r="D177" s="3" t="s">
        <v>2081</v>
      </c>
      <c r="E177" s="3"/>
      <c r="F177" s="572">
        <f t="shared" ref="F177:AL177" si="31">SUM(F172:F173)</f>
        <v>0</v>
      </c>
      <c r="G177" s="572">
        <f t="shared" si="31"/>
        <v>0</v>
      </c>
      <c r="H177" s="572">
        <f t="shared" si="31"/>
        <v>0</v>
      </c>
      <c r="I177" s="572">
        <f t="shared" si="31"/>
        <v>0</v>
      </c>
      <c r="J177" s="572">
        <f t="shared" si="31"/>
        <v>4.9746131171887315E-6</v>
      </c>
      <c r="K177" s="572">
        <f t="shared" si="31"/>
        <v>2.2587480887282185E-2</v>
      </c>
      <c r="L177" s="572">
        <f t="shared" si="31"/>
        <v>5.429880006274973E-2</v>
      </c>
      <c r="M177" s="572">
        <f t="shared" si="31"/>
        <v>6.3826230928062722E-2</v>
      </c>
      <c r="N177" s="572">
        <f t="shared" si="31"/>
        <v>6.5103599911376792E-2</v>
      </c>
      <c r="O177" s="572">
        <f t="shared" si="31"/>
        <v>6.6506405622553819E-2</v>
      </c>
      <c r="P177" s="572">
        <f t="shared" si="31"/>
        <v>5.2922042450793544E-2</v>
      </c>
      <c r="Q177" s="572">
        <f t="shared" si="31"/>
        <v>3.88669274526217E-2</v>
      </c>
      <c r="R177" s="572">
        <f t="shared" si="31"/>
        <v>2.4154171345036005E-2</v>
      </c>
      <c r="S177" s="572">
        <f t="shared" si="31"/>
        <v>8.546141328166855E-3</v>
      </c>
      <c r="T177" s="572">
        <f t="shared" si="31"/>
        <v>8.719270521518073E-3</v>
      </c>
      <c r="U177" s="572">
        <f t="shared" si="31"/>
        <v>7.383096249759539E-3</v>
      </c>
      <c r="V177" s="572">
        <f t="shared" si="31"/>
        <v>5.9676395558548919E-3</v>
      </c>
      <c r="W177" s="572">
        <f t="shared" si="31"/>
        <v>4.503947148944816E-3</v>
      </c>
      <c r="X177" s="572">
        <f t="shared" si="31"/>
        <v>2.9948865340935675E-3</v>
      </c>
      <c r="Y177" s="572">
        <f t="shared" si="31"/>
        <v>1.4395008961274615E-3</v>
      </c>
      <c r="Z177" s="572">
        <f t="shared" si="31"/>
        <v>1.4529074161405437E-3</v>
      </c>
      <c r="AA177" s="572">
        <f t="shared" si="31"/>
        <v>1.4663762025625194E-3</v>
      </c>
      <c r="AB177" s="572">
        <f t="shared" si="31"/>
        <v>1.4791899423023691E-3</v>
      </c>
      <c r="AC177" s="572">
        <f t="shared" si="31"/>
        <v>1.4899845460857302E-3</v>
      </c>
      <c r="AD177" s="572">
        <f t="shared" si="31"/>
        <v>1.5000077222933296E-3</v>
      </c>
      <c r="AE177" s="572">
        <f t="shared" si="31"/>
        <v>1.508700641246432E-3</v>
      </c>
      <c r="AF177" s="572">
        <f t="shared" si="31"/>
        <v>1.5153366135863106E-3</v>
      </c>
      <c r="AG177" s="572">
        <f t="shared" si="31"/>
        <v>1.524401384151765E-3</v>
      </c>
      <c r="AH177" s="572">
        <f t="shared" si="31"/>
        <v>1.5337550223690254E-3</v>
      </c>
      <c r="AI177" s="572">
        <f t="shared" si="31"/>
        <v>1.543637330139693E-3</v>
      </c>
      <c r="AJ177" s="572">
        <f t="shared" si="31"/>
        <v>1.5252870832841315E-3</v>
      </c>
      <c r="AK177" s="572">
        <f t="shared" si="31"/>
        <v>1.4892785451794865E-3</v>
      </c>
      <c r="AL177" s="572">
        <f t="shared" si="31"/>
        <v>1.4465675378331788E-3</v>
      </c>
      <c r="AM177" s="572"/>
    </row>
    <row r="178" spans="1:39" ht="15.75" customHeight="1" x14ac:dyDescent="0.25">
      <c r="A178" s="3"/>
      <c r="B178" s="3"/>
      <c r="C178" s="3"/>
      <c r="D178" s="3"/>
      <c r="E178" s="3"/>
      <c r="F178" s="572"/>
      <c r="G178" s="572"/>
      <c r="H178" s="572"/>
      <c r="I178" s="572"/>
      <c r="J178" s="572"/>
      <c r="K178" s="572"/>
      <c r="L178" s="572"/>
      <c r="M178" s="572"/>
      <c r="N178" s="572"/>
      <c r="O178" s="572"/>
      <c r="P178" s="572"/>
      <c r="Q178" s="572"/>
      <c r="R178" s="572"/>
      <c r="S178" s="572"/>
      <c r="T178" s="572"/>
      <c r="U178" s="572"/>
      <c r="V178" s="572"/>
      <c r="W178" s="572"/>
      <c r="X178" s="572"/>
      <c r="Y178" s="572"/>
      <c r="Z178" s="572"/>
      <c r="AA178" s="572"/>
      <c r="AB178" s="572"/>
      <c r="AC178" s="572"/>
      <c r="AD178" s="572"/>
      <c r="AE178" s="572"/>
      <c r="AF178" s="572"/>
      <c r="AG178" s="572"/>
      <c r="AH178" s="572"/>
      <c r="AI178" s="572"/>
      <c r="AJ178" s="572"/>
      <c r="AK178" s="572"/>
      <c r="AL178" s="572"/>
      <c r="AM178" s="572"/>
    </row>
    <row r="179" spans="1:39" ht="15.75" customHeight="1" x14ac:dyDescent="0.25">
      <c r="A179" s="3"/>
      <c r="B179" s="3"/>
      <c r="C179" s="3"/>
      <c r="D179" s="3" t="s">
        <v>2137</v>
      </c>
      <c r="E179" s="3"/>
      <c r="F179" s="572">
        <f t="shared" ref="F179:AL179" si="32">SUM(F175:F177)</f>
        <v>1.5072831596559857E-2</v>
      </c>
      <c r="G179" s="572">
        <f t="shared" si="32"/>
        <v>3.1736319225969242E-2</v>
      </c>
      <c r="H179" s="572">
        <f t="shared" si="32"/>
        <v>8.705648104905718E-2</v>
      </c>
      <c r="I179" s="572">
        <f t="shared" si="32"/>
        <v>0.27805737439911876</v>
      </c>
      <c r="J179" s="572">
        <f t="shared" si="32"/>
        <v>0.67325485454168321</v>
      </c>
      <c r="K179" s="572">
        <f t="shared" si="32"/>
        <v>1.4794228819118695</v>
      </c>
      <c r="L179" s="572">
        <f t="shared" si="32"/>
        <v>2.0665952769738829</v>
      </c>
      <c r="M179" s="572">
        <f t="shared" si="32"/>
        <v>2.6169378304488919</v>
      </c>
      <c r="N179" s="572">
        <f t="shared" si="32"/>
        <v>3.0074878465598318</v>
      </c>
      <c r="O179" s="572">
        <f t="shared" si="32"/>
        <v>3.402499328268032</v>
      </c>
      <c r="P179" s="572">
        <f t="shared" si="32"/>
        <v>3.7460560006706016</v>
      </c>
      <c r="Q179" s="572">
        <f t="shared" si="32"/>
        <v>4.0808215274220805</v>
      </c>
      <c r="R179" s="572">
        <f t="shared" si="32"/>
        <v>4.3261776090596671</v>
      </c>
      <c r="S179" s="572">
        <f t="shared" si="32"/>
        <v>4.5475642953728164</v>
      </c>
      <c r="T179" s="572">
        <f t="shared" si="32"/>
        <v>4.7347891871094205</v>
      </c>
      <c r="U179" s="572">
        <f t="shared" si="32"/>
        <v>4.9310706618372571</v>
      </c>
      <c r="V179" s="572">
        <f t="shared" si="32"/>
        <v>5.2064844121172786</v>
      </c>
      <c r="W179" s="572">
        <f t="shared" si="32"/>
        <v>5.5044108300303396</v>
      </c>
      <c r="X179" s="572">
        <f t="shared" si="32"/>
        <v>5.831424755630608</v>
      </c>
      <c r="Y179" s="572">
        <f t="shared" si="32"/>
        <v>5.9816857315461665</v>
      </c>
      <c r="Z179" s="572">
        <f t="shared" si="32"/>
        <v>5.6011493033765465</v>
      </c>
      <c r="AA179" s="572">
        <f t="shared" si="32"/>
        <v>5.8205208369953656</v>
      </c>
      <c r="AB179" s="572">
        <f t="shared" si="32"/>
        <v>6.031592140767339</v>
      </c>
      <c r="AC179" s="572">
        <f t="shared" si="32"/>
        <v>7.0555418958853826</v>
      </c>
      <c r="AD179" s="572">
        <f t="shared" si="32"/>
        <v>8.0480516403703266</v>
      </c>
      <c r="AE179" s="572">
        <f t="shared" si="32"/>
        <v>7.7933328026307009</v>
      </c>
      <c r="AF179" s="572">
        <f t="shared" si="32"/>
        <v>7.7329869826046975</v>
      </c>
      <c r="AG179" s="572">
        <f t="shared" si="32"/>
        <v>6.6704625696083886</v>
      </c>
      <c r="AH179" s="572">
        <f t="shared" si="32"/>
        <v>7.4412022422508679</v>
      </c>
      <c r="AI179" s="572">
        <f t="shared" si="32"/>
        <v>7.1399019998855673</v>
      </c>
      <c r="AJ179" s="572">
        <f t="shared" si="32"/>
        <v>8.0168584030664114</v>
      </c>
      <c r="AK179" s="572">
        <f t="shared" si="32"/>
        <v>8.2530044753487566</v>
      </c>
      <c r="AL179" s="572">
        <f t="shared" si="32"/>
        <v>8.4785337175363793</v>
      </c>
      <c r="AM179" s="572"/>
    </row>
    <row r="180" spans="1:39" ht="15.7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row>
    <row r="181" spans="1:39" ht="15.75" customHeight="1" x14ac:dyDescent="0.25">
      <c r="A181" s="3"/>
      <c r="B181" s="2140" t="s">
        <v>2138</v>
      </c>
      <c r="C181" s="2138"/>
      <c r="D181" s="2138"/>
      <c r="E181" s="2138"/>
      <c r="F181" s="2138"/>
      <c r="G181" s="2138"/>
      <c r="H181" s="2138"/>
      <c r="I181" s="2138"/>
      <c r="J181" s="2138"/>
      <c r="K181" s="2138"/>
      <c r="L181" s="2138"/>
      <c r="M181" s="2138"/>
      <c r="N181" s="2138"/>
      <c r="O181" s="2138"/>
      <c r="P181" s="2138"/>
      <c r="Q181" s="2138"/>
      <c r="R181" s="2138"/>
      <c r="S181" s="2138"/>
      <c r="T181" s="2138"/>
      <c r="U181" s="2138"/>
      <c r="V181" s="2138"/>
      <c r="W181" s="2138"/>
      <c r="X181" s="2138"/>
      <c r="Y181" s="2138"/>
      <c r="Z181" s="2138"/>
      <c r="AA181" s="2138"/>
      <c r="AB181" s="2138"/>
      <c r="AC181" s="2138"/>
      <c r="AD181" s="2138"/>
      <c r="AE181" s="2138"/>
      <c r="AF181" s="2138"/>
      <c r="AG181" s="2138"/>
      <c r="AH181" s="2138"/>
      <c r="AI181" s="2138"/>
      <c r="AJ181" s="2138"/>
      <c r="AK181" s="2138"/>
      <c r="AL181" s="2138"/>
      <c r="AM181" s="2139"/>
    </row>
    <row r="182" spans="1:39" ht="15.7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row>
    <row r="183" spans="1:39" ht="15.75" customHeight="1" x14ac:dyDescent="0.25">
      <c r="A183" s="3"/>
      <c r="B183" s="2141" t="s">
        <v>2</v>
      </c>
      <c r="C183" s="2142"/>
      <c r="D183" s="2142"/>
      <c r="E183" s="2142"/>
      <c r="F183" s="2142"/>
      <c r="G183" s="2142"/>
      <c r="H183" s="2142"/>
      <c r="I183" s="2142"/>
      <c r="J183" s="2142"/>
      <c r="K183" s="2142"/>
      <c r="L183" s="2142"/>
      <c r="M183" s="2142"/>
      <c r="N183" s="2142"/>
      <c r="O183" s="2142"/>
      <c r="P183" s="2142"/>
      <c r="Q183" s="2142"/>
      <c r="R183" s="2142"/>
      <c r="S183" s="2142"/>
      <c r="T183" s="2142"/>
      <c r="U183" s="2142"/>
      <c r="V183" s="2142"/>
      <c r="W183" s="2142"/>
      <c r="X183" s="2142"/>
      <c r="Y183" s="2142"/>
      <c r="Z183" s="2142"/>
      <c r="AA183" s="2142"/>
      <c r="AB183" s="2142"/>
      <c r="AC183" s="2142"/>
      <c r="AD183" s="2142"/>
      <c r="AE183" s="2142"/>
      <c r="AF183" s="2142"/>
      <c r="AG183" s="2142"/>
      <c r="AH183" s="2142"/>
      <c r="AI183" s="2142"/>
      <c r="AJ183" s="2142"/>
      <c r="AK183" s="2142"/>
      <c r="AL183" s="2142"/>
      <c r="AM183" s="2145"/>
    </row>
    <row r="184" spans="1:39" ht="15.75" customHeight="1" x14ac:dyDescent="0.25">
      <c r="A184" s="3"/>
      <c r="B184" s="60" t="s">
        <v>2029</v>
      </c>
      <c r="C184" s="3"/>
      <c r="D184" s="60"/>
      <c r="E184" s="60"/>
      <c r="F184" s="60" t="s">
        <v>2033</v>
      </c>
      <c r="G184" s="60" t="s">
        <v>2034</v>
      </c>
      <c r="H184" s="60" t="s">
        <v>2035</v>
      </c>
      <c r="I184" s="60" t="s">
        <v>2036</v>
      </c>
      <c r="J184" s="60" t="s">
        <v>2037</v>
      </c>
      <c r="K184" s="60" t="s">
        <v>2038</v>
      </c>
      <c r="L184" s="60" t="s">
        <v>2039</v>
      </c>
      <c r="M184" s="60" t="s">
        <v>2040</v>
      </c>
      <c r="N184" s="60" t="s">
        <v>2041</v>
      </c>
      <c r="O184" s="60" t="s">
        <v>2042</v>
      </c>
      <c r="P184" s="60" t="s">
        <v>2043</v>
      </c>
      <c r="Q184" s="60" t="s">
        <v>2044</v>
      </c>
      <c r="R184" s="60" t="s">
        <v>2045</v>
      </c>
      <c r="S184" s="60" t="s">
        <v>2046</v>
      </c>
      <c r="T184" s="60" t="s">
        <v>2047</v>
      </c>
      <c r="U184" s="60" t="s">
        <v>2048</v>
      </c>
      <c r="V184" s="60" t="s">
        <v>2049</v>
      </c>
      <c r="W184" s="60" t="s">
        <v>2050</v>
      </c>
      <c r="X184" s="60" t="s">
        <v>2051</v>
      </c>
      <c r="Y184" s="60" t="s">
        <v>2052</v>
      </c>
      <c r="Z184" s="60" t="s">
        <v>2053</v>
      </c>
      <c r="AA184" s="60" t="s">
        <v>2054</v>
      </c>
      <c r="AB184" s="60" t="s">
        <v>2055</v>
      </c>
      <c r="AC184" s="60" t="s">
        <v>2056</v>
      </c>
      <c r="AD184" s="60" t="s">
        <v>2057</v>
      </c>
      <c r="AE184" s="60" t="s">
        <v>2058</v>
      </c>
      <c r="AF184" s="60" t="s">
        <v>2059</v>
      </c>
      <c r="AG184" s="60" t="s">
        <v>2060</v>
      </c>
      <c r="AH184" s="60" t="s">
        <v>2061</v>
      </c>
      <c r="AI184" s="60" t="s">
        <v>2062</v>
      </c>
      <c r="AJ184" s="60" t="s">
        <v>2063</v>
      </c>
      <c r="AK184" s="60" t="s">
        <v>2064</v>
      </c>
      <c r="AL184" s="60" t="s">
        <v>2065</v>
      </c>
      <c r="AM184" s="60"/>
    </row>
    <row r="185" spans="1:39" ht="15.75" customHeight="1" x14ac:dyDescent="0.25">
      <c r="A185" s="3"/>
      <c r="B185" s="3" t="s">
        <v>2066</v>
      </c>
      <c r="C185" s="3"/>
      <c r="D185" s="3"/>
      <c r="E185" s="3"/>
      <c r="F185" s="572">
        <f t="shared" ref="F185:AL190" si="33">SUMIF($B$16:$B$49,$B185,F$16:F$49)</f>
        <v>0</v>
      </c>
      <c r="G185" s="572">
        <f t="shared" si="33"/>
        <v>0</v>
      </c>
      <c r="H185" s="572">
        <f t="shared" si="33"/>
        <v>0</v>
      </c>
      <c r="I185" s="572">
        <f t="shared" si="33"/>
        <v>0</v>
      </c>
      <c r="J185" s="572">
        <f t="shared" si="33"/>
        <v>7.2105919715150286E-5</v>
      </c>
      <c r="K185" s="572">
        <f t="shared" si="33"/>
        <v>6.1285513036061275E-4</v>
      </c>
      <c r="L185" s="572">
        <f t="shared" si="33"/>
        <v>1.5063543721975246E-3</v>
      </c>
      <c r="M185" s="572">
        <f t="shared" si="33"/>
        <v>3.0434438681324707E-3</v>
      </c>
      <c r="N185" s="572">
        <f t="shared" si="33"/>
        <v>5.1295941830848436E-3</v>
      </c>
      <c r="O185" s="572">
        <f t="shared" si="33"/>
        <v>8.0316148717966118E-3</v>
      </c>
      <c r="P185" s="572">
        <f t="shared" si="33"/>
        <v>1.0889911130349221E-2</v>
      </c>
      <c r="Q185" s="572">
        <f t="shared" si="33"/>
        <v>1.3712062262757939E-2</v>
      </c>
      <c r="R185" s="572">
        <f t="shared" si="33"/>
        <v>1.648562969924406E-2</v>
      </c>
      <c r="S185" s="572">
        <f t="shared" si="33"/>
        <v>1.8665333965892102E-2</v>
      </c>
      <c r="T185" s="572">
        <f t="shared" si="33"/>
        <v>2.0647262373855866E-2</v>
      </c>
      <c r="U185" s="572">
        <f t="shared" si="33"/>
        <v>2.2410144640867428E-2</v>
      </c>
      <c r="V185" s="572">
        <f t="shared" si="33"/>
        <v>2.4110369744410529E-2</v>
      </c>
      <c r="W185" s="572">
        <f t="shared" si="33"/>
        <v>2.574518539645845E-2</v>
      </c>
      <c r="X185" s="572">
        <f t="shared" si="33"/>
        <v>2.7361503739153973E-2</v>
      </c>
      <c r="Y185" s="572">
        <f t="shared" si="33"/>
        <v>2.843524224429549E-2</v>
      </c>
      <c r="Z185" s="572">
        <f t="shared" si="33"/>
        <v>3.0012131374129055E-2</v>
      </c>
      <c r="AA185" s="572">
        <f t="shared" si="33"/>
        <v>3.187452525702545E-2</v>
      </c>
      <c r="AB185" s="572">
        <f t="shared" si="33"/>
        <v>3.3837802970205E-2</v>
      </c>
      <c r="AC185" s="572">
        <f t="shared" si="33"/>
        <v>3.5594791565102715E-2</v>
      </c>
      <c r="AD185" s="572">
        <f t="shared" si="33"/>
        <v>3.7951465300442244E-2</v>
      </c>
      <c r="AE185" s="572">
        <f t="shared" si="33"/>
        <v>3.9063849322567672E-2</v>
      </c>
      <c r="AF185" s="572">
        <f t="shared" si="33"/>
        <v>4.1136276684157522E-2</v>
      </c>
      <c r="AG185" s="572">
        <f t="shared" si="33"/>
        <v>4.1654561205707652E-2</v>
      </c>
      <c r="AH185" s="572">
        <f t="shared" si="33"/>
        <v>4.371463553219207E-2</v>
      </c>
      <c r="AI185" s="572">
        <f t="shared" si="33"/>
        <v>4.4439641097130965E-2</v>
      </c>
      <c r="AJ185" s="572">
        <f t="shared" si="33"/>
        <v>4.6456465734988968E-2</v>
      </c>
      <c r="AK185" s="572">
        <f t="shared" si="33"/>
        <v>4.7456699884263986E-2</v>
      </c>
      <c r="AL185" s="572">
        <f t="shared" si="33"/>
        <v>4.8308508674681477E-2</v>
      </c>
      <c r="AM185" s="572"/>
    </row>
    <row r="186" spans="1:39" ht="15.75" customHeight="1" x14ac:dyDescent="0.25">
      <c r="A186" s="3"/>
      <c r="B186" s="3" t="s">
        <v>2068</v>
      </c>
      <c r="C186" s="3"/>
      <c r="D186" s="3"/>
      <c r="E186" s="3"/>
      <c r="F186" s="572">
        <f t="shared" si="33"/>
        <v>1.2498464374573599E-4</v>
      </c>
      <c r="G186" s="572">
        <f t="shared" si="33"/>
        <v>1.9759599133754223E-4</v>
      </c>
      <c r="H186" s="572">
        <f t="shared" si="33"/>
        <v>2.7646125233332587E-4</v>
      </c>
      <c r="I186" s="572">
        <f t="shared" si="33"/>
        <v>3.6181180050382433E-4</v>
      </c>
      <c r="J186" s="572">
        <f t="shared" si="33"/>
        <v>3.897996485494196E-4</v>
      </c>
      <c r="K186" s="572">
        <f t="shared" si="33"/>
        <v>7.1059808027374252E-4</v>
      </c>
      <c r="L186" s="572">
        <f t="shared" si="33"/>
        <v>1.6094511220163697E-3</v>
      </c>
      <c r="M186" s="572">
        <f t="shared" si="33"/>
        <v>2.5545761530009511E-3</v>
      </c>
      <c r="N186" s="572">
        <f t="shared" si="33"/>
        <v>3.5550703975006622E-3</v>
      </c>
      <c r="O186" s="572">
        <f t="shared" si="33"/>
        <v>4.6011209287602599E-3</v>
      </c>
      <c r="P186" s="572">
        <f t="shared" si="33"/>
        <v>4.9468350824592279E-3</v>
      </c>
      <c r="Q186" s="572">
        <f t="shared" si="33"/>
        <v>5.9345380482300741E-3</v>
      </c>
      <c r="R186" s="572">
        <f t="shared" si="33"/>
        <v>2.6261543295702759E-2</v>
      </c>
      <c r="S186" s="572">
        <f t="shared" si="33"/>
        <v>5.0150414900290999E-2</v>
      </c>
      <c r="T186" s="572">
        <f t="shared" si="33"/>
        <v>5.6296376737982094E-2</v>
      </c>
      <c r="U186" s="572">
        <f t="shared" si="33"/>
        <v>6.2565220005701597E-2</v>
      </c>
      <c r="V186" s="572">
        <f t="shared" si="33"/>
        <v>6.8946562255248575E-2</v>
      </c>
      <c r="W186" s="572">
        <f t="shared" si="33"/>
        <v>7.5423791953472971E-2</v>
      </c>
      <c r="X186" s="572">
        <f t="shared" si="33"/>
        <v>8.1740815288038171E-2</v>
      </c>
      <c r="Y186" s="572">
        <f t="shared" si="33"/>
        <v>0.10761159151881834</v>
      </c>
      <c r="Z186" s="572">
        <f t="shared" si="33"/>
        <v>0.12794764263886921</v>
      </c>
      <c r="AA186" s="572">
        <f t="shared" si="33"/>
        <v>0.1392134734480811</v>
      </c>
      <c r="AB186" s="572">
        <f t="shared" si="33"/>
        <v>0.15046983128053817</v>
      </c>
      <c r="AC186" s="572">
        <f t="shared" si="33"/>
        <v>0.18357247635046137</v>
      </c>
      <c r="AD186" s="572">
        <f t="shared" si="33"/>
        <v>0.21234430451263558</v>
      </c>
      <c r="AE186" s="572">
        <f t="shared" si="33"/>
        <v>0.23110579810893955</v>
      </c>
      <c r="AF186" s="572">
        <f t="shared" si="33"/>
        <v>0.23949444068247275</v>
      </c>
      <c r="AG186" s="572">
        <f t="shared" si="33"/>
        <v>0.23805963762431312</v>
      </c>
      <c r="AH186" s="572">
        <f t="shared" si="33"/>
        <v>0.25513604821928398</v>
      </c>
      <c r="AI186" s="572">
        <f t="shared" si="33"/>
        <v>0.25069838634141794</v>
      </c>
      <c r="AJ186" s="572">
        <f t="shared" si="33"/>
        <v>0.25757600940917913</v>
      </c>
      <c r="AK186" s="572">
        <f t="shared" si="33"/>
        <v>0.20133840239177225</v>
      </c>
      <c r="AL186" s="572">
        <f t="shared" si="33"/>
        <v>0.2175595808811642</v>
      </c>
      <c r="AM186" s="572"/>
    </row>
    <row r="187" spans="1:39" ht="15.75" customHeight="1" x14ac:dyDescent="0.25">
      <c r="A187" s="3"/>
      <c r="B187" s="3" t="s">
        <v>2073</v>
      </c>
      <c r="C187" s="3"/>
      <c r="D187" s="3"/>
      <c r="E187" s="3"/>
      <c r="F187" s="572">
        <f t="shared" si="33"/>
        <v>0</v>
      </c>
      <c r="G187" s="572">
        <f t="shared" si="33"/>
        <v>0</v>
      </c>
      <c r="H187" s="572">
        <f t="shared" si="33"/>
        <v>0</v>
      </c>
      <c r="I187" s="572">
        <f t="shared" si="33"/>
        <v>0</v>
      </c>
      <c r="J187" s="572">
        <f t="shared" si="33"/>
        <v>0</v>
      </c>
      <c r="K187" s="572">
        <f t="shared" si="33"/>
        <v>0</v>
      </c>
      <c r="L187" s="572">
        <f t="shared" si="33"/>
        <v>0</v>
      </c>
      <c r="M187" s="572">
        <f t="shared" si="33"/>
        <v>3.2235782254365608E-4</v>
      </c>
      <c r="N187" s="572">
        <f t="shared" si="33"/>
        <v>6.5270642478647929E-4</v>
      </c>
      <c r="O187" s="572">
        <f t="shared" si="33"/>
        <v>9.9047932329365059E-4</v>
      </c>
      <c r="P187" s="572">
        <f t="shared" si="33"/>
        <v>1.371567092698403E-3</v>
      </c>
      <c r="Q187" s="572">
        <f t="shared" si="33"/>
        <v>3.1367205233573548E-3</v>
      </c>
      <c r="R187" s="572">
        <f t="shared" si="33"/>
        <v>4.9577196476018647E-3</v>
      </c>
      <c r="S187" s="572">
        <f t="shared" si="33"/>
        <v>6.8239834112029498E-3</v>
      </c>
      <c r="T187" s="572">
        <f t="shared" si="33"/>
        <v>8.7482454746959041E-3</v>
      </c>
      <c r="U187" s="572">
        <f t="shared" si="33"/>
        <v>1.0728317244315449E-2</v>
      </c>
      <c r="V187" s="572">
        <f t="shared" si="33"/>
        <v>1.274075218509407E-2</v>
      </c>
      <c r="W187" s="572">
        <f t="shared" si="33"/>
        <v>1.5873296838508563E-2</v>
      </c>
      <c r="X187" s="572">
        <f t="shared" si="33"/>
        <v>1.866954517859909E-2</v>
      </c>
      <c r="Y187" s="572">
        <f t="shared" si="33"/>
        <v>2.1214494125891267E-2</v>
      </c>
      <c r="Z187" s="572">
        <f t="shared" si="33"/>
        <v>2.1552270045706118E-2</v>
      </c>
      <c r="AA187" s="572">
        <f t="shared" si="33"/>
        <v>2.4259664127360824E-2</v>
      </c>
      <c r="AB187" s="572">
        <f t="shared" si="33"/>
        <v>2.4306866839050797E-2</v>
      </c>
      <c r="AC187" s="572">
        <f t="shared" si="33"/>
        <v>2.8509269544091088E-2</v>
      </c>
      <c r="AD187" s="572">
        <f t="shared" si="33"/>
        <v>2.9432072155723694E-2</v>
      </c>
      <c r="AE187" s="572">
        <f t="shared" si="33"/>
        <v>2.5623627137663661E-2</v>
      </c>
      <c r="AF187" s="572">
        <f t="shared" si="33"/>
        <v>3.0328428800894203E-2</v>
      </c>
      <c r="AG187" s="572">
        <f t="shared" si="33"/>
        <v>3.3174207015971305E-2</v>
      </c>
      <c r="AH187" s="572">
        <f t="shared" si="33"/>
        <v>4.1168884090298202E-2</v>
      </c>
      <c r="AI187" s="572">
        <f t="shared" si="33"/>
        <v>4.0876081697963168E-2</v>
      </c>
      <c r="AJ187" s="572">
        <f t="shared" si="33"/>
        <v>4.4901273365417868E-2</v>
      </c>
      <c r="AK187" s="572">
        <f t="shared" si="33"/>
        <v>4.5575131534607419E-2</v>
      </c>
      <c r="AL187" s="572">
        <f t="shared" si="33"/>
        <v>2.7703232964750114E-2</v>
      </c>
      <c r="AM187" s="572"/>
    </row>
    <row r="188" spans="1:39" ht="15.75" customHeight="1" x14ac:dyDescent="0.25">
      <c r="A188" s="3"/>
      <c r="B188" s="3" t="s">
        <v>2074</v>
      </c>
      <c r="C188" s="3"/>
      <c r="D188" s="3"/>
      <c r="E188" s="3"/>
      <c r="F188" s="572">
        <f t="shared" si="33"/>
        <v>4.3648724486724348E-3</v>
      </c>
      <c r="G188" s="572">
        <f t="shared" si="33"/>
        <v>9.5683674503027998E-3</v>
      </c>
      <c r="H188" s="572">
        <f t="shared" si="33"/>
        <v>9.5453743608877092E-3</v>
      </c>
      <c r="I188" s="572">
        <f t="shared" si="33"/>
        <v>9.5139138736681089E-3</v>
      </c>
      <c r="J188" s="572">
        <f t="shared" si="33"/>
        <v>2.2336436916164441E-2</v>
      </c>
      <c r="K188" s="572">
        <f t="shared" si="33"/>
        <v>0.14249635803079547</v>
      </c>
      <c r="L188" s="572">
        <f t="shared" si="33"/>
        <v>0.16428444804518955</v>
      </c>
      <c r="M188" s="572">
        <f t="shared" si="33"/>
        <v>0.18357195880718782</v>
      </c>
      <c r="N188" s="572">
        <f t="shared" si="33"/>
        <v>0.19409531908322991</v>
      </c>
      <c r="O188" s="572">
        <f t="shared" si="33"/>
        <v>0.20002539765614638</v>
      </c>
      <c r="P188" s="572">
        <f t="shared" si="33"/>
        <v>0.20302055561944649</v>
      </c>
      <c r="Q188" s="572">
        <f t="shared" si="33"/>
        <v>0.19716429964788568</v>
      </c>
      <c r="R188" s="572">
        <f t="shared" si="33"/>
        <v>0.18992898294159932</v>
      </c>
      <c r="S188" s="572">
        <f t="shared" si="33"/>
        <v>0.18244408859058514</v>
      </c>
      <c r="T188" s="572">
        <f t="shared" si="33"/>
        <v>0.17347940243594798</v>
      </c>
      <c r="U188" s="572">
        <f t="shared" si="33"/>
        <v>0.16432449450813258</v>
      </c>
      <c r="V188" s="572">
        <f t="shared" si="33"/>
        <v>0.17484916357473831</v>
      </c>
      <c r="W188" s="572">
        <f t="shared" si="33"/>
        <v>0.18660684616148177</v>
      </c>
      <c r="X188" s="572">
        <f t="shared" si="33"/>
        <v>0.19690119142231979</v>
      </c>
      <c r="Y188" s="572">
        <f t="shared" si="33"/>
        <v>0.21703192252970996</v>
      </c>
      <c r="Z188" s="572">
        <f t="shared" si="33"/>
        <v>0.21694866571903881</v>
      </c>
      <c r="AA188" s="572">
        <f t="shared" si="33"/>
        <v>0.2319557928079265</v>
      </c>
      <c r="AB188" s="572">
        <f t="shared" si="33"/>
        <v>0.24585585413519162</v>
      </c>
      <c r="AC188" s="572">
        <f t="shared" si="33"/>
        <v>0.30931219857155656</v>
      </c>
      <c r="AD188" s="572">
        <f t="shared" si="33"/>
        <v>0.35785848599361852</v>
      </c>
      <c r="AE188" s="572">
        <f t="shared" si="33"/>
        <v>0.35417630598851529</v>
      </c>
      <c r="AF188" s="572">
        <f t="shared" si="33"/>
        <v>0.31155823757133505</v>
      </c>
      <c r="AG188" s="572">
        <f t="shared" si="33"/>
        <v>0.2619618412667587</v>
      </c>
      <c r="AH188" s="572">
        <f t="shared" si="33"/>
        <v>0.25713474347671533</v>
      </c>
      <c r="AI188" s="572">
        <f t="shared" si="33"/>
        <v>0.25691276844907202</v>
      </c>
      <c r="AJ188" s="572">
        <f t="shared" si="33"/>
        <v>0.28403062158509718</v>
      </c>
      <c r="AK188" s="572">
        <f t="shared" si="33"/>
        <v>0.29011712984193122</v>
      </c>
      <c r="AL188" s="572">
        <f t="shared" si="33"/>
        <v>0.29573110855496204</v>
      </c>
      <c r="AM188" s="572"/>
    </row>
    <row r="189" spans="1:39" ht="15.75" customHeight="1" x14ac:dyDescent="0.25">
      <c r="A189" s="3"/>
      <c r="B189" s="3" t="s">
        <v>2069</v>
      </c>
      <c r="C189" s="3"/>
      <c r="D189" s="3"/>
      <c r="E189" s="3"/>
      <c r="F189" s="572">
        <f t="shared" si="33"/>
        <v>2.9619075653216937E-4</v>
      </c>
      <c r="G189" s="572">
        <f t="shared" si="33"/>
        <v>3.1200429586594226E-4</v>
      </c>
      <c r="H189" s="572">
        <f t="shared" si="33"/>
        <v>1.7633592270480294E-2</v>
      </c>
      <c r="I189" s="572">
        <f t="shared" si="33"/>
        <v>7.9574229708700844E-2</v>
      </c>
      <c r="J189" s="572">
        <f t="shared" si="33"/>
        <v>0.19448125374473932</v>
      </c>
      <c r="K189" s="572">
        <f t="shared" si="33"/>
        <v>0.31400197478674224</v>
      </c>
      <c r="L189" s="572">
        <f t="shared" si="33"/>
        <v>0.46015383285188821</v>
      </c>
      <c r="M189" s="572">
        <f t="shared" si="33"/>
        <v>0.61738084871837051</v>
      </c>
      <c r="N189" s="572">
        <f t="shared" si="33"/>
        <v>0.7356267450632179</v>
      </c>
      <c r="O189" s="572">
        <f t="shared" si="33"/>
        <v>0.86217801886727308</v>
      </c>
      <c r="P189" s="572">
        <f t="shared" si="33"/>
        <v>0.97826330945906137</v>
      </c>
      <c r="Q189" s="572">
        <f t="shared" si="33"/>
        <v>1.1012392171784913</v>
      </c>
      <c r="R189" s="572">
        <f t="shared" si="33"/>
        <v>1.1802655703733531</v>
      </c>
      <c r="S189" s="572">
        <f t="shared" si="33"/>
        <v>1.2497770583538761</v>
      </c>
      <c r="T189" s="572">
        <f t="shared" si="33"/>
        <v>1.3219874532615901</v>
      </c>
      <c r="U189" s="572">
        <f t="shared" si="33"/>
        <v>1.4078983065449879</v>
      </c>
      <c r="V189" s="572">
        <f t="shared" si="33"/>
        <v>1.5025656872957627</v>
      </c>
      <c r="W189" s="572">
        <f t="shared" si="33"/>
        <v>1.6074718288358312</v>
      </c>
      <c r="X189" s="572">
        <f t="shared" si="33"/>
        <v>1.7270147715717168</v>
      </c>
      <c r="Y189" s="572">
        <f t="shared" si="33"/>
        <v>1.7383094998113409</v>
      </c>
      <c r="Z189" s="572">
        <f t="shared" si="33"/>
        <v>1.6134449309464605</v>
      </c>
      <c r="AA189" s="572">
        <f t="shared" si="33"/>
        <v>1.7118967392457112</v>
      </c>
      <c r="AB189" s="572">
        <f t="shared" si="33"/>
        <v>1.8210645635757408</v>
      </c>
      <c r="AC189" s="572">
        <f t="shared" si="33"/>
        <v>2.0918267720574595</v>
      </c>
      <c r="AD189" s="572">
        <f t="shared" si="33"/>
        <v>2.4123552464598168</v>
      </c>
      <c r="AE189" s="572">
        <f t="shared" si="33"/>
        <v>2.3139651753098818</v>
      </c>
      <c r="AF189" s="572">
        <f t="shared" si="33"/>
        <v>2.3731707047113733</v>
      </c>
      <c r="AG189" s="572">
        <f t="shared" si="33"/>
        <v>1.9765263214466349</v>
      </c>
      <c r="AH189" s="572">
        <f t="shared" si="33"/>
        <v>2.2995525386553797</v>
      </c>
      <c r="AI189" s="572">
        <f t="shared" si="33"/>
        <v>2.1603959533344215</v>
      </c>
      <c r="AJ189" s="572">
        <f t="shared" si="33"/>
        <v>2.4707507223107195</v>
      </c>
      <c r="AK189" s="572">
        <f t="shared" si="33"/>
        <v>2.6375174546459652</v>
      </c>
      <c r="AL189" s="572">
        <f t="shared" si="33"/>
        <v>2.7310221568546873</v>
      </c>
      <c r="AM189" s="572"/>
    </row>
    <row r="190" spans="1:39" ht="15.75" customHeight="1" x14ac:dyDescent="0.25">
      <c r="A190" s="3"/>
      <c r="B190" s="3" t="s">
        <v>2080</v>
      </c>
      <c r="C190" s="3"/>
      <c r="D190" s="3"/>
      <c r="E190" s="3"/>
      <c r="F190" s="572">
        <f t="shared" si="33"/>
        <v>0</v>
      </c>
      <c r="G190" s="572">
        <f t="shared" si="33"/>
        <v>0</v>
      </c>
      <c r="H190" s="572">
        <f t="shared" si="33"/>
        <v>0</v>
      </c>
      <c r="I190" s="572">
        <f t="shared" si="33"/>
        <v>0</v>
      </c>
      <c r="J190" s="572">
        <f t="shared" si="33"/>
        <v>0</v>
      </c>
      <c r="K190" s="572">
        <f t="shared" si="33"/>
        <v>2.0155536417350836E-2</v>
      </c>
      <c r="L190" s="572">
        <f t="shared" si="33"/>
        <v>4.4107440217010532E-2</v>
      </c>
      <c r="M190" s="572">
        <f t="shared" si="33"/>
        <v>4.803083225204071E-2</v>
      </c>
      <c r="N190" s="572">
        <f t="shared" si="33"/>
        <v>4.8865841943775495E-2</v>
      </c>
      <c r="O190" s="572">
        <f t="shared" si="33"/>
        <v>4.9749338059828216E-2</v>
      </c>
      <c r="P190" s="572">
        <f t="shared" si="33"/>
        <v>4.5063302006180542E-2</v>
      </c>
      <c r="Q190" s="572">
        <f t="shared" si="33"/>
        <v>4.0276417117818243E-2</v>
      </c>
      <c r="R190" s="572">
        <f t="shared" si="33"/>
        <v>3.5285645908823694E-2</v>
      </c>
      <c r="S190" s="572">
        <f t="shared" si="33"/>
        <v>3.0003657057189485E-2</v>
      </c>
      <c r="T190" s="572">
        <f t="shared" si="33"/>
        <v>3.0606134147674113E-2</v>
      </c>
      <c r="U190" s="572">
        <f t="shared" si="33"/>
        <v>3.0630470293182332E-2</v>
      </c>
      <c r="V190" s="572">
        <f t="shared" si="33"/>
        <v>3.057286384565408E-2</v>
      </c>
      <c r="W190" s="572">
        <f t="shared" si="33"/>
        <v>3.0462796370103348E-2</v>
      </c>
      <c r="X190" s="572">
        <f t="shared" si="33"/>
        <v>3.0371616797719554E-2</v>
      </c>
      <c r="Y190" s="572">
        <f t="shared" si="33"/>
        <v>3.0362264191720709E-2</v>
      </c>
      <c r="Z190" s="572">
        <f t="shared" si="33"/>
        <v>3.103227403626806E-2</v>
      </c>
      <c r="AA190" s="572">
        <f t="shared" si="33"/>
        <v>3.1710293425038373E-2</v>
      </c>
      <c r="AB190" s="572">
        <f t="shared" si="33"/>
        <v>3.2380473308252521E-2</v>
      </c>
      <c r="AC190" s="572">
        <f t="shared" si="33"/>
        <v>3.3012349052362798E-2</v>
      </c>
      <c r="AD190" s="572">
        <f t="shared" si="33"/>
        <v>3.3632343709609977E-2</v>
      </c>
      <c r="AE190" s="572">
        <f t="shared" si="33"/>
        <v>3.42254472906625E-2</v>
      </c>
      <c r="AF190" s="572">
        <f t="shared" si="33"/>
        <v>3.4775136345906607E-2</v>
      </c>
      <c r="AG190" s="572">
        <f t="shared" si="33"/>
        <v>3.5382737684634943E-2</v>
      </c>
      <c r="AH190" s="572">
        <f t="shared" si="33"/>
        <v>3.6000552816871603E-2</v>
      </c>
      <c r="AI190" s="572">
        <f t="shared" si="33"/>
        <v>3.6633303426304963E-2</v>
      </c>
      <c r="AJ190" s="572">
        <f t="shared" si="33"/>
        <v>3.7724242229892728E-2</v>
      </c>
      <c r="AK190" s="572">
        <f t="shared" si="33"/>
        <v>3.8430274994460813E-2</v>
      </c>
      <c r="AL190" s="572">
        <f t="shared" si="33"/>
        <v>3.8994606853582803E-2</v>
      </c>
      <c r="AM190" s="572"/>
    </row>
    <row r="191" spans="1:39" ht="15.75" customHeight="1" x14ac:dyDescent="0.25">
      <c r="A191" s="3"/>
      <c r="B191" s="3"/>
      <c r="C191" s="3"/>
      <c r="D191" s="3"/>
      <c r="E191" s="3"/>
      <c r="F191" s="572"/>
      <c r="G191" s="572"/>
      <c r="H191" s="572"/>
      <c r="I191" s="572"/>
      <c r="J191" s="572"/>
      <c r="K191" s="572"/>
      <c r="L191" s="572"/>
      <c r="M191" s="572"/>
      <c r="N191" s="572"/>
      <c r="O191" s="572"/>
      <c r="P191" s="572"/>
      <c r="Q191" s="572"/>
      <c r="R191" s="572"/>
      <c r="S191" s="572"/>
      <c r="T191" s="572"/>
      <c r="U191" s="572"/>
      <c r="V191" s="572"/>
      <c r="W191" s="572"/>
      <c r="X191" s="572"/>
      <c r="Y191" s="572"/>
      <c r="Z191" s="572"/>
      <c r="AA191" s="572"/>
      <c r="AB191" s="572"/>
      <c r="AC191" s="572"/>
      <c r="AD191" s="572"/>
      <c r="AE191" s="572"/>
      <c r="AF191" s="572"/>
      <c r="AG191" s="572"/>
      <c r="AH191" s="572"/>
      <c r="AI191" s="572"/>
      <c r="AJ191" s="572"/>
      <c r="AK191" s="572"/>
      <c r="AL191" s="572"/>
      <c r="AM191" s="572"/>
    </row>
    <row r="192" spans="1:39" ht="15.75" customHeight="1" x14ac:dyDescent="0.25">
      <c r="A192" s="3"/>
      <c r="B192" s="3" t="s">
        <v>2137</v>
      </c>
      <c r="C192" s="3"/>
      <c r="D192" s="3"/>
      <c r="E192" s="3"/>
      <c r="F192" s="572">
        <f t="shared" ref="F192:AL192" si="34">SUM(F185:F190)</f>
        <v>4.7860478489503405E-3</v>
      </c>
      <c r="G192" s="572">
        <f t="shared" si="34"/>
        <v>1.0077967737506284E-2</v>
      </c>
      <c r="H192" s="572">
        <f t="shared" si="34"/>
        <v>2.7455427883701332E-2</v>
      </c>
      <c r="I192" s="572">
        <f t="shared" si="34"/>
        <v>8.9449955382872773E-2</v>
      </c>
      <c r="J192" s="572">
        <f t="shared" si="34"/>
        <v>0.21727959622916831</v>
      </c>
      <c r="K192" s="572">
        <f t="shared" si="34"/>
        <v>0.47797732244552288</v>
      </c>
      <c r="L192" s="572">
        <f t="shared" si="34"/>
        <v>0.67166152660830214</v>
      </c>
      <c r="M192" s="572">
        <f t="shared" si="34"/>
        <v>0.85490401762127621</v>
      </c>
      <c r="N192" s="572">
        <f t="shared" si="34"/>
        <v>0.9879252770955953</v>
      </c>
      <c r="O192" s="572">
        <f t="shared" si="34"/>
        <v>1.1255759697070982</v>
      </c>
      <c r="P192" s="572">
        <f t="shared" si="34"/>
        <v>1.2435554803901954</v>
      </c>
      <c r="Q192" s="572">
        <f t="shared" si="34"/>
        <v>1.3614632547785406</v>
      </c>
      <c r="R192" s="572">
        <f t="shared" si="34"/>
        <v>1.4531850918663249</v>
      </c>
      <c r="S192" s="572">
        <f t="shared" si="34"/>
        <v>1.5378645362790369</v>
      </c>
      <c r="T192" s="572">
        <f t="shared" si="34"/>
        <v>1.6117648744317461</v>
      </c>
      <c r="U192" s="572">
        <f t="shared" si="34"/>
        <v>1.6985569532371874</v>
      </c>
      <c r="V192" s="572">
        <f t="shared" si="34"/>
        <v>1.8137853989009083</v>
      </c>
      <c r="W192" s="572">
        <f t="shared" si="34"/>
        <v>1.9415837455558564</v>
      </c>
      <c r="X192" s="572">
        <f t="shared" si="34"/>
        <v>2.0820594439975477</v>
      </c>
      <c r="Y192" s="572">
        <f t="shared" si="34"/>
        <v>2.1429650144217764</v>
      </c>
      <c r="Z192" s="572">
        <f t="shared" si="34"/>
        <v>2.0409379147604718</v>
      </c>
      <c r="AA192" s="572">
        <f t="shared" si="34"/>
        <v>2.1709104883111436</v>
      </c>
      <c r="AB192" s="572">
        <f t="shared" si="34"/>
        <v>2.307915392108979</v>
      </c>
      <c r="AC192" s="572">
        <f t="shared" si="34"/>
        <v>2.6818278571410339</v>
      </c>
      <c r="AD192" s="572">
        <f t="shared" si="34"/>
        <v>3.0835739181318469</v>
      </c>
      <c r="AE192" s="572">
        <f t="shared" si="34"/>
        <v>2.9981602031582302</v>
      </c>
      <c r="AF192" s="572">
        <f t="shared" si="34"/>
        <v>3.0304632247961396</v>
      </c>
      <c r="AG192" s="572">
        <f t="shared" si="34"/>
        <v>2.5867593062440206</v>
      </c>
      <c r="AH192" s="572">
        <f t="shared" si="34"/>
        <v>2.9327074027907405</v>
      </c>
      <c r="AI192" s="572">
        <f t="shared" si="34"/>
        <v>2.7899561343463106</v>
      </c>
      <c r="AJ192" s="572">
        <f t="shared" si="34"/>
        <v>3.1414393346352956</v>
      </c>
      <c r="AK192" s="572">
        <f t="shared" si="34"/>
        <v>3.2604350932930011</v>
      </c>
      <c r="AL192" s="572">
        <f t="shared" si="34"/>
        <v>3.3593191947838279</v>
      </c>
      <c r="AM192" s="572"/>
    </row>
    <row r="193" spans="1:39" ht="15.7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row>
    <row r="194" spans="1:39" ht="15.75" customHeight="1" x14ac:dyDescent="0.25">
      <c r="A194" s="3"/>
      <c r="B194" s="2141" t="s">
        <v>2139</v>
      </c>
      <c r="C194" s="2142"/>
      <c r="D194" s="2142"/>
      <c r="E194" s="2142"/>
      <c r="F194" s="2142"/>
      <c r="G194" s="2142"/>
      <c r="H194" s="2142"/>
      <c r="I194" s="2142"/>
      <c r="J194" s="2142"/>
      <c r="K194" s="2142"/>
      <c r="L194" s="2142"/>
      <c r="M194" s="2142"/>
      <c r="N194" s="2142"/>
      <c r="O194" s="2142"/>
      <c r="P194" s="2142"/>
      <c r="Q194" s="2142"/>
      <c r="R194" s="2142"/>
      <c r="S194" s="2142"/>
      <c r="T194" s="2142"/>
      <c r="U194" s="2142"/>
      <c r="V194" s="2142"/>
      <c r="W194" s="2142"/>
      <c r="X194" s="2142"/>
      <c r="Y194" s="2142"/>
      <c r="Z194" s="2142"/>
      <c r="AA194" s="2142"/>
      <c r="AB194" s="2142"/>
      <c r="AC194" s="2142"/>
      <c r="AD194" s="2142"/>
      <c r="AE194" s="2142"/>
      <c r="AF194" s="2142"/>
      <c r="AG194" s="2142"/>
      <c r="AH194" s="2142"/>
      <c r="AI194" s="2142"/>
      <c r="AJ194" s="2142"/>
      <c r="AK194" s="2142"/>
      <c r="AL194" s="2142"/>
      <c r="AM194" s="2145"/>
    </row>
    <row r="195" spans="1:39" ht="15.75" customHeight="1" x14ac:dyDescent="0.25">
      <c r="A195" s="3"/>
      <c r="B195" s="60" t="s">
        <v>2029</v>
      </c>
      <c r="C195" s="3"/>
      <c r="D195" s="60"/>
      <c r="E195" s="60"/>
      <c r="F195" s="60" t="s">
        <v>2033</v>
      </c>
      <c r="G195" s="60" t="s">
        <v>2034</v>
      </c>
      <c r="H195" s="60" t="s">
        <v>2035</v>
      </c>
      <c r="I195" s="60" t="s">
        <v>2036</v>
      </c>
      <c r="J195" s="60" t="s">
        <v>2037</v>
      </c>
      <c r="K195" s="60" t="s">
        <v>2038</v>
      </c>
      <c r="L195" s="60" t="s">
        <v>2039</v>
      </c>
      <c r="M195" s="60" t="s">
        <v>2040</v>
      </c>
      <c r="N195" s="60" t="s">
        <v>2041</v>
      </c>
      <c r="O195" s="60" t="s">
        <v>2042</v>
      </c>
      <c r="P195" s="60" t="s">
        <v>2043</v>
      </c>
      <c r="Q195" s="60" t="s">
        <v>2044</v>
      </c>
      <c r="R195" s="60" t="s">
        <v>2045</v>
      </c>
      <c r="S195" s="60" t="s">
        <v>2046</v>
      </c>
      <c r="T195" s="60" t="s">
        <v>2047</v>
      </c>
      <c r="U195" s="60" t="s">
        <v>2048</v>
      </c>
      <c r="V195" s="60" t="s">
        <v>2049</v>
      </c>
      <c r="W195" s="60" t="s">
        <v>2050</v>
      </c>
      <c r="X195" s="60" t="s">
        <v>2051</v>
      </c>
      <c r="Y195" s="60" t="s">
        <v>2052</v>
      </c>
      <c r="Z195" s="60" t="s">
        <v>2053</v>
      </c>
      <c r="AA195" s="60" t="s">
        <v>2054</v>
      </c>
      <c r="AB195" s="60" t="s">
        <v>2055</v>
      </c>
      <c r="AC195" s="60" t="s">
        <v>2056</v>
      </c>
      <c r="AD195" s="60" t="s">
        <v>2057</v>
      </c>
      <c r="AE195" s="60" t="s">
        <v>2058</v>
      </c>
      <c r="AF195" s="60" t="s">
        <v>2059</v>
      </c>
      <c r="AG195" s="60" t="s">
        <v>2060</v>
      </c>
      <c r="AH195" s="60" t="s">
        <v>2061</v>
      </c>
      <c r="AI195" s="60" t="s">
        <v>2062</v>
      </c>
      <c r="AJ195" s="60" t="s">
        <v>2063</v>
      </c>
      <c r="AK195" s="60" t="s">
        <v>2064</v>
      </c>
      <c r="AL195" s="60" t="s">
        <v>2065</v>
      </c>
      <c r="AM195" s="60"/>
    </row>
    <row r="196" spans="1:39" ht="15.75" customHeight="1" x14ac:dyDescent="0.25">
      <c r="A196" s="3"/>
      <c r="B196" s="3" t="s">
        <v>2066</v>
      </c>
      <c r="C196" s="3"/>
      <c r="D196" s="3"/>
      <c r="E196" s="3"/>
      <c r="F196" s="572">
        <f t="shared" ref="F196:AL201" si="35">SUMIF($B$106:$B$139,$B196,F$106:F$139)</f>
        <v>0</v>
      </c>
      <c r="G196" s="572">
        <f t="shared" si="35"/>
        <v>0</v>
      </c>
      <c r="H196" s="572">
        <f t="shared" si="35"/>
        <v>0</v>
      </c>
      <c r="I196" s="572">
        <f t="shared" si="35"/>
        <v>0</v>
      </c>
      <c r="J196" s="572">
        <f t="shared" si="35"/>
        <v>2.2531959001633438E-4</v>
      </c>
      <c r="K196" s="572">
        <f t="shared" si="35"/>
        <v>1.8985748548723165E-3</v>
      </c>
      <c r="L196" s="572">
        <f t="shared" si="35"/>
        <v>4.648655015856513E-3</v>
      </c>
      <c r="M196" s="572">
        <f t="shared" si="35"/>
        <v>8.9132963952210185E-3</v>
      </c>
      <c r="N196" s="572">
        <f t="shared" si="35"/>
        <v>1.4382161901083971E-2</v>
      </c>
      <c r="O196" s="572">
        <f t="shared" si="35"/>
        <v>2.1842060851323321E-2</v>
      </c>
      <c r="P196" s="572">
        <f t="shared" si="35"/>
        <v>2.9067430910941071E-2</v>
      </c>
      <c r="Q196" s="572">
        <f t="shared" si="35"/>
        <v>3.6040219336160112E-2</v>
      </c>
      <c r="R196" s="572">
        <f t="shared" si="35"/>
        <v>4.274983472073967E-2</v>
      </c>
      <c r="S196" s="572">
        <f t="shared" si="35"/>
        <v>4.8048153484639838E-2</v>
      </c>
      <c r="T196" s="572">
        <f t="shared" si="35"/>
        <v>5.3146620296594324E-2</v>
      </c>
      <c r="U196" s="572">
        <f t="shared" si="35"/>
        <v>5.7998595925985705E-2</v>
      </c>
      <c r="V196" s="572">
        <f t="shared" si="35"/>
        <v>6.2679765150384231E-2</v>
      </c>
      <c r="W196" s="572">
        <f t="shared" si="35"/>
        <v>6.7164097892557881E-2</v>
      </c>
      <c r="X196" s="572">
        <f t="shared" si="35"/>
        <v>7.1584721474075949E-2</v>
      </c>
      <c r="Y196" s="572">
        <f t="shared" si="35"/>
        <v>7.4851019111901534E-2</v>
      </c>
      <c r="Z196" s="572">
        <f t="shared" si="35"/>
        <v>7.9217293776869729E-2</v>
      </c>
      <c r="AA196" s="572">
        <f t="shared" si="35"/>
        <v>8.4181097728966911E-2</v>
      </c>
      <c r="AB196" s="572">
        <f t="shared" si="35"/>
        <v>8.933108208012025E-2</v>
      </c>
      <c r="AC196" s="572">
        <f t="shared" si="35"/>
        <v>9.3999519696495962E-2</v>
      </c>
      <c r="AD196" s="572">
        <f t="shared" si="35"/>
        <v>9.9902062900628294E-2</v>
      </c>
      <c r="AE196" s="572">
        <f t="shared" si="35"/>
        <v>0.10310174756227371</v>
      </c>
      <c r="AF196" s="572">
        <f t="shared" si="35"/>
        <v>0.10827317461763945</v>
      </c>
      <c r="AG196" s="572">
        <f t="shared" si="35"/>
        <v>0.11012268685955937</v>
      </c>
      <c r="AH196" s="572">
        <f t="shared" si="35"/>
        <v>0.1152022054339793</v>
      </c>
      <c r="AI196" s="572">
        <f t="shared" si="35"/>
        <v>0.11738708022370123</v>
      </c>
      <c r="AJ196" s="572">
        <f t="shared" si="35"/>
        <v>0.12231829960807922</v>
      </c>
      <c r="AK196" s="572">
        <f t="shared" si="35"/>
        <v>0.12484972070318319</v>
      </c>
      <c r="AL196" s="572">
        <f t="shared" si="35"/>
        <v>0.12697370798703797</v>
      </c>
      <c r="AM196" s="572"/>
    </row>
    <row r="197" spans="1:39" ht="15.75" customHeight="1" x14ac:dyDescent="0.25">
      <c r="A197" s="3"/>
      <c r="B197" s="3" t="s">
        <v>2068</v>
      </c>
      <c r="C197" s="3"/>
      <c r="D197" s="3"/>
      <c r="E197" s="3"/>
      <c r="F197" s="572">
        <f t="shared" si="35"/>
        <v>3.9327343564504247E-4</v>
      </c>
      <c r="G197" s="572">
        <f t="shared" si="35"/>
        <v>6.2173781228603241E-4</v>
      </c>
      <c r="H197" s="572">
        <f t="shared" si="35"/>
        <v>8.6989910902381703E-4</v>
      </c>
      <c r="I197" s="572">
        <f t="shared" si="35"/>
        <v>1.1384849336587891E-3</v>
      </c>
      <c r="J197" s="572">
        <f t="shared" si="35"/>
        <v>1.2263031872382178E-3</v>
      </c>
      <c r="K197" s="572">
        <f t="shared" si="35"/>
        <v>2.2341864636669425E-3</v>
      </c>
      <c r="L197" s="572">
        <f t="shared" si="35"/>
        <v>5.0777948966257494E-3</v>
      </c>
      <c r="M197" s="572">
        <f t="shared" si="35"/>
        <v>8.0681376463361421E-3</v>
      </c>
      <c r="N197" s="572">
        <f t="shared" si="35"/>
        <v>1.1234144989794165E-2</v>
      </c>
      <c r="O197" s="572">
        <f t="shared" si="35"/>
        <v>1.454384474290716E-2</v>
      </c>
      <c r="P197" s="572">
        <f t="shared" si="35"/>
        <v>1.5636726823552619E-2</v>
      </c>
      <c r="Q197" s="572">
        <f t="shared" si="35"/>
        <v>1.8754056972157207E-2</v>
      </c>
      <c r="R197" s="572">
        <f t="shared" si="35"/>
        <v>8.3039563851275436E-2</v>
      </c>
      <c r="S197" s="572">
        <f t="shared" si="35"/>
        <v>0.15858412316071308</v>
      </c>
      <c r="T197" s="572">
        <f t="shared" si="35"/>
        <v>0.17801675641294384</v>
      </c>
      <c r="U197" s="572">
        <f t="shared" si="35"/>
        <v>0.19783956688751969</v>
      </c>
      <c r="V197" s="572">
        <f t="shared" si="35"/>
        <v>0.2180178249244426</v>
      </c>
      <c r="W197" s="572">
        <f t="shared" si="35"/>
        <v>0.23850072584354243</v>
      </c>
      <c r="X197" s="572">
        <f t="shared" si="35"/>
        <v>0.25847717193282527</v>
      </c>
      <c r="Y197" s="572">
        <f t="shared" si="35"/>
        <v>0.34069588541130308</v>
      </c>
      <c r="Z197" s="572">
        <f t="shared" si="35"/>
        <v>0.40526188127954538</v>
      </c>
      <c r="AA197" s="572">
        <f t="shared" si="35"/>
        <v>0.44093771175946661</v>
      </c>
      <c r="AB197" s="572">
        <f t="shared" si="35"/>
        <v>0.47659029630339478</v>
      </c>
      <c r="AC197" s="572">
        <f t="shared" si="35"/>
        <v>0.58181440896059722</v>
      </c>
      <c r="AD197" s="572">
        <f t="shared" si="35"/>
        <v>0.67323995097359934</v>
      </c>
      <c r="AE197" s="572">
        <f t="shared" si="35"/>
        <v>0.73237449485083139</v>
      </c>
      <c r="AF197" s="572">
        <f t="shared" si="35"/>
        <v>0.75866591041651832</v>
      </c>
      <c r="AG197" s="572">
        <f t="shared" si="35"/>
        <v>0.7536156225895595</v>
      </c>
      <c r="AH197" s="572">
        <f t="shared" si="35"/>
        <v>0.80786474735060798</v>
      </c>
      <c r="AI197" s="572">
        <f t="shared" si="35"/>
        <v>0.79377634254903973</v>
      </c>
      <c r="AJ197" s="572">
        <f t="shared" si="35"/>
        <v>0.81582316036593694</v>
      </c>
      <c r="AK197" s="572">
        <f t="shared" si="35"/>
        <v>0.63658559968821615</v>
      </c>
      <c r="AL197" s="572">
        <f t="shared" si="35"/>
        <v>0.68784709642993924</v>
      </c>
      <c r="AM197" s="572"/>
    </row>
    <row r="198" spans="1:39" ht="15.75" customHeight="1" x14ac:dyDescent="0.25">
      <c r="A198" s="3"/>
      <c r="B198" s="3" t="s">
        <v>2073</v>
      </c>
      <c r="C198" s="3"/>
      <c r="D198" s="3"/>
      <c r="E198" s="3"/>
      <c r="F198" s="572">
        <f t="shared" si="35"/>
        <v>0</v>
      </c>
      <c r="G198" s="572">
        <f t="shared" si="35"/>
        <v>0</v>
      </c>
      <c r="H198" s="572">
        <f t="shared" si="35"/>
        <v>0</v>
      </c>
      <c r="I198" s="572">
        <f t="shared" si="35"/>
        <v>0</v>
      </c>
      <c r="J198" s="572">
        <f t="shared" si="35"/>
        <v>0</v>
      </c>
      <c r="K198" s="572">
        <f t="shared" si="35"/>
        <v>0</v>
      </c>
      <c r="L198" s="572">
        <f t="shared" si="35"/>
        <v>0</v>
      </c>
      <c r="M198" s="572">
        <f t="shared" si="35"/>
        <v>1.0265856810236431E-3</v>
      </c>
      <c r="N198" s="572">
        <f t="shared" si="35"/>
        <v>2.0786189220123263E-3</v>
      </c>
      <c r="O198" s="572">
        <f t="shared" si="35"/>
        <v>3.1542956911043947E-3</v>
      </c>
      <c r="P198" s="572">
        <f t="shared" si="35"/>
        <v>4.3679136644395287E-3</v>
      </c>
      <c r="Q198" s="572">
        <f t="shared" si="35"/>
        <v>9.9892484359226531E-3</v>
      </c>
      <c r="R198" s="572">
        <f t="shared" si="35"/>
        <v>1.578843026236286E-2</v>
      </c>
      <c r="S198" s="572">
        <f t="shared" si="35"/>
        <v>2.1731762555677086E-2</v>
      </c>
      <c r="T198" s="572">
        <f t="shared" si="35"/>
        <v>2.7859797127108493E-2</v>
      </c>
      <c r="U198" s="572">
        <f t="shared" si="35"/>
        <v>3.4165564147281502E-2</v>
      </c>
      <c r="V198" s="572">
        <f t="shared" si="35"/>
        <v>4.0574395420222648E-2</v>
      </c>
      <c r="W198" s="572">
        <f t="shared" si="35"/>
        <v>5.0513422592468347E-2</v>
      </c>
      <c r="X198" s="572">
        <f t="shared" si="35"/>
        <v>5.9381021566350459E-2</v>
      </c>
      <c r="Y198" s="572">
        <f t="shared" si="35"/>
        <v>6.7447661133220427E-2</v>
      </c>
      <c r="Z198" s="572">
        <f t="shared" si="35"/>
        <v>6.8484330641659028E-2</v>
      </c>
      <c r="AA198" s="572">
        <f t="shared" si="35"/>
        <v>7.706678827728132E-2</v>
      </c>
      <c r="AB198" s="572">
        <f t="shared" si="35"/>
        <v>7.7176997395955876E-2</v>
      </c>
      <c r="AC198" s="572">
        <f t="shared" si="35"/>
        <v>9.0519803072835303E-2</v>
      </c>
      <c r="AD198" s="572">
        <f t="shared" si="35"/>
        <v>9.3456923873118755E-2</v>
      </c>
      <c r="AE198" s="572">
        <f t="shared" si="35"/>
        <v>8.1345252364232359E-2</v>
      </c>
      <c r="AF198" s="572">
        <f t="shared" si="35"/>
        <v>9.6271194273896687E-2</v>
      </c>
      <c r="AG198" s="572">
        <f t="shared" si="35"/>
        <v>0.10527792570724789</v>
      </c>
      <c r="AH198" s="572">
        <f t="shared" si="35"/>
        <v>0.13068643421240492</v>
      </c>
      <c r="AI198" s="572">
        <f t="shared" si="35"/>
        <v>0.12974927423624702</v>
      </c>
      <c r="AJ198" s="572">
        <f t="shared" si="35"/>
        <v>0.14255804693816052</v>
      </c>
      <c r="AK198" s="572">
        <f t="shared" si="35"/>
        <v>0.14469866335032128</v>
      </c>
      <c r="AL198" s="572">
        <f t="shared" si="35"/>
        <v>8.7957538737625449E-2</v>
      </c>
      <c r="AM198" s="572"/>
    </row>
    <row r="199" spans="1:39" ht="15.75" customHeight="1" x14ac:dyDescent="0.25">
      <c r="A199" s="3"/>
      <c r="B199" s="3" t="s">
        <v>2074</v>
      </c>
      <c r="C199" s="3"/>
      <c r="D199" s="3"/>
      <c r="E199" s="3"/>
      <c r="F199" s="572">
        <f t="shared" si="35"/>
        <v>1.3754024600626417E-2</v>
      </c>
      <c r="G199" s="572">
        <f t="shared" si="35"/>
        <v>3.0150608716945367E-2</v>
      </c>
      <c r="H199" s="572">
        <f t="shared" si="35"/>
        <v>3.0078155851213689E-2</v>
      </c>
      <c r="I199" s="572">
        <f t="shared" si="35"/>
        <v>2.9979021610693629E-2</v>
      </c>
      <c r="J199" s="572">
        <f t="shared" si="35"/>
        <v>7.0793907646518758E-2</v>
      </c>
      <c r="K199" s="572">
        <f t="shared" si="35"/>
        <v>0.45344320064544663</v>
      </c>
      <c r="L199" s="572">
        <f t="shared" si="35"/>
        <v>0.52277830923215485</v>
      </c>
      <c r="M199" s="572">
        <f t="shared" si="35"/>
        <v>0.58395383793974109</v>
      </c>
      <c r="N199" s="572">
        <f t="shared" si="35"/>
        <v>0.61710980031894913</v>
      </c>
      <c r="O199" s="572">
        <f t="shared" si="35"/>
        <v>0.63596794510094878</v>
      </c>
      <c r="P199" s="572">
        <f t="shared" si="35"/>
        <v>0.64549443701904807</v>
      </c>
      <c r="Q199" s="572">
        <f t="shared" si="35"/>
        <v>0.62675495060457076</v>
      </c>
      <c r="R199" s="572">
        <f t="shared" si="35"/>
        <v>0.60362369997230636</v>
      </c>
      <c r="S199" s="572">
        <f t="shared" si="35"/>
        <v>0.57969125442886604</v>
      </c>
      <c r="T199" s="572">
        <f t="shared" si="35"/>
        <v>0.55105020234334046</v>
      </c>
      <c r="U199" s="572">
        <f t="shared" si="35"/>
        <v>0.52179685753000404</v>
      </c>
      <c r="V199" s="572">
        <f t="shared" si="35"/>
        <v>0.55528263417083401</v>
      </c>
      <c r="W199" s="572">
        <f t="shared" si="35"/>
        <v>0.59268693103549286</v>
      </c>
      <c r="X199" s="572">
        <f t="shared" si="35"/>
        <v>0.6254444630913969</v>
      </c>
      <c r="Y199" s="572">
        <f t="shared" si="35"/>
        <v>0.68942619849565789</v>
      </c>
      <c r="Z199" s="572">
        <f t="shared" si="35"/>
        <v>0.68902865134470392</v>
      </c>
      <c r="AA199" s="572">
        <f t="shared" si="35"/>
        <v>0.73669328260570599</v>
      </c>
      <c r="AB199" s="572">
        <f t="shared" si="35"/>
        <v>0.78083333924184029</v>
      </c>
      <c r="AC199" s="572">
        <f t="shared" si="35"/>
        <v>0.98279437144076376</v>
      </c>
      <c r="AD199" s="572">
        <f t="shared" si="35"/>
        <v>1.1372744136819573</v>
      </c>
      <c r="AE199" s="572">
        <f t="shared" si="35"/>
        <v>1.1254299566868868</v>
      </c>
      <c r="AF199" s="572">
        <f t="shared" si="35"/>
        <v>0.98966709607764902</v>
      </c>
      <c r="AG199" s="572">
        <f t="shared" si="35"/>
        <v>0.83167677424756892</v>
      </c>
      <c r="AH199" s="572">
        <f t="shared" si="35"/>
        <v>0.8162586630382751</v>
      </c>
      <c r="AI199" s="572">
        <f t="shared" si="35"/>
        <v>0.8155057840497888</v>
      </c>
      <c r="AJ199" s="572">
        <f t="shared" si="35"/>
        <v>0.90178642565622547</v>
      </c>
      <c r="AK199" s="572">
        <f t="shared" si="35"/>
        <v>0.92111830538142159</v>
      </c>
      <c r="AL199" s="572">
        <f t="shared" si="35"/>
        <v>0.93895564498199602</v>
      </c>
      <c r="AM199" s="572"/>
    </row>
    <row r="200" spans="1:39" ht="15.75" customHeight="1" x14ac:dyDescent="0.25">
      <c r="A200" s="3"/>
      <c r="B200" s="3" t="s">
        <v>2069</v>
      </c>
      <c r="C200" s="3"/>
      <c r="D200" s="3"/>
      <c r="E200" s="3"/>
      <c r="F200" s="572">
        <f t="shared" si="35"/>
        <v>9.2553356028839866E-4</v>
      </c>
      <c r="G200" s="572">
        <f t="shared" si="35"/>
        <v>9.6397269673783909E-4</v>
      </c>
      <c r="H200" s="572">
        <f t="shared" si="35"/>
        <v>5.610842608881967E-2</v>
      </c>
      <c r="I200" s="572">
        <f t="shared" si="35"/>
        <v>0.24693986785476632</v>
      </c>
      <c r="J200" s="572">
        <f t="shared" si="35"/>
        <v>0.60100932411790986</v>
      </c>
      <c r="K200" s="572">
        <f t="shared" si="35"/>
        <v>0.96241589655495507</v>
      </c>
      <c r="L200" s="572">
        <f t="shared" si="35"/>
        <v>1.4049123266706534</v>
      </c>
      <c r="M200" s="572">
        <f t="shared" si="35"/>
        <v>1.8751369137426979</v>
      </c>
      <c r="N200" s="572">
        <f t="shared" si="35"/>
        <v>2.2204128462817683</v>
      </c>
      <c r="O200" s="572">
        <f t="shared" si="35"/>
        <v>2.5821488279927816</v>
      </c>
      <c r="P200" s="572">
        <f t="shared" si="35"/>
        <v>2.9189118708682229</v>
      </c>
      <c r="Q200" s="572">
        <f t="shared" si="35"/>
        <v>3.2692028584734931</v>
      </c>
      <c r="R200" s="572">
        <f t="shared" si="35"/>
        <v>3.4739200548021576</v>
      </c>
      <c r="S200" s="572">
        <f t="shared" si="35"/>
        <v>3.6462640497823595</v>
      </c>
      <c r="T200" s="572">
        <f t="shared" si="35"/>
        <v>3.8295988790399069</v>
      </c>
      <c r="U200" s="572">
        <f t="shared" si="35"/>
        <v>4.0238314212349691</v>
      </c>
      <c r="V200" s="572">
        <f t="shared" si="35"/>
        <v>4.2344154806920145</v>
      </c>
      <c r="W200" s="572">
        <f t="shared" si="35"/>
        <v>4.4601126046855688</v>
      </c>
      <c r="X200" s="572">
        <f t="shared" si="35"/>
        <v>4.7211175572298947</v>
      </c>
      <c r="Y200" s="572">
        <f t="shared" si="35"/>
        <v>4.7135913060135177</v>
      </c>
      <c r="Z200" s="572">
        <f t="shared" si="35"/>
        <v>4.261372236115367</v>
      </c>
      <c r="AA200" s="572">
        <f t="shared" si="35"/>
        <v>4.3817205589222299</v>
      </c>
      <c r="AB200" s="572">
        <f t="shared" si="35"/>
        <v>4.5056272434025004</v>
      </c>
      <c r="AC200" s="572">
        <f t="shared" si="35"/>
        <v>5.2023895248053798</v>
      </c>
      <c r="AD200" s="572">
        <f t="shared" si="35"/>
        <v>5.9382003736185744</v>
      </c>
      <c r="AE200" s="572">
        <f t="shared" si="35"/>
        <v>5.6432345241311541</v>
      </c>
      <c r="AF200" s="572">
        <f t="shared" si="35"/>
        <v>5.6705306707400585</v>
      </c>
      <c r="AG200" s="572">
        <f t="shared" si="35"/>
        <v>4.7582760285435226</v>
      </c>
      <c r="AH200" s="572">
        <f t="shared" si="35"/>
        <v>5.4577498809803888</v>
      </c>
      <c r="AI200" s="572">
        <f t="shared" si="35"/>
        <v>5.1680493652627266</v>
      </c>
      <c r="AJ200" s="572">
        <f t="shared" si="35"/>
        <v>5.9155006909050591</v>
      </c>
      <c r="AK200" s="572">
        <f t="shared" si="35"/>
        <v>6.3046556470029351</v>
      </c>
      <c r="AL200" s="572">
        <f t="shared" si="35"/>
        <v>6.51392494021343</v>
      </c>
      <c r="AM200" s="572"/>
    </row>
    <row r="201" spans="1:39" ht="15.75" customHeight="1" x14ac:dyDescent="0.25">
      <c r="A201" s="3"/>
      <c r="B201" s="3" t="s">
        <v>2080</v>
      </c>
      <c r="C201" s="3"/>
      <c r="D201" s="3"/>
      <c r="E201" s="3"/>
      <c r="F201" s="572">
        <f t="shared" si="35"/>
        <v>0</v>
      </c>
      <c r="G201" s="572">
        <f t="shared" si="35"/>
        <v>0</v>
      </c>
      <c r="H201" s="572">
        <f t="shared" si="35"/>
        <v>0</v>
      </c>
      <c r="I201" s="572">
        <f t="shared" si="35"/>
        <v>0</v>
      </c>
      <c r="J201" s="572">
        <f t="shared" si="35"/>
        <v>0</v>
      </c>
      <c r="K201" s="572">
        <f t="shared" si="35"/>
        <v>5.9431023392928786E-2</v>
      </c>
      <c r="L201" s="572">
        <f t="shared" si="35"/>
        <v>0.1291781911585925</v>
      </c>
      <c r="M201" s="572">
        <f t="shared" si="35"/>
        <v>0.13983905904387151</v>
      </c>
      <c r="N201" s="572">
        <f t="shared" si="35"/>
        <v>0.14227027414622379</v>
      </c>
      <c r="O201" s="572">
        <f t="shared" si="35"/>
        <v>0.14484235388896705</v>
      </c>
      <c r="P201" s="572">
        <f t="shared" si="35"/>
        <v>0.13257762138439705</v>
      </c>
      <c r="Q201" s="572">
        <f t="shared" si="35"/>
        <v>0.12008019359977594</v>
      </c>
      <c r="R201" s="572">
        <f t="shared" si="35"/>
        <v>0.10705602545082554</v>
      </c>
      <c r="S201" s="572">
        <f t="shared" si="35"/>
        <v>9.3244951960560318E-2</v>
      </c>
      <c r="T201" s="572">
        <f t="shared" si="35"/>
        <v>9.5116931889525705E-2</v>
      </c>
      <c r="U201" s="572">
        <f t="shared" si="35"/>
        <v>9.5438656111496656E-2</v>
      </c>
      <c r="V201" s="572">
        <f t="shared" si="35"/>
        <v>9.5514311759381881E-2</v>
      </c>
      <c r="W201" s="572">
        <f t="shared" si="35"/>
        <v>9.5433047980709437E-2</v>
      </c>
      <c r="X201" s="572">
        <f t="shared" si="35"/>
        <v>9.5419820336065303E-2</v>
      </c>
      <c r="Y201" s="572">
        <f t="shared" si="35"/>
        <v>9.5673661380565253E-2</v>
      </c>
      <c r="Z201" s="572">
        <f t="shared" si="35"/>
        <v>9.7784910218402188E-2</v>
      </c>
      <c r="AA201" s="572">
        <f t="shared" si="35"/>
        <v>9.9921397701715681E-2</v>
      </c>
      <c r="AB201" s="572">
        <f t="shared" si="35"/>
        <v>0.10203318234352711</v>
      </c>
      <c r="AC201" s="572">
        <f t="shared" si="35"/>
        <v>0.10402426790930927</v>
      </c>
      <c r="AD201" s="572">
        <f t="shared" si="35"/>
        <v>0.1059779153224492</v>
      </c>
      <c r="AE201" s="572">
        <f t="shared" si="35"/>
        <v>0.10784682703532115</v>
      </c>
      <c r="AF201" s="572">
        <f t="shared" si="35"/>
        <v>0.10957893647893663</v>
      </c>
      <c r="AG201" s="572">
        <f t="shared" si="35"/>
        <v>0.11149353166092983</v>
      </c>
      <c r="AH201" s="572">
        <f t="shared" si="35"/>
        <v>0.11344031123521195</v>
      </c>
      <c r="AI201" s="572">
        <f t="shared" si="35"/>
        <v>0.11543415356406504</v>
      </c>
      <c r="AJ201" s="572">
        <f t="shared" si="35"/>
        <v>0.11887177959295113</v>
      </c>
      <c r="AK201" s="572">
        <f t="shared" si="35"/>
        <v>0.12109653922267896</v>
      </c>
      <c r="AL201" s="572">
        <f t="shared" si="35"/>
        <v>0.12287478918635014</v>
      </c>
      <c r="AM201" s="572"/>
    </row>
    <row r="202" spans="1:39" ht="15.75" customHeight="1" x14ac:dyDescent="0.25">
      <c r="A202" s="3"/>
      <c r="B202" s="3"/>
      <c r="C202" s="3"/>
      <c r="D202" s="3"/>
      <c r="E202" s="3"/>
      <c r="F202" s="572"/>
      <c r="G202" s="572"/>
      <c r="H202" s="572"/>
      <c r="I202" s="572"/>
      <c r="J202" s="572"/>
      <c r="K202" s="572"/>
      <c r="L202" s="572"/>
      <c r="M202" s="572"/>
      <c r="N202" s="572"/>
      <c r="O202" s="572"/>
      <c r="P202" s="572"/>
      <c r="Q202" s="572"/>
      <c r="R202" s="572"/>
      <c r="S202" s="572"/>
      <c r="T202" s="572"/>
      <c r="U202" s="572"/>
      <c r="V202" s="572"/>
      <c r="W202" s="572"/>
      <c r="X202" s="572"/>
      <c r="Y202" s="572"/>
      <c r="Z202" s="572"/>
      <c r="AA202" s="572"/>
      <c r="AB202" s="572"/>
      <c r="AC202" s="572"/>
      <c r="AD202" s="572"/>
      <c r="AE202" s="572"/>
      <c r="AF202" s="572"/>
      <c r="AG202" s="572"/>
      <c r="AH202" s="572"/>
      <c r="AI202" s="572"/>
      <c r="AJ202" s="572"/>
      <c r="AK202" s="572"/>
      <c r="AL202" s="572"/>
      <c r="AM202" s="572"/>
    </row>
    <row r="203" spans="1:39" ht="15.75" customHeight="1" x14ac:dyDescent="0.25">
      <c r="A203" s="3"/>
      <c r="B203" s="3" t="s">
        <v>2137</v>
      </c>
      <c r="C203" s="3"/>
      <c r="D203" s="3"/>
      <c r="E203" s="3"/>
      <c r="F203" s="572">
        <f t="shared" ref="F203:AL203" si="36">SUM(F196:F201)</f>
        <v>1.5072831596559857E-2</v>
      </c>
      <c r="G203" s="572">
        <f t="shared" si="36"/>
        <v>3.1736319225969235E-2</v>
      </c>
      <c r="H203" s="572">
        <f t="shared" si="36"/>
        <v>8.705648104905718E-2</v>
      </c>
      <c r="I203" s="572">
        <f t="shared" si="36"/>
        <v>0.27805737439911876</v>
      </c>
      <c r="J203" s="572">
        <f t="shared" si="36"/>
        <v>0.67325485454168321</v>
      </c>
      <c r="K203" s="572">
        <f t="shared" si="36"/>
        <v>1.4794228819118695</v>
      </c>
      <c r="L203" s="572">
        <f t="shared" si="36"/>
        <v>2.0665952769738829</v>
      </c>
      <c r="M203" s="572">
        <f t="shared" si="36"/>
        <v>2.6169378304488911</v>
      </c>
      <c r="N203" s="572">
        <f t="shared" si="36"/>
        <v>3.0074878465598318</v>
      </c>
      <c r="O203" s="572">
        <f t="shared" si="36"/>
        <v>3.4024993282680325</v>
      </c>
      <c r="P203" s="572">
        <f t="shared" si="36"/>
        <v>3.7460560006706012</v>
      </c>
      <c r="Q203" s="572">
        <f t="shared" si="36"/>
        <v>4.0808215274220796</v>
      </c>
      <c r="R203" s="572">
        <f t="shared" si="36"/>
        <v>4.3261776090596671</v>
      </c>
      <c r="S203" s="572">
        <f t="shared" si="36"/>
        <v>4.5475642953728164</v>
      </c>
      <c r="T203" s="572">
        <f t="shared" si="36"/>
        <v>4.7347891871094197</v>
      </c>
      <c r="U203" s="572">
        <f t="shared" si="36"/>
        <v>4.9310706618372562</v>
      </c>
      <c r="V203" s="572">
        <f t="shared" si="36"/>
        <v>5.2064844121172795</v>
      </c>
      <c r="W203" s="572">
        <f t="shared" si="36"/>
        <v>5.5044108300303396</v>
      </c>
      <c r="X203" s="572">
        <f t="shared" si="36"/>
        <v>5.8314247556306089</v>
      </c>
      <c r="Y203" s="572">
        <f t="shared" si="36"/>
        <v>5.9816857315461656</v>
      </c>
      <c r="Z203" s="572">
        <f t="shared" si="36"/>
        <v>5.6011493033765474</v>
      </c>
      <c r="AA203" s="572">
        <f t="shared" si="36"/>
        <v>5.8205208369953656</v>
      </c>
      <c r="AB203" s="572">
        <f t="shared" si="36"/>
        <v>6.031592140767339</v>
      </c>
      <c r="AC203" s="572">
        <f t="shared" si="36"/>
        <v>7.0555418958853808</v>
      </c>
      <c r="AD203" s="572">
        <f t="shared" si="36"/>
        <v>8.0480516403703284</v>
      </c>
      <c r="AE203" s="572">
        <f t="shared" si="36"/>
        <v>7.7933328026307001</v>
      </c>
      <c r="AF203" s="572">
        <f t="shared" si="36"/>
        <v>7.7329869826046993</v>
      </c>
      <c r="AG203" s="572">
        <f t="shared" si="36"/>
        <v>6.6704625696083877</v>
      </c>
      <c r="AH203" s="572">
        <f t="shared" si="36"/>
        <v>7.4412022422508679</v>
      </c>
      <c r="AI203" s="572">
        <f t="shared" si="36"/>
        <v>7.1399019998855682</v>
      </c>
      <c r="AJ203" s="572">
        <f t="shared" si="36"/>
        <v>8.0168584030664114</v>
      </c>
      <c r="AK203" s="572">
        <f t="shared" si="36"/>
        <v>8.2530044753487566</v>
      </c>
      <c r="AL203" s="572">
        <f t="shared" si="36"/>
        <v>8.4785337175363775</v>
      </c>
      <c r="AM203" s="572"/>
    </row>
    <row r="204" spans="1:39" ht="15.7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row>
    <row r="205" spans="1:39"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row>
    <row r="206" spans="1:39"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row>
    <row r="207" spans="1:39"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row>
    <row r="208" spans="1:39"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row>
    <row r="209" spans="1:39"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row>
    <row r="210" spans="1:39"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row>
    <row r="211" spans="1:39"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row>
    <row r="212" spans="1:39"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row>
    <row r="213" spans="1:39"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row>
    <row r="214" spans="1:39"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row>
    <row r="215" spans="1:39"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row>
    <row r="216" spans="1:39"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row>
    <row r="217" spans="1:39"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row>
    <row r="218" spans="1:39"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row>
    <row r="219" spans="1:39"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row>
    <row r="220" spans="1:39"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row>
    <row r="221" spans="1:39" ht="15.7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row>
    <row r="222" spans="1:39" ht="15.7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row>
    <row r="223" spans="1:39" ht="15.7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row>
    <row r="224" spans="1:39" ht="15.7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row>
    <row r="225" spans="1:39" ht="15.7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row>
    <row r="226" spans="1:39" ht="15.7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row>
    <row r="227" spans="1:39" ht="15.7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row>
    <row r="228" spans="1:39" ht="15.7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row>
    <row r="229" spans="1:39" ht="15.7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row>
    <row r="230" spans="1:39" ht="15.7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row>
    <row r="231" spans="1:39" ht="15.7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row>
    <row r="232" spans="1:39" ht="15.7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row>
    <row r="233" spans="1:39" ht="15.7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row>
    <row r="234" spans="1:39" ht="15.7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row>
    <row r="235" spans="1:39" ht="15.7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row>
    <row r="236" spans="1:39" ht="15.7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row>
    <row r="237" spans="1:39" ht="15.7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row>
    <row r="238" spans="1:39" ht="15.7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row>
    <row r="239" spans="1:39" ht="15.7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row>
    <row r="240" spans="1:39" ht="15.7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row>
    <row r="241" spans="1:39" ht="15.7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row>
    <row r="242" spans="1:39" ht="15.7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row>
    <row r="243" spans="1:39" ht="15.7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row>
    <row r="244" spans="1:39" ht="15.7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row>
    <row r="245" spans="1:39" ht="15.7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row>
    <row r="246" spans="1:39" ht="15.7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row>
    <row r="247" spans="1:39" ht="15.7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row>
    <row r="248" spans="1:39" ht="15.7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row>
    <row r="249" spans="1:39" ht="15.7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row>
    <row r="250" spans="1:39" ht="15.7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row>
    <row r="251" spans="1:39" ht="15.75" customHeight="1"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row>
    <row r="252" spans="1:39" ht="15.75" customHeight="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row>
    <row r="253" spans="1:39" ht="15.75" customHeight="1"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row>
    <row r="254" spans="1:39" ht="15.75" customHeight="1"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row>
    <row r="255" spans="1:39" ht="15.75" customHeight="1"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row>
    <row r="256" spans="1:39" ht="15.75" customHeight="1"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row>
    <row r="257" spans="1:39" ht="15.75" customHeight="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row>
    <row r="258" spans="1:39" ht="15.75" customHeight="1"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row>
    <row r="259" spans="1:39" ht="15.75" customHeight="1"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row>
    <row r="260" spans="1:39" ht="15.75" customHeight="1"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row>
    <row r="261" spans="1:39" ht="15.75" customHeight="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row>
    <row r="262" spans="1:39" ht="15.75" customHeight="1"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row>
    <row r="263" spans="1:39" ht="15.75"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row>
    <row r="264" spans="1:39" ht="15.75"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row>
    <row r="265" spans="1:39" ht="15.75" customHeight="1"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row>
    <row r="266" spans="1:39" ht="15.75" customHeight="1"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row>
    <row r="267" spans="1:39" ht="15.75" customHeight="1"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row>
    <row r="268" spans="1:39" ht="15.75" customHeight="1"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row>
    <row r="269" spans="1:39" ht="15.75" customHeight="1"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row>
    <row r="270" spans="1:39" ht="15.75" customHeight="1"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row>
    <row r="271" spans="1:39" ht="15.75" customHeight="1"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row>
    <row r="272" spans="1:39" ht="15.75" customHeight="1"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row>
    <row r="273" spans="1:39" ht="15.75" customHeight="1"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row>
    <row r="274" spans="1:39" ht="15.75" customHeight="1"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row>
    <row r="275" spans="1:39" ht="15.75" customHeight="1"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row>
    <row r="276" spans="1:39" ht="15.75" customHeight="1"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row>
    <row r="277" spans="1:39" ht="15.75" customHeight="1"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row>
    <row r="278" spans="1:39" ht="15.75" customHeight="1"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row>
    <row r="279" spans="1:39" ht="15.75" customHeight="1"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row>
    <row r="280" spans="1:39" ht="15.75" customHeight="1"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row>
    <row r="281" spans="1:39" ht="15.75" customHeight="1"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row>
    <row r="282" spans="1:39" ht="15.75" customHeight="1"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row>
    <row r="283" spans="1:39" ht="15.75" customHeight="1"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row>
    <row r="284" spans="1:39" ht="15.75" customHeight="1"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row>
    <row r="285" spans="1:39" ht="15.75" customHeight="1"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row>
    <row r="286" spans="1:39" ht="15.75" customHeight="1"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row>
    <row r="287" spans="1:39" ht="15.75" customHeight="1"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row>
    <row r="288" spans="1:39" ht="15.75" customHeight="1"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row>
    <row r="289" spans="1:39" ht="15.75" customHeight="1"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row>
    <row r="290" spans="1:39" ht="15.75" customHeight="1"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row>
    <row r="291" spans="1:39" ht="15.75" customHeight="1"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row>
    <row r="292" spans="1:39" ht="15.75" customHeight="1"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row>
    <row r="293" spans="1:39" ht="15.75" customHeight="1"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row>
    <row r="294" spans="1:39" ht="15.75" customHeight="1"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row>
    <row r="295" spans="1:39" ht="15.75" customHeight="1"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row>
    <row r="296" spans="1:39" ht="15.75" customHeight="1"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row>
    <row r="297" spans="1:39" ht="15.75" customHeight="1"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row>
    <row r="298" spans="1:39" ht="15.75" customHeight="1"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row>
    <row r="299" spans="1:39" ht="15.75" customHeight="1"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row>
    <row r="300" spans="1:39" ht="15.75" customHeight="1"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row>
    <row r="301" spans="1:39" ht="15.75" customHeight="1"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row>
    <row r="302" spans="1:39" ht="15.75" customHeight="1"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row>
    <row r="303" spans="1:39" ht="15.75" customHeight="1"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row>
    <row r="304" spans="1:39" ht="15.75" customHeight="1"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row>
    <row r="305" spans="1:39" ht="15.75" customHeight="1"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row>
    <row r="306" spans="1:39" ht="15.75" customHeight="1"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row>
    <row r="307" spans="1:39" ht="15.75" customHeight="1"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row>
    <row r="308" spans="1:39" ht="15.75" customHeight="1"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row>
    <row r="309" spans="1:39" ht="15.75" customHeight="1"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row>
    <row r="310" spans="1:39" ht="15.75" customHeight="1"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row>
    <row r="311" spans="1:39" ht="15.75" customHeight="1"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row>
    <row r="312" spans="1:39" ht="15.75" customHeight="1"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row>
    <row r="313" spans="1:39" ht="15.75" customHeight="1"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row>
    <row r="314" spans="1:39" ht="15.75" customHeight="1"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row>
    <row r="315" spans="1:39" ht="15.75" customHeight="1"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row>
    <row r="316" spans="1:39" ht="15.75" customHeight="1"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row>
    <row r="317" spans="1:39" ht="15.75" customHeight="1"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row>
    <row r="318" spans="1:39" ht="15.75" customHeight="1"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row>
    <row r="319" spans="1:39" ht="15.75" customHeight="1"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row>
    <row r="320" spans="1:39" ht="15.75" customHeight="1"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row>
    <row r="321" spans="1:39" ht="15.75" customHeight="1"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row>
    <row r="322" spans="1:39" ht="15.75" customHeight="1"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row>
    <row r="323" spans="1:39" ht="15.75" customHeight="1"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row>
    <row r="324" spans="1:39" ht="15.75" customHeight="1"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row>
    <row r="325" spans="1:39" ht="15.75" customHeight="1"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row>
    <row r="326" spans="1:39" ht="15.75" customHeight="1"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row>
    <row r="327" spans="1:39" ht="15.75" customHeight="1"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row>
    <row r="328" spans="1:39" ht="15.75" customHeight="1"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row>
    <row r="329" spans="1:39" ht="15.75" customHeight="1"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row>
    <row r="330" spans="1:39" ht="15.75" customHeight="1"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row>
    <row r="331" spans="1:39" ht="15.75" customHeight="1"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row>
    <row r="332" spans="1:39" ht="15.75" customHeight="1"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row>
    <row r="333" spans="1:39" ht="15.75" customHeight="1"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row>
    <row r="334" spans="1:39" ht="15.75" customHeight="1"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row>
    <row r="335" spans="1:39" ht="15.75" customHeight="1"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row>
    <row r="336" spans="1:39" ht="15.75" customHeight="1"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row>
    <row r="337" spans="1:39" ht="15.75" customHeight="1"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row>
    <row r="338" spans="1:39" ht="15.75" customHeight="1"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row>
    <row r="339" spans="1:39" ht="15.75" customHeight="1"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row>
    <row r="340" spans="1:39" ht="15.75" customHeight="1"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row>
    <row r="341" spans="1:39" ht="15.75" customHeight="1"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row>
    <row r="342" spans="1:39" ht="15.75" customHeight="1"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row>
    <row r="343" spans="1:39" ht="15.75" customHeight="1"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row>
    <row r="344" spans="1:39" ht="15.75" customHeight="1"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row>
    <row r="345" spans="1:39" ht="15.75" customHeight="1"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row>
    <row r="346" spans="1:39" ht="15.75" customHeight="1"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row>
    <row r="347" spans="1:39" ht="15.75" customHeight="1"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row>
    <row r="348" spans="1:39" ht="15.75" customHeight="1"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row>
    <row r="349" spans="1:39" ht="15.75" customHeight="1"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row>
    <row r="350" spans="1:39" ht="15.75" customHeight="1"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row>
    <row r="351" spans="1:39" ht="15.75" customHeight="1"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row>
    <row r="352" spans="1:39" ht="15.75" customHeight="1"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row>
    <row r="353" spans="1:39" ht="15.75" customHeight="1"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row>
    <row r="354" spans="1:39" ht="15.75" customHeight="1"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row>
    <row r="355" spans="1:39" ht="15.75" customHeight="1"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row>
    <row r="356" spans="1:39" ht="15.75" customHeight="1"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row>
    <row r="357" spans="1:39" ht="15.75" customHeight="1"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row>
    <row r="358" spans="1:39" ht="15.75" customHeight="1"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row>
    <row r="359" spans="1:39" ht="15.75" customHeight="1"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row>
    <row r="360" spans="1:39" ht="15.75" customHeight="1"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row>
    <row r="361" spans="1:39" ht="15.75" customHeight="1"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row>
    <row r="362" spans="1:39" ht="15.75" customHeight="1"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row>
    <row r="363" spans="1:39" ht="15.75" customHeight="1"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row>
    <row r="364" spans="1:39" ht="15.75" customHeight="1"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row>
    <row r="365" spans="1:39" ht="15.75" customHeight="1"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row>
    <row r="366" spans="1:39" ht="15.75" customHeight="1"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row>
    <row r="367" spans="1:39" ht="15.75" customHeight="1"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row>
    <row r="368" spans="1:39" ht="15.75" customHeight="1"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row>
    <row r="369" spans="1:39" ht="15.75" customHeight="1"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row>
    <row r="370" spans="1:39" ht="15.75" customHeight="1"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row>
    <row r="371" spans="1:39" ht="15.75" customHeight="1"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row>
    <row r="372" spans="1:39" ht="15.75" customHeight="1"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row>
    <row r="373" spans="1:39" ht="15.75" customHeight="1"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row>
    <row r="374" spans="1:39" ht="15.75" customHeight="1"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row>
    <row r="375" spans="1:39" ht="15.75" customHeight="1"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row>
    <row r="376" spans="1:39" ht="15.75" customHeight="1"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row>
    <row r="377" spans="1:39" ht="15.75" customHeight="1"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row>
    <row r="378" spans="1:39" ht="15.75" customHeight="1"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row>
    <row r="379" spans="1:39" ht="15.75" customHeight="1"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row>
    <row r="380" spans="1:39" ht="15.75" customHeight="1"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row>
    <row r="381" spans="1:39" ht="15.75" customHeight="1"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row>
    <row r="382" spans="1:39" ht="15.75" customHeight="1"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row>
    <row r="383" spans="1:39" ht="15.75" customHeight="1"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row>
    <row r="384" spans="1:39" ht="15.75" customHeight="1"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row>
    <row r="385" spans="1:39" ht="15.75" customHeight="1"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row>
    <row r="386" spans="1:39" ht="15.75" customHeight="1"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row>
    <row r="387" spans="1:39" ht="15.75" customHeight="1"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row>
    <row r="388" spans="1:39" ht="15.75" customHeight="1"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row>
    <row r="389" spans="1:39" ht="15.75" customHeight="1"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row>
    <row r="390" spans="1:39" ht="15.75" customHeight="1"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row>
    <row r="391" spans="1:39" ht="15.75" customHeight="1"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row>
    <row r="392" spans="1:39" ht="15.75" customHeight="1"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row>
    <row r="393" spans="1:39" ht="15.75" customHeight="1"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row>
    <row r="394" spans="1:39" ht="15.75" customHeight="1"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row>
    <row r="395" spans="1:39" ht="15.75" customHeight="1"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row>
    <row r="396" spans="1:39" ht="15.75" customHeight="1"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row>
    <row r="397" spans="1:39" ht="15.75" customHeight="1"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row>
    <row r="398" spans="1:39" ht="15.75" customHeight="1"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row>
    <row r="399" spans="1:39" ht="15.75" customHeight="1"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row>
    <row r="400" spans="1:39" ht="15.75" customHeight="1"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row>
    <row r="401" spans="1:39" ht="15.75" customHeight="1"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row>
    <row r="402" spans="1:39" ht="15.75" customHeight="1"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row>
    <row r="403" spans="1:39" ht="15.75" customHeight="1"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row>
    <row r="404" spans="1:39" ht="15.75" customHeight="1"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row>
    <row r="405" spans="1:39" ht="15.75" customHeight="1"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row>
    <row r="406" spans="1:39" ht="15.75" customHeight="1"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row>
    <row r="407" spans="1:39" ht="15.75" customHeight="1"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row>
    <row r="408" spans="1:39" ht="15.75" customHeight="1"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row>
    <row r="409" spans="1:39" ht="15.75" customHeight="1"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row>
    <row r="410" spans="1:39" ht="15.75" customHeight="1"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row>
    <row r="411" spans="1:39" ht="15.75" customHeight="1"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row>
    <row r="412" spans="1:39" ht="15.75" customHeight="1"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row>
    <row r="413" spans="1:39" ht="15.75" customHeight="1"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row>
    <row r="414" spans="1:39" ht="15.75" customHeight="1"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row>
    <row r="415" spans="1:39" ht="15.75" customHeight="1"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row>
    <row r="416" spans="1:39" ht="15.75" customHeight="1"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row>
    <row r="417" spans="1:39" ht="15.75" customHeight="1"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row>
    <row r="418" spans="1:39" ht="15.75" customHeight="1"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row>
    <row r="419" spans="1:39" ht="15.75" customHeight="1"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row>
    <row r="420" spans="1:39" ht="15.75" customHeight="1"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row>
    <row r="421" spans="1:39" ht="15.75" customHeight="1"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row>
    <row r="422" spans="1:39" ht="15.75" customHeight="1"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row>
    <row r="423" spans="1:39" ht="15.75" customHeight="1"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row>
    <row r="424" spans="1:39" ht="15.75" customHeight="1"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row>
    <row r="425" spans="1:39" ht="15.75" customHeight="1"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row>
    <row r="426" spans="1:39" ht="15.75" customHeight="1"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row>
    <row r="427" spans="1:39" ht="15.75" customHeight="1"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row>
    <row r="428" spans="1:39" ht="15.75" customHeight="1"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row>
    <row r="429" spans="1:39" ht="15.75" customHeight="1"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row>
    <row r="430" spans="1:39" ht="15.75" customHeight="1"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row>
    <row r="431" spans="1:39" ht="15.75" customHeight="1"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row>
    <row r="432" spans="1:39" ht="15.75" customHeight="1"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row>
    <row r="433" spans="1:39" ht="15.75" customHeight="1"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row>
    <row r="434" spans="1:39" ht="15.75" customHeight="1"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row>
    <row r="435" spans="1:39" ht="15.75" customHeight="1"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row>
    <row r="436" spans="1:39" ht="15.75" customHeight="1"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row>
    <row r="437" spans="1:39" ht="15.75" customHeight="1"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row>
    <row r="438" spans="1:39" ht="15.75" customHeight="1"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row>
    <row r="439" spans="1:39" ht="15.75" customHeight="1"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row>
    <row r="440" spans="1:39" ht="15.75" customHeight="1"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row>
    <row r="441" spans="1:39" ht="15.75" customHeight="1"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row>
    <row r="442" spans="1:39" ht="15.75" customHeight="1"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row>
    <row r="443" spans="1:39" ht="15.75" customHeight="1"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row>
    <row r="444" spans="1:39" ht="15.75" customHeight="1"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row>
    <row r="445" spans="1:39" ht="15.75" customHeight="1"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row>
    <row r="446" spans="1:39" ht="15.75" customHeight="1"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row>
    <row r="447" spans="1:39" ht="15.75" customHeight="1"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row>
    <row r="448" spans="1:39" ht="15.75" customHeight="1"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row>
    <row r="449" spans="1:39" ht="15.75" customHeight="1"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row>
    <row r="450" spans="1:39" ht="15.75" customHeight="1"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row>
    <row r="451" spans="1:39" ht="15.75" customHeight="1"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row>
    <row r="452" spans="1:39" ht="15.75" customHeight="1"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row>
    <row r="453" spans="1:39" ht="15.75" customHeight="1"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row>
    <row r="454" spans="1:39" ht="15.75" customHeight="1"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row>
    <row r="455" spans="1:39" ht="15.75" customHeight="1"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row>
    <row r="456" spans="1:39" ht="15.75" customHeight="1"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row>
    <row r="457" spans="1:39" ht="15.75" customHeight="1"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row>
    <row r="458" spans="1:39" ht="15.75" customHeight="1"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row>
    <row r="459" spans="1:39" ht="15.75" customHeight="1"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row>
    <row r="460" spans="1:39" ht="15.75" customHeight="1"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row>
    <row r="461" spans="1:39" ht="15.75" customHeight="1"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row>
    <row r="462" spans="1:39" ht="15.75" customHeight="1"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row>
    <row r="463" spans="1:39" ht="15.75" customHeight="1"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row>
    <row r="464" spans="1:39" ht="15.75" customHeight="1"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row>
    <row r="465" spans="1:39" ht="15.75" customHeight="1"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row>
    <row r="466" spans="1:39" ht="15.75" customHeight="1"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row>
    <row r="467" spans="1:39" ht="15.75" customHeight="1"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row>
    <row r="468" spans="1:39" ht="15.75" customHeight="1"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row>
    <row r="469" spans="1:39" ht="15.75" customHeight="1"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row>
    <row r="470" spans="1:39" ht="15.75" customHeight="1"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row>
    <row r="471" spans="1:39" ht="15.75" customHeight="1"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row>
    <row r="472" spans="1:39" ht="15.75" customHeight="1"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row>
    <row r="473" spans="1:39" ht="15.75" customHeight="1"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row>
    <row r="474" spans="1:39" ht="15.75" customHeight="1"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row>
    <row r="475" spans="1:39" ht="15.75" customHeight="1"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row>
    <row r="476" spans="1:39" ht="15.75" customHeight="1"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row>
    <row r="477" spans="1:39" ht="15.75" customHeight="1"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row>
    <row r="478" spans="1:39" ht="15.75" customHeight="1"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row>
    <row r="479" spans="1:39" ht="15.75" customHeight="1"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row>
    <row r="480" spans="1:39" ht="15.75" customHeight="1"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row>
    <row r="481" spans="1:39" ht="15.75" customHeight="1"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row>
    <row r="482" spans="1:39" ht="15.75" customHeight="1"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row>
    <row r="483" spans="1:39" ht="15.75" customHeight="1"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row>
    <row r="484" spans="1:39" ht="15.75" customHeight="1"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row>
    <row r="485" spans="1:39" ht="15.75" customHeight="1"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row>
    <row r="486" spans="1:39" ht="15.75" customHeight="1"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row>
    <row r="487" spans="1:39" ht="15.75" customHeight="1"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row>
    <row r="488" spans="1:39" ht="15.75" customHeight="1"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row>
    <row r="489" spans="1:39" ht="15.75" customHeight="1"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row>
    <row r="490" spans="1:39" ht="15.75" customHeight="1"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row>
    <row r="491" spans="1:39" ht="15.75" customHeight="1"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row>
    <row r="492" spans="1:39" ht="15.75" customHeight="1"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row>
    <row r="493" spans="1:39" ht="15.75" customHeight="1"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row>
    <row r="494" spans="1:39" ht="15.75" customHeight="1"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row>
    <row r="495" spans="1:39" ht="15.75" customHeight="1"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row>
    <row r="496" spans="1:39" ht="15.75" customHeight="1"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row>
    <row r="497" spans="1:39" ht="15.75" customHeight="1"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row>
    <row r="498" spans="1:39" ht="15.75" customHeight="1"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row>
    <row r="499" spans="1:39" ht="15.75" customHeight="1"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row>
    <row r="500" spans="1:39" ht="15.75" customHeight="1"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row>
    <row r="501" spans="1:39" ht="15.75" customHeight="1"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row>
    <row r="502" spans="1:39" ht="15.75" customHeight="1"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row>
    <row r="503" spans="1:39" ht="15.75" customHeight="1"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row>
    <row r="504" spans="1:39" ht="15.75" customHeight="1"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row>
    <row r="505" spans="1:39" ht="15.75" customHeight="1"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row>
    <row r="506" spans="1:39" ht="15.75" customHeight="1"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row>
    <row r="507" spans="1:39" ht="15.75" customHeight="1"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row>
    <row r="508" spans="1:39" ht="15.75" customHeight="1"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row>
    <row r="509" spans="1:39" ht="15.75" customHeight="1"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row>
    <row r="510" spans="1:39" ht="15.75" customHeight="1"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row>
    <row r="511" spans="1:39" ht="15.75" customHeight="1"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row>
    <row r="512" spans="1:39" ht="15.75" customHeight="1"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row>
    <row r="513" spans="1:39" ht="15.75" customHeight="1"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row>
    <row r="514" spans="1:39" ht="15.75" customHeight="1"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row>
    <row r="515" spans="1:39" ht="15.75" customHeight="1"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row>
    <row r="516" spans="1:39" ht="15.75" customHeight="1"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row>
    <row r="517" spans="1:39" ht="15.75" customHeight="1"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row>
    <row r="518" spans="1:39" ht="15.75" customHeight="1"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row>
    <row r="519" spans="1:39" ht="15.75" customHeight="1"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row>
    <row r="520" spans="1:39" ht="15.75" customHeight="1"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row>
    <row r="521" spans="1:39" ht="15.75" customHeight="1"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row>
    <row r="522" spans="1:39" ht="15.75" customHeight="1"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row>
    <row r="523" spans="1:39" ht="15.75" customHeight="1"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row>
    <row r="524" spans="1:39" ht="15.75" customHeight="1"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row>
    <row r="525" spans="1:39" ht="15.75" customHeight="1"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row>
    <row r="526" spans="1:39" ht="15.75" customHeight="1"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row>
    <row r="527" spans="1:39" ht="15.75" customHeight="1"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row>
    <row r="528" spans="1:39" ht="15.75" customHeight="1"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row>
    <row r="529" spans="1:39" ht="15.75" customHeight="1"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row>
    <row r="530" spans="1:39" ht="15.75" customHeight="1"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row>
    <row r="531" spans="1:39" ht="15.75" customHeight="1"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row>
    <row r="532" spans="1:39" ht="15.75" customHeight="1"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row>
    <row r="533" spans="1:39" ht="15.75" customHeight="1"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row>
    <row r="534" spans="1:39" ht="15.75" customHeight="1"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row>
    <row r="535" spans="1:39" ht="15.75" customHeight="1"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row>
    <row r="536" spans="1:39" ht="15.75" customHeight="1"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row>
    <row r="537" spans="1:39" ht="15.75" customHeight="1"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row>
    <row r="538" spans="1:39" ht="15.75" customHeight="1"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row>
    <row r="539" spans="1:39" ht="15.75" customHeight="1"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row>
    <row r="540" spans="1:39" ht="15.75" customHeight="1"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row>
    <row r="541" spans="1:39" ht="15.75" customHeight="1"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row>
    <row r="542" spans="1:39" ht="15.75" customHeight="1"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row>
    <row r="543" spans="1:39" ht="15.75" customHeight="1"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row>
    <row r="544" spans="1:39" ht="15.75" customHeight="1"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row>
    <row r="545" spans="1:39" ht="15.75" customHeight="1"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row>
    <row r="546" spans="1:39" ht="15.75" customHeight="1"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row>
    <row r="547" spans="1:39" ht="15.75" customHeight="1"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row>
    <row r="548" spans="1:39" ht="15.75" customHeight="1"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row>
    <row r="549" spans="1:39" ht="15.75" customHeight="1"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row>
    <row r="550" spans="1:39" ht="15.75" customHeight="1"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row>
    <row r="551" spans="1:39" ht="15.75" customHeight="1"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row>
    <row r="552" spans="1:39" ht="15.75" customHeight="1"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row>
    <row r="553" spans="1:39" ht="15.75" customHeight="1"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row>
    <row r="554" spans="1:39" ht="15.75" customHeight="1"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row>
    <row r="555" spans="1:39" ht="15.75" customHeight="1"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row>
    <row r="556" spans="1:39" ht="15.75" customHeight="1"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row>
    <row r="557" spans="1:39" ht="15.75" customHeight="1"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row>
    <row r="558" spans="1:39" ht="15.75" customHeight="1"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row>
    <row r="559" spans="1:39" ht="15.75" customHeight="1"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row>
    <row r="560" spans="1:39" ht="15.75" customHeight="1"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row>
    <row r="561" spans="1:39" ht="15.75" customHeight="1"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row>
    <row r="562" spans="1:39" ht="15.75" customHeight="1"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row>
    <row r="563" spans="1:39" ht="15.75" customHeight="1"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row>
    <row r="564" spans="1:39" ht="15.75" customHeight="1"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row>
    <row r="565" spans="1:39" ht="15.75" customHeight="1"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row>
    <row r="566" spans="1:39" ht="15.75" customHeight="1"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row>
    <row r="567" spans="1:39" ht="15.75" customHeight="1"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row>
    <row r="568" spans="1:39" ht="15.75" customHeight="1"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row>
    <row r="569" spans="1:39" ht="15.75" customHeight="1"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row>
    <row r="570" spans="1:39" ht="15.75" customHeight="1"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row>
    <row r="571" spans="1:39" ht="15.75" customHeight="1"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row>
    <row r="572" spans="1:39" ht="15.75" customHeight="1"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row>
    <row r="573" spans="1:39" ht="15.75" customHeight="1"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row>
    <row r="574" spans="1:39" ht="15.75" customHeight="1"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row>
    <row r="575" spans="1:39" ht="15.75" customHeight="1"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row>
    <row r="576" spans="1:39" ht="15.75" customHeight="1"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row>
    <row r="577" spans="1:39" ht="15.75" customHeight="1"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row>
    <row r="578" spans="1:39" ht="15.75" customHeight="1"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row>
    <row r="579" spans="1:39" ht="15.75" customHeight="1"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row>
    <row r="580" spans="1:39" ht="15.75" customHeight="1"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row>
    <row r="581" spans="1:39" ht="15.75" customHeight="1"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row>
    <row r="582" spans="1:39" ht="15.75" customHeight="1"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row>
    <row r="583" spans="1:39" ht="15.75" customHeight="1"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row>
    <row r="584" spans="1:39" ht="15.75" customHeight="1"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row>
    <row r="585" spans="1:39" ht="15.75" customHeight="1"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row>
    <row r="586" spans="1:39" ht="15.75" customHeight="1"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row>
    <row r="587" spans="1:39" ht="15.75" customHeight="1"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row>
    <row r="588" spans="1:39" ht="15.75" customHeight="1"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row>
    <row r="589" spans="1:39" ht="15.75" customHeight="1"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row>
    <row r="590" spans="1:39" ht="15.75" customHeight="1"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row>
    <row r="591" spans="1:39" ht="15.75" customHeight="1"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row>
    <row r="592" spans="1:39" ht="15.75" customHeight="1"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row>
    <row r="593" spans="1:39" ht="15.75" customHeight="1"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row>
    <row r="594" spans="1:39" ht="15.75" customHeight="1"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row>
    <row r="595" spans="1:39" ht="15.75" customHeight="1"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row>
    <row r="596" spans="1:39" ht="15.75" customHeight="1"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row>
    <row r="597" spans="1:39" ht="15.75" customHeight="1"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row>
    <row r="598" spans="1:39" ht="15.75" customHeight="1"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row>
    <row r="599" spans="1:39" ht="15.75" customHeight="1"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row>
    <row r="600" spans="1:39" ht="15.75" customHeight="1"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row>
    <row r="601" spans="1:39" ht="15.75" customHeight="1"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row>
    <row r="602" spans="1:39" ht="15.75" customHeight="1"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row>
    <row r="603" spans="1:39" ht="15.75" customHeight="1"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row>
    <row r="604" spans="1:39" ht="15.75" customHeight="1"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row>
    <row r="605" spans="1:39" ht="15.75" customHeight="1"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row>
    <row r="606" spans="1:39" ht="15.75" customHeight="1"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row>
    <row r="607" spans="1:39" ht="15.75" customHeight="1"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row>
    <row r="608" spans="1:39" ht="15.75" customHeight="1"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row>
    <row r="609" spans="1:39" ht="15.75" customHeight="1"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row>
    <row r="610" spans="1:39" ht="15.75" customHeight="1"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row>
    <row r="611" spans="1:39" ht="15.75" customHeight="1"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row>
    <row r="612" spans="1:39" ht="15.75" customHeight="1"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row>
    <row r="613" spans="1:39" ht="15.75" customHeight="1"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row>
    <row r="614" spans="1:39" ht="15.75" customHeight="1"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row>
    <row r="615" spans="1:39" ht="15.75" customHeight="1"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row>
    <row r="616" spans="1:39" ht="15.75" customHeight="1"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row>
    <row r="617" spans="1:39" ht="15.75" customHeight="1"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row>
    <row r="618" spans="1:39" ht="15.75" customHeight="1"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row>
    <row r="619" spans="1:39" ht="15.75" customHeight="1"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row>
    <row r="620" spans="1:39" ht="15.75" customHeight="1"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row>
    <row r="621" spans="1:39" ht="15.75" customHeight="1"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row>
    <row r="622" spans="1:39" ht="15.75" customHeight="1"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row>
    <row r="623" spans="1:39" ht="15.75" customHeight="1"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row>
    <row r="624" spans="1:39" ht="15.75" customHeight="1"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row>
    <row r="625" spans="1:39" ht="15.75" customHeight="1"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row>
    <row r="626" spans="1:39" ht="15.75" customHeight="1"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row>
    <row r="627" spans="1:39" ht="15.75" customHeight="1"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row>
    <row r="628" spans="1:39" ht="15.75" customHeight="1"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row>
    <row r="629" spans="1:39" ht="15.75" customHeight="1"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row>
    <row r="630" spans="1:39" ht="15.75" customHeight="1"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row>
    <row r="631" spans="1:39" ht="15.75" customHeight="1"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row>
    <row r="632" spans="1:39" ht="15.75" customHeight="1"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row>
    <row r="633" spans="1:39" ht="15.75" customHeight="1"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row>
    <row r="634" spans="1:39" ht="15.75" customHeight="1"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row>
    <row r="635" spans="1:39" ht="15.75" customHeight="1"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row>
    <row r="636" spans="1:39" ht="15.75" customHeight="1"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row>
    <row r="637" spans="1:39" ht="15.75" customHeight="1"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row>
    <row r="638" spans="1:39" ht="15.75" customHeight="1"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row>
    <row r="639" spans="1:39" ht="15.75" customHeight="1"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row>
    <row r="640" spans="1:39" ht="15.75" customHeight="1"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row>
    <row r="641" spans="1:39" ht="15.75" customHeight="1"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row>
    <row r="642" spans="1:39" ht="15.75" customHeight="1"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row>
    <row r="643" spans="1:39" ht="15.75" customHeight="1"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row>
    <row r="644" spans="1:39" ht="15.75" customHeight="1"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row>
    <row r="645" spans="1:39" ht="15.75" customHeight="1"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row>
    <row r="646" spans="1:39" ht="15.75" customHeight="1"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row>
    <row r="647" spans="1:39" ht="15.75" customHeight="1"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row>
    <row r="648" spans="1:39" ht="15.75" customHeight="1"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row>
    <row r="649" spans="1:39" ht="15.75" customHeight="1"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row>
    <row r="650" spans="1:39" ht="15.75" customHeight="1"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row>
    <row r="651" spans="1:39" ht="15.75" customHeight="1"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row>
    <row r="652" spans="1:39" ht="15.75" customHeight="1"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row>
    <row r="653" spans="1:39" ht="15.75" customHeight="1"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row>
    <row r="654" spans="1:39" ht="15.75" customHeight="1"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row>
    <row r="655" spans="1:39" ht="15.75" customHeight="1"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row>
    <row r="656" spans="1:39" ht="15.75" customHeight="1"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row>
    <row r="657" spans="1:39" ht="15.75" customHeight="1" x14ac:dyDescent="0.2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row>
    <row r="658" spans="1:39" ht="15.75" customHeight="1"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row>
    <row r="659" spans="1:39" ht="15.75" customHeight="1"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row>
    <row r="660" spans="1:39" ht="15.75" customHeight="1"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row>
    <row r="661" spans="1:39" ht="15.75" customHeight="1"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row>
    <row r="662" spans="1:39" ht="15.75" customHeight="1"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row>
    <row r="663" spans="1:39" ht="15.75" customHeight="1" x14ac:dyDescent="0.2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row>
    <row r="664" spans="1:39" ht="15.75" customHeight="1"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row>
    <row r="665" spans="1:39" ht="15.75" customHeight="1"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row>
    <row r="666" spans="1:39" ht="15.75" customHeight="1"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row>
    <row r="667" spans="1:39" ht="15.75" customHeight="1"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row>
    <row r="668" spans="1:39" ht="15.75" customHeight="1"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row>
    <row r="669" spans="1:39" ht="15.75" customHeight="1" x14ac:dyDescent="0.2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row>
    <row r="670" spans="1:39" ht="15.75" customHeight="1"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row>
    <row r="671" spans="1:39" ht="15.75" customHeight="1"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row>
    <row r="672" spans="1:39" ht="15.75" customHeight="1"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row>
    <row r="673" spans="1:39" ht="15.75" customHeight="1"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row>
    <row r="674" spans="1:39" ht="15.75" customHeight="1"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row>
    <row r="675" spans="1:39" ht="15.75" customHeight="1" x14ac:dyDescent="0.2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row>
    <row r="676" spans="1:39" ht="15.75" customHeight="1"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row>
    <row r="677" spans="1:39" ht="15.75" customHeight="1"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row>
    <row r="678" spans="1:39" ht="15.75" customHeight="1"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row>
    <row r="679" spans="1:39" ht="15.75" customHeight="1"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row>
    <row r="680" spans="1:39" ht="15.75" customHeight="1"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row>
    <row r="681" spans="1:39" ht="15.75" customHeight="1" x14ac:dyDescent="0.2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row>
    <row r="682" spans="1:39" ht="15.75" customHeight="1"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row>
    <row r="683" spans="1:39" ht="15.75" customHeight="1"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row>
    <row r="684" spans="1:39" ht="15.75" customHeight="1"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row>
    <row r="685" spans="1:39" ht="15.75" customHeight="1"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row>
    <row r="686" spans="1:39" ht="15.75" customHeight="1"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row>
    <row r="687" spans="1:39" ht="15.75" customHeight="1" x14ac:dyDescent="0.2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row>
    <row r="688" spans="1:39" ht="15.75" customHeight="1"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row>
    <row r="689" spans="1:39" ht="15.75" customHeight="1"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row>
    <row r="690" spans="1:39" ht="15.75" customHeight="1"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row>
    <row r="691" spans="1:39" ht="15.75" customHeight="1"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row>
    <row r="692" spans="1:39" ht="15.75" customHeight="1"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row>
    <row r="693" spans="1:39" ht="15.75" customHeight="1" x14ac:dyDescent="0.2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row>
    <row r="694" spans="1:39" ht="15.75" customHeight="1"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row>
    <row r="695" spans="1:39" ht="15.75" customHeight="1"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row>
    <row r="696" spans="1:39" ht="15.75" customHeight="1"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row>
    <row r="697" spans="1:39" ht="15.75" customHeight="1"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row>
    <row r="698" spans="1:39" ht="15.75" customHeight="1"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row>
    <row r="699" spans="1:39" ht="15.75" customHeight="1" x14ac:dyDescent="0.2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row>
    <row r="700" spans="1:39" ht="15.75" customHeight="1"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row>
    <row r="701" spans="1:39" ht="15.75" customHeight="1"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row>
    <row r="702" spans="1:39" ht="15.75" customHeight="1"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row>
    <row r="703" spans="1:39" ht="15.75" customHeight="1"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row>
    <row r="704" spans="1:39" ht="15.75" customHeight="1"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row>
    <row r="705" spans="1:39" ht="15.75" customHeight="1" x14ac:dyDescent="0.2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row>
    <row r="706" spans="1:39" ht="15.75" customHeight="1"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row>
    <row r="707" spans="1:39" ht="15.75" customHeight="1"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row>
    <row r="708" spans="1:39" ht="15.75" customHeight="1"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row>
    <row r="709" spans="1:39" ht="15.75" customHeight="1"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row>
    <row r="710" spans="1:39" ht="15.75" customHeight="1"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row>
    <row r="711" spans="1:39" ht="15.75" customHeight="1" x14ac:dyDescent="0.2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row>
    <row r="712" spans="1:39" ht="15.75" customHeight="1"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row>
    <row r="713" spans="1:39" ht="15.75" customHeight="1"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row>
    <row r="714" spans="1:39" ht="15.75" customHeight="1"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row>
    <row r="715" spans="1:39" ht="15.75" customHeight="1"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row>
    <row r="716" spans="1:39" ht="15.75" customHeight="1"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row>
    <row r="717" spans="1:39" ht="15.75" customHeight="1" x14ac:dyDescent="0.2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row>
    <row r="718" spans="1:39" ht="15.75" customHeight="1"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row>
    <row r="719" spans="1:39" ht="15.75" customHeight="1"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row>
    <row r="720" spans="1:39" ht="15.75" customHeight="1"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row>
    <row r="721" spans="1:39" ht="15.75" customHeight="1"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row>
    <row r="722" spans="1:39" ht="15.75" customHeight="1"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row>
    <row r="723" spans="1:39" ht="15.75" customHeight="1" x14ac:dyDescent="0.2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row>
    <row r="724" spans="1:39" ht="15.75" customHeight="1"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row>
    <row r="725" spans="1:39" ht="15.75" customHeight="1"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row>
    <row r="726" spans="1:39" ht="15.75" customHeight="1"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row>
    <row r="727" spans="1:39" ht="15.75" customHeight="1"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row>
    <row r="728" spans="1:39" ht="15.75" customHeight="1"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row>
    <row r="729" spans="1:39" ht="15.75" customHeight="1" x14ac:dyDescent="0.2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row>
    <row r="730" spans="1:39" ht="15.75" customHeight="1"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row>
    <row r="731" spans="1:39" ht="15.75" customHeight="1"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row>
    <row r="732" spans="1:39" ht="15.75" customHeight="1"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row>
    <row r="733" spans="1:39" ht="15.75" customHeight="1"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row>
    <row r="734" spans="1:39" ht="15.75" customHeight="1"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row>
    <row r="735" spans="1:39" ht="15.75" customHeight="1" x14ac:dyDescent="0.2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row>
    <row r="736" spans="1:39" ht="15.75" customHeight="1"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row>
    <row r="737" spans="1:39" ht="15.75" customHeight="1"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row>
    <row r="738" spans="1:39" ht="15.75" customHeight="1"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row>
    <row r="739" spans="1:39" ht="15.75" customHeight="1"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row>
    <row r="740" spans="1:39" ht="15.75" customHeight="1"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row>
    <row r="741" spans="1:39" ht="15.75" customHeight="1" x14ac:dyDescent="0.2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row>
    <row r="742" spans="1:39" ht="15.75" customHeight="1"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row>
    <row r="743" spans="1:39" ht="15.75" customHeight="1"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row>
    <row r="744" spans="1:39" ht="15.75" customHeight="1"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row>
    <row r="745" spans="1:39" ht="15.75" customHeight="1"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row>
    <row r="746" spans="1:39" ht="15.75" customHeight="1"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row>
    <row r="747" spans="1:39" ht="15.75" customHeight="1" x14ac:dyDescent="0.2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row>
    <row r="748" spans="1:39" ht="15.75" customHeight="1"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row>
    <row r="749" spans="1:39" ht="15.75" customHeight="1"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row>
    <row r="750" spans="1:39" ht="15.75" customHeight="1"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row>
    <row r="751" spans="1:39" ht="15.75" customHeight="1"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row>
    <row r="752" spans="1:39" ht="15.75" customHeight="1"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row>
    <row r="753" spans="1:39" ht="15.75" customHeight="1" x14ac:dyDescent="0.2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row>
    <row r="754" spans="1:39" ht="15.75" customHeight="1"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row>
    <row r="755" spans="1:39" ht="15.75" customHeight="1"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row>
    <row r="756" spans="1:39" ht="15.75" customHeight="1"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row>
    <row r="757" spans="1:39" ht="15.75" customHeight="1"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row>
    <row r="758" spans="1:39" ht="15.75" customHeight="1"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row>
    <row r="759" spans="1:39" ht="15.75" customHeight="1" x14ac:dyDescent="0.2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row>
    <row r="760" spans="1:39" ht="15.75" customHeight="1"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row>
    <row r="761" spans="1:39" ht="15.75" customHeight="1"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row>
    <row r="762" spans="1:39" ht="15.75" customHeight="1"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row>
    <row r="763" spans="1:39" ht="15.75" customHeight="1"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row>
    <row r="764" spans="1:39" ht="15.75" customHeight="1"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row>
    <row r="765" spans="1:39" ht="15.75" customHeight="1" x14ac:dyDescent="0.2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row>
    <row r="766" spans="1:39" ht="15.75" customHeight="1"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row>
    <row r="767" spans="1:39" ht="15.75" customHeight="1"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row>
    <row r="768" spans="1:39" ht="15.75" customHeight="1"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row>
    <row r="769" spans="1:39" ht="15.75" customHeight="1"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row>
    <row r="770" spans="1:39" ht="15.75" customHeight="1"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row>
    <row r="771" spans="1:39" ht="15.75" customHeight="1" x14ac:dyDescent="0.2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row>
    <row r="772" spans="1:39" ht="15.75" customHeight="1"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row>
    <row r="773" spans="1:39" ht="15.75" customHeight="1"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row>
    <row r="774" spans="1:39" ht="15.75" customHeight="1"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row>
    <row r="775" spans="1:39" ht="15.75" customHeight="1"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row>
    <row r="776" spans="1:39" ht="15.75" customHeight="1"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row>
    <row r="777" spans="1:39" ht="15.75" customHeight="1" x14ac:dyDescent="0.2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row>
    <row r="778" spans="1:39" ht="15.75" customHeight="1"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row>
    <row r="779" spans="1:39" ht="15.75" customHeight="1"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row>
    <row r="780" spans="1:39" ht="15.75" customHeight="1"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row>
    <row r="781" spans="1:39" ht="15.75" customHeight="1"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row>
    <row r="782" spans="1:39" ht="15.75" customHeight="1"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row>
    <row r="783" spans="1:39" ht="15.75" customHeight="1" x14ac:dyDescent="0.2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row>
    <row r="784" spans="1:39" ht="15.75" customHeight="1"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row>
    <row r="785" spans="1:39" ht="15.75" customHeight="1"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row>
    <row r="786" spans="1:39" ht="15.75" customHeight="1"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row>
    <row r="787" spans="1:39" ht="15.75" customHeight="1"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row>
    <row r="788" spans="1:39" ht="15.75" customHeight="1"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row>
    <row r="789" spans="1:39" ht="15.75" customHeight="1" x14ac:dyDescent="0.2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row>
    <row r="790" spans="1:39" ht="15.75" customHeight="1"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row>
    <row r="791" spans="1:39" ht="15.75" customHeight="1"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row>
    <row r="792" spans="1:39" ht="15.75" customHeight="1"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row>
    <row r="793" spans="1:39" ht="15.75" customHeight="1"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row>
    <row r="794" spans="1:39" ht="15.75" customHeight="1"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row>
    <row r="795" spans="1:39" ht="15.75" customHeight="1" x14ac:dyDescent="0.2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row>
    <row r="796" spans="1:39" ht="15.75" customHeight="1"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row>
    <row r="797" spans="1:39" ht="15.75" customHeight="1"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row>
    <row r="798" spans="1:39" ht="15.75" customHeight="1"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row>
    <row r="799" spans="1:39" ht="15.75" customHeight="1"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row>
    <row r="800" spans="1:39" ht="15.75" customHeight="1"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row>
    <row r="801" spans="1:39" ht="15.75" customHeight="1" x14ac:dyDescent="0.2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row>
    <row r="802" spans="1:39" ht="15.75" customHeight="1"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row>
    <row r="803" spans="1:39" ht="15.75" customHeight="1"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row>
    <row r="804" spans="1:39" ht="15.75" customHeight="1"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row>
    <row r="805" spans="1:39" ht="15.75" customHeight="1"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row>
    <row r="806" spans="1:39" ht="15.75" customHeight="1"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row>
    <row r="807" spans="1:39" ht="15.75" customHeight="1" x14ac:dyDescent="0.2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row>
    <row r="808" spans="1:39" ht="15.75" customHeight="1"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row>
    <row r="809" spans="1:39" ht="15.75" customHeight="1"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row>
    <row r="810" spans="1:39" ht="15.75" customHeight="1"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row>
    <row r="811" spans="1:39" ht="15.75" customHeight="1" x14ac:dyDescent="0.2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row>
    <row r="812" spans="1:39" ht="15.75" customHeight="1" x14ac:dyDescent="0.2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row>
    <row r="813" spans="1:39" ht="15.75" customHeight="1" x14ac:dyDescent="0.2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row>
    <row r="814" spans="1:39" ht="15.75" customHeight="1" x14ac:dyDescent="0.2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row>
    <row r="815" spans="1:39" ht="15.75" customHeight="1" x14ac:dyDescent="0.2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row>
    <row r="816" spans="1:39" ht="15.75" customHeight="1" x14ac:dyDescent="0.2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row>
    <row r="817" spans="1:39" ht="15.75" customHeight="1" x14ac:dyDescent="0.2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row>
    <row r="818" spans="1:39" ht="15.75" customHeight="1" x14ac:dyDescent="0.2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row>
    <row r="819" spans="1:39" ht="15.75" customHeight="1" x14ac:dyDescent="0.2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row>
    <row r="820" spans="1:39" ht="15.75" customHeight="1" x14ac:dyDescent="0.2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row>
    <row r="821" spans="1:39" ht="15.75" customHeight="1" x14ac:dyDescent="0.2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row>
    <row r="822" spans="1:39" ht="15.75" customHeight="1" x14ac:dyDescent="0.2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row>
    <row r="823" spans="1:39" ht="15.75" customHeight="1" x14ac:dyDescent="0.2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row>
    <row r="824" spans="1:39" ht="15.75" customHeight="1" x14ac:dyDescent="0.2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row>
    <row r="825" spans="1:39" ht="15.75" customHeight="1" x14ac:dyDescent="0.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row>
    <row r="826" spans="1:39" ht="15.75" customHeight="1" x14ac:dyDescent="0.2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row>
    <row r="827" spans="1:39" ht="15.75" customHeight="1" x14ac:dyDescent="0.2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row>
    <row r="828" spans="1:39" ht="15.75" customHeight="1" x14ac:dyDescent="0.2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row>
    <row r="829" spans="1:39" ht="15.75" customHeight="1" x14ac:dyDescent="0.2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row>
    <row r="830" spans="1:39" ht="15.75" customHeight="1" x14ac:dyDescent="0.2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row>
    <row r="831" spans="1:39" ht="15.75" customHeight="1" x14ac:dyDescent="0.2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row>
    <row r="832" spans="1:39" ht="15.75" customHeight="1" x14ac:dyDescent="0.2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row>
    <row r="833" spans="1:39" ht="15.75" customHeight="1" x14ac:dyDescent="0.2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row>
    <row r="834" spans="1:39" ht="15.75" customHeight="1" x14ac:dyDescent="0.2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row>
    <row r="835" spans="1:39" ht="15.75" customHeight="1" x14ac:dyDescent="0.2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row>
    <row r="836" spans="1:39" ht="15.75" customHeight="1" x14ac:dyDescent="0.2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row>
    <row r="837" spans="1:39" ht="15.75" customHeight="1" x14ac:dyDescent="0.2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row>
    <row r="838" spans="1:39" ht="15.75" customHeight="1" x14ac:dyDescent="0.2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row>
    <row r="839" spans="1:39" ht="15.75" customHeight="1" x14ac:dyDescent="0.2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row>
    <row r="840" spans="1:39" ht="15.75" customHeight="1" x14ac:dyDescent="0.2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row>
    <row r="841" spans="1:39" ht="15.75" customHeight="1" x14ac:dyDescent="0.2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row>
    <row r="842" spans="1:39" ht="15.75" customHeight="1" x14ac:dyDescent="0.2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row>
    <row r="843" spans="1:39" ht="15.75" customHeight="1" x14ac:dyDescent="0.2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row>
    <row r="844" spans="1:39" ht="15.75" customHeight="1" x14ac:dyDescent="0.2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row>
    <row r="845" spans="1:39" ht="15.75" customHeight="1" x14ac:dyDescent="0.2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row>
    <row r="846" spans="1:39" ht="15.75" customHeight="1" x14ac:dyDescent="0.2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row>
    <row r="847" spans="1:39" ht="15.75" customHeight="1" x14ac:dyDescent="0.2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row>
    <row r="848" spans="1:39" ht="15.75" customHeight="1" x14ac:dyDescent="0.2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row>
    <row r="849" spans="1:39" ht="15.75" customHeight="1" x14ac:dyDescent="0.2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row>
    <row r="850" spans="1:39" ht="15.75" customHeight="1" x14ac:dyDescent="0.2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row>
    <row r="851" spans="1:39" ht="15.75" customHeight="1" x14ac:dyDescent="0.2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row>
    <row r="852" spans="1:39" ht="15.75" customHeight="1" x14ac:dyDescent="0.2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row>
    <row r="853" spans="1:39" ht="15.75" customHeight="1" x14ac:dyDescent="0.2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row>
    <row r="854" spans="1:39" ht="15.75" customHeight="1" x14ac:dyDescent="0.2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row>
    <row r="855" spans="1:39" ht="15.75" customHeight="1" x14ac:dyDescent="0.2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row>
    <row r="856" spans="1:39" ht="15.75" customHeight="1" x14ac:dyDescent="0.2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row>
    <row r="857" spans="1:39" ht="15.75" customHeight="1" x14ac:dyDescent="0.2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row>
    <row r="858" spans="1:39" ht="15.75" customHeight="1" x14ac:dyDescent="0.2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row>
    <row r="859" spans="1:39" ht="15.75" customHeight="1" x14ac:dyDescent="0.2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row>
    <row r="860" spans="1:39" ht="15.75" customHeight="1" x14ac:dyDescent="0.2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row>
    <row r="861" spans="1:39" ht="15.75" customHeight="1" x14ac:dyDescent="0.2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row>
    <row r="862" spans="1:39" ht="15.75" customHeight="1" x14ac:dyDescent="0.2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row>
    <row r="863" spans="1:39" ht="15.75" customHeight="1" x14ac:dyDescent="0.2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row>
    <row r="864" spans="1:39" ht="15.75" customHeight="1" x14ac:dyDescent="0.2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row>
    <row r="865" spans="1:39" ht="15.75" customHeight="1" x14ac:dyDescent="0.2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row>
    <row r="866" spans="1:39" ht="15.75" customHeight="1" x14ac:dyDescent="0.2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row>
    <row r="867" spans="1:39" ht="15.75" customHeight="1" x14ac:dyDescent="0.2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row>
    <row r="868" spans="1:39" ht="15.75" customHeight="1" x14ac:dyDescent="0.2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row>
    <row r="869" spans="1:39" ht="15.75" customHeight="1" x14ac:dyDescent="0.2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row>
    <row r="870" spans="1:39" ht="15.75" customHeight="1" x14ac:dyDescent="0.2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row>
    <row r="871" spans="1:39" ht="15.75" customHeight="1" x14ac:dyDescent="0.2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row>
    <row r="872" spans="1:39" ht="15.75" customHeight="1" x14ac:dyDescent="0.2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row>
    <row r="873" spans="1:39" ht="15.75" customHeight="1" x14ac:dyDescent="0.2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row>
    <row r="874" spans="1:39" ht="15.75" customHeight="1" x14ac:dyDescent="0.2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row>
    <row r="875" spans="1:39" ht="15.75" customHeight="1" x14ac:dyDescent="0.2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row>
    <row r="876" spans="1:39" ht="15.75" customHeight="1" x14ac:dyDescent="0.2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row>
    <row r="877" spans="1:39" ht="15.75" customHeight="1" x14ac:dyDescent="0.2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row>
    <row r="878" spans="1:39" ht="15.75" customHeight="1" x14ac:dyDescent="0.2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row>
    <row r="879" spans="1:39" ht="15.75" customHeight="1" x14ac:dyDescent="0.2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row>
    <row r="880" spans="1:39" ht="15.75" customHeight="1" x14ac:dyDescent="0.2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row>
    <row r="881" spans="1:39" ht="15.75" customHeight="1" x14ac:dyDescent="0.2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row>
    <row r="882" spans="1:39" ht="15.75" customHeight="1" x14ac:dyDescent="0.2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row>
    <row r="883" spans="1:39" ht="15.75" customHeight="1" x14ac:dyDescent="0.2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row>
    <row r="884" spans="1:39" ht="15.75" customHeight="1" x14ac:dyDescent="0.2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row>
    <row r="885" spans="1:39" ht="15.75" customHeight="1" x14ac:dyDescent="0.2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row>
    <row r="886" spans="1:39" ht="15.75" customHeight="1" x14ac:dyDescent="0.2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row>
    <row r="887" spans="1:39" ht="15.75" customHeight="1" x14ac:dyDescent="0.2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row>
    <row r="888" spans="1:39" ht="15.75" customHeight="1" x14ac:dyDescent="0.2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row>
    <row r="889" spans="1:39" ht="15.75" customHeight="1" x14ac:dyDescent="0.2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row>
    <row r="890" spans="1:39" ht="15.75" customHeight="1" x14ac:dyDescent="0.2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row>
    <row r="891" spans="1:39" ht="15.75" customHeight="1" x14ac:dyDescent="0.2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row>
    <row r="892" spans="1:39" ht="15.75" customHeight="1" x14ac:dyDescent="0.2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row>
    <row r="893" spans="1:39" ht="15.75" customHeight="1" x14ac:dyDescent="0.2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row>
    <row r="894" spans="1:39" ht="15.75" customHeight="1" x14ac:dyDescent="0.2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row>
    <row r="895" spans="1:39" ht="15.75" customHeight="1" x14ac:dyDescent="0.2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row>
    <row r="896" spans="1:39" ht="15.75" customHeight="1" x14ac:dyDescent="0.2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row>
    <row r="897" spans="1:39" ht="15.75" customHeight="1" x14ac:dyDescent="0.2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row>
    <row r="898" spans="1:39" ht="15.75" customHeight="1" x14ac:dyDescent="0.2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row>
    <row r="899" spans="1:39" ht="15.75" customHeight="1" x14ac:dyDescent="0.2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row>
    <row r="900" spans="1:39" ht="15.75" customHeight="1" x14ac:dyDescent="0.2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row>
    <row r="901" spans="1:39" ht="15.75" customHeight="1" x14ac:dyDescent="0.2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row>
    <row r="902" spans="1:39" ht="15.75" customHeight="1" x14ac:dyDescent="0.2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row>
    <row r="903" spans="1:39" ht="15.75" customHeight="1" x14ac:dyDescent="0.2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row>
    <row r="904" spans="1:39" ht="15.75" customHeight="1" x14ac:dyDescent="0.2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row>
    <row r="905" spans="1:39" ht="15.75" customHeight="1" x14ac:dyDescent="0.2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row>
    <row r="906" spans="1:39" ht="15.75" customHeight="1" x14ac:dyDescent="0.2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row>
    <row r="907" spans="1:39" ht="15.75" customHeight="1" x14ac:dyDescent="0.2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row>
    <row r="908" spans="1:39" ht="15.75" customHeight="1" x14ac:dyDescent="0.2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row>
    <row r="909" spans="1:39" ht="15.75" customHeight="1" x14ac:dyDescent="0.2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row>
    <row r="910" spans="1:39" ht="15.75" customHeight="1" x14ac:dyDescent="0.2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row>
    <row r="911" spans="1:39" ht="15.75" customHeight="1" x14ac:dyDescent="0.2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row>
    <row r="912" spans="1:39" ht="15.75" customHeight="1" x14ac:dyDescent="0.2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row>
    <row r="913" spans="1:39" ht="15.75" customHeight="1" x14ac:dyDescent="0.2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row>
    <row r="914" spans="1:39" ht="15.75" customHeight="1" x14ac:dyDescent="0.2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row>
    <row r="915" spans="1:39" ht="15.75" customHeight="1" x14ac:dyDescent="0.2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row>
    <row r="916" spans="1:39" ht="15.75" customHeight="1" x14ac:dyDescent="0.2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row>
    <row r="917" spans="1:39" ht="15.75" customHeight="1" x14ac:dyDescent="0.2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row>
    <row r="918" spans="1:39" ht="15.75" customHeight="1" x14ac:dyDescent="0.2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row>
    <row r="919" spans="1:39" ht="15.75" customHeight="1" x14ac:dyDescent="0.2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row>
    <row r="920" spans="1:39" ht="15.75" customHeight="1" x14ac:dyDescent="0.2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row>
    <row r="921" spans="1:39" ht="15.75" customHeight="1" x14ac:dyDescent="0.2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row>
    <row r="922" spans="1:39" ht="15.75" customHeight="1" x14ac:dyDescent="0.2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row>
    <row r="923" spans="1:39" ht="15.75" customHeight="1" x14ac:dyDescent="0.2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row>
    <row r="924" spans="1:39" ht="15.75" customHeight="1" x14ac:dyDescent="0.2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row>
    <row r="925" spans="1:39" ht="15.75" customHeight="1" x14ac:dyDescent="0.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row>
    <row r="926" spans="1:39" ht="15.75" customHeight="1" x14ac:dyDescent="0.2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row>
    <row r="927" spans="1:39" ht="15.75" customHeight="1" x14ac:dyDescent="0.2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row>
    <row r="928" spans="1:39" ht="15.75" customHeight="1" x14ac:dyDescent="0.2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row>
    <row r="929" spans="1:39" ht="15.75" customHeight="1" x14ac:dyDescent="0.2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row>
    <row r="930" spans="1:39" ht="15.75" customHeight="1" x14ac:dyDescent="0.2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row>
    <row r="931" spans="1:39" ht="15.75" customHeight="1" x14ac:dyDescent="0.2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row>
    <row r="932" spans="1:39" ht="15.75" customHeight="1" x14ac:dyDescent="0.2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row>
    <row r="933" spans="1:39" ht="15.75" customHeight="1" x14ac:dyDescent="0.2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row>
    <row r="934" spans="1:39" ht="15.75" customHeight="1" x14ac:dyDescent="0.2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row>
    <row r="935" spans="1:39" ht="15.75" customHeight="1" x14ac:dyDescent="0.2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row>
    <row r="936" spans="1:39" ht="15.75" customHeight="1" x14ac:dyDescent="0.2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row>
    <row r="937" spans="1:39" ht="15.75" customHeight="1" x14ac:dyDescent="0.2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row>
    <row r="938" spans="1:39" ht="15.75" customHeight="1" x14ac:dyDescent="0.2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row>
    <row r="939" spans="1:39" ht="15.75" customHeight="1" x14ac:dyDescent="0.2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row>
    <row r="940" spans="1:39" ht="15.75" customHeight="1" x14ac:dyDescent="0.2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row>
    <row r="941" spans="1:39" ht="15.75" customHeight="1" x14ac:dyDescent="0.2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row>
    <row r="942" spans="1:39" ht="15.75" customHeight="1" x14ac:dyDescent="0.2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row>
    <row r="943" spans="1:39" ht="15.75" customHeight="1" x14ac:dyDescent="0.2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row>
    <row r="944" spans="1:39" ht="15.75" customHeight="1" x14ac:dyDescent="0.2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row>
    <row r="945" spans="1:39" ht="15.75" customHeight="1" x14ac:dyDescent="0.2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row>
    <row r="946" spans="1:39" ht="15.75" customHeight="1" x14ac:dyDescent="0.2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row>
    <row r="947" spans="1:39" ht="15.75" customHeight="1" x14ac:dyDescent="0.2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row>
    <row r="948" spans="1:39" ht="15.75" customHeight="1" x14ac:dyDescent="0.2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row>
    <row r="949" spans="1:39" ht="15.75" customHeight="1" x14ac:dyDescent="0.2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row>
    <row r="950" spans="1:39" ht="15.75" customHeight="1" x14ac:dyDescent="0.2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row>
    <row r="951" spans="1:39" ht="15.75" customHeight="1" x14ac:dyDescent="0.2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row>
    <row r="952" spans="1:39" ht="15.75" customHeight="1" x14ac:dyDescent="0.2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row>
    <row r="953" spans="1:39" ht="15.75" customHeight="1" x14ac:dyDescent="0.2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row>
    <row r="954" spans="1:39" ht="15.75" customHeight="1" x14ac:dyDescent="0.2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row>
    <row r="955" spans="1:39" ht="15.75" customHeight="1" x14ac:dyDescent="0.2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row>
    <row r="956" spans="1:39" ht="15.75" customHeight="1" x14ac:dyDescent="0.2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row>
    <row r="957" spans="1:39" ht="15.75" customHeight="1" x14ac:dyDescent="0.2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row>
    <row r="958" spans="1:39" ht="15.75" customHeight="1" x14ac:dyDescent="0.2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row>
    <row r="959" spans="1:39" ht="15.75" customHeight="1" x14ac:dyDescent="0.2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row>
    <row r="960" spans="1:39" ht="15.75" customHeight="1" x14ac:dyDescent="0.2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row>
    <row r="961" spans="1:39" ht="15.75" customHeight="1" x14ac:dyDescent="0.2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row>
    <row r="962" spans="1:39" ht="15.75" customHeight="1" x14ac:dyDescent="0.2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row>
    <row r="963" spans="1:39" ht="15.75" customHeight="1" x14ac:dyDescent="0.2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row>
    <row r="964" spans="1:39" ht="15.75" customHeight="1" x14ac:dyDescent="0.2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row>
    <row r="965" spans="1:39" ht="15.75" customHeight="1" x14ac:dyDescent="0.2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row>
    <row r="966" spans="1:39" ht="15.75" customHeight="1" x14ac:dyDescent="0.2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row>
    <row r="967" spans="1:39" ht="15.75" customHeight="1" x14ac:dyDescent="0.2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row>
    <row r="968" spans="1:39" ht="15.75" customHeight="1" x14ac:dyDescent="0.2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row>
    <row r="969" spans="1:39" ht="15.75" customHeight="1" x14ac:dyDescent="0.2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row>
    <row r="970" spans="1:39" ht="15.75" customHeight="1" x14ac:dyDescent="0.2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row>
    <row r="971" spans="1:39" ht="15.75" customHeight="1" x14ac:dyDescent="0.2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row>
    <row r="972" spans="1:39" ht="15.75" customHeight="1" x14ac:dyDescent="0.2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row>
    <row r="973" spans="1:39" ht="15.75" customHeight="1" x14ac:dyDescent="0.2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row>
    <row r="974" spans="1:39" ht="15.75" customHeight="1" x14ac:dyDescent="0.2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row>
    <row r="975" spans="1:39" ht="15.75" customHeight="1" x14ac:dyDescent="0.2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row>
    <row r="976" spans="1:39" ht="15.75" customHeight="1" x14ac:dyDescent="0.2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row>
    <row r="977" spans="1:39" ht="15.75" customHeight="1" x14ac:dyDescent="0.2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row>
    <row r="978" spans="1:39" ht="15.75" customHeight="1" x14ac:dyDescent="0.2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row>
    <row r="979" spans="1:39" ht="15.75" customHeight="1" x14ac:dyDescent="0.2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row>
    <row r="980" spans="1:39" ht="15.75" customHeight="1" x14ac:dyDescent="0.2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row>
    <row r="981" spans="1:39" ht="15.75" customHeight="1" x14ac:dyDescent="0.2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row>
    <row r="982" spans="1:39" ht="15.75" customHeight="1" x14ac:dyDescent="0.2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row>
    <row r="983" spans="1:39" ht="15.75" customHeight="1" x14ac:dyDescent="0.2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row>
    <row r="984" spans="1:39" ht="15.75" customHeight="1" x14ac:dyDescent="0.2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row>
    <row r="985" spans="1:39" ht="15.75" customHeight="1" x14ac:dyDescent="0.2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row>
    <row r="986" spans="1:39" ht="15.75" customHeight="1" x14ac:dyDescent="0.2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row>
    <row r="987" spans="1:39" ht="15.75" customHeight="1" x14ac:dyDescent="0.2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row>
    <row r="988" spans="1:39" ht="15.75" customHeight="1" x14ac:dyDescent="0.2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row>
    <row r="989" spans="1:39" ht="15.75" customHeight="1" x14ac:dyDescent="0.2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row>
    <row r="990" spans="1:39" ht="15.75" customHeight="1" x14ac:dyDescent="0.2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row>
    <row r="991" spans="1:39" ht="15.75" customHeight="1" x14ac:dyDescent="0.2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row>
    <row r="992" spans="1:39" ht="15.75" customHeight="1" x14ac:dyDescent="0.2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row>
    <row r="993" spans="1:39" ht="15.75" customHeight="1" x14ac:dyDescent="0.25">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row>
    <row r="994" spans="1:39" ht="15.75" customHeight="1" x14ac:dyDescent="0.2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row>
    <row r="995" spans="1:39" ht="15.75" customHeight="1" x14ac:dyDescent="0.2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row>
    <row r="996" spans="1:39" ht="15.75" customHeight="1" x14ac:dyDescent="0.25">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row>
    <row r="997" spans="1:39" ht="15.75" customHeight="1" x14ac:dyDescent="0.25">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row>
    <row r="998" spans="1:39" ht="15.75" customHeight="1" x14ac:dyDescent="0.25">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row>
    <row r="999" spans="1:39" ht="15.75" customHeight="1" x14ac:dyDescent="0.25">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row>
    <row r="1000" spans="1:39" ht="15.75" customHeight="1" x14ac:dyDescent="0.25">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row>
  </sheetData>
  <mergeCells count="1">
    <mergeCell ref="B2:H2"/>
  </mergeCells>
  <pageMargins left="0.7" right="0.7" top="0.75" bottom="0.75" header="0.3" footer="0.3"/>
  <legacy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Z1000"/>
  <sheetViews>
    <sheetView workbookViewId="0"/>
  </sheetViews>
  <sheetFormatPr defaultColWidth="16.83203125" defaultRowHeight="15" customHeight="1" x14ac:dyDescent="0.2"/>
  <cols>
    <col min="1" max="1" width="9.33203125" customWidth="1"/>
    <col min="2" max="2" width="0.1640625" customWidth="1"/>
    <col min="3" max="3" width="14.1640625" customWidth="1"/>
    <col min="4" max="4" width="15.6640625" customWidth="1"/>
    <col min="5" max="5" width="14.6640625" customWidth="1"/>
    <col min="6" max="6" width="31.5" customWidth="1"/>
    <col min="7" max="7" width="38" customWidth="1"/>
    <col min="8" max="26" width="8" customWidth="1"/>
  </cols>
  <sheetData>
    <row r="1" spans="1:26" x14ac:dyDescent="0.25">
      <c r="A1" s="3" t="s">
        <v>1131</v>
      </c>
      <c r="B1" s="16"/>
      <c r="C1" s="3"/>
      <c r="D1" s="3"/>
      <c r="E1" s="3"/>
      <c r="F1" s="3"/>
      <c r="G1" s="22"/>
      <c r="H1" s="3"/>
      <c r="I1" s="3"/>
      <c r="J1" s="3"/>
      <c r="K1" s="3"/>
      <c r="L1" s="3"/>
      <c r="M1" s="3"/>
      <c r="N1" s="3"/>
      <c r="O1" s="3"/>
      <c r="P1" s="3"/>
      <c r="Q1" s="3"/>
      <c r="R1" s="3"/>
      <c r="S1" s="3"/>
      <c r="T1" s="3"/>
      <c r="U1" s="3"/>
      <c r="V1" s="3"/>
      <c r="W1" s="3"/>
      <c r="X1" s="3"/>
      <c r="Y1" s="3"/>
      <c r="Z1" s="3"/>
    </row>
    <row r="2" spans="1:26" ht="68.25" customHeight="1" x14ac:dyDescent="0.25">
      <c r="A2" s="3"/>
      <c r="B2" s="3"/>
      <c r="C2" s="3"/>
      <c r="D2" s="3"/>
      <c r="E2" s="3"/>
      <c r="F2" s="3"/>
      <c r="G2" s="3"/>
      <c r="H2" s="3"/>
      <c r="I2" s="3"/>
      <c r="J2" s="3"/>
      <c r="K2" s="3"/>
      <c r="L2" s="3"/>
      <c r="M2" s="3"/>
      <c r="N2" s="3"/>
      <c r="O2" s="3"/>
      <c r="P2" s="3"/>
      <c r="Q2" s="3"/>
      <c r="R2" s="3"/>
      <c r="S2" s="3"/>
      <c r="T2" s="3"/>
      <c r="U2" s="3"/>
      <c r="V2" s="3"/>
      <c r="W2" s="3"/>
      <c r="X2" s="3"/>
      <c r="Y2" s="3"/>
      <c r="Z2" s="3"/>
    </row>
    <row r="3" spans="1:26" x14ac:dyDescent="0.25">
      <c r="A3" s="3"/>
      <c r="B3" s="3"/>
      <c r="C3" s="3"/>
      <c r="D3" s="3"/>
      <c r="E3" s="3"/>
      <c r="F3" s="3"/>
      <c r="G3" s="3"/>
      <c r="H3" s="3"/>
      <c r="I3" s="3"/>
      <c r="J3" s="3"/>
      <c r="K3" s="3"/>
      <c r="L3" s="3"/>
      <c r="M3" s="3"/>
      <c r="N3" s="3"/>
      <c r="O3" s="3"/>
      <c r="P3" s="3"/>
      <c r="Q3" s="3"/>
      <c r="R3" s="3"/>
      <c r="S3" s="3"/>
      <c r="T3" s="3"/>
      <c r="U3" s="3"/>
      <c r="V3" s="3"/>
      <c r="W3" s="3"/>
      <c r="X3" s="3"/>
      <c r="Y3" s="3"/>
      <c r="Z3" s="3"/>
    </row>
    <row r="4" spans="1:26" x14ac:dyDescent="0.25">
      <c r="A4" s="3"/>
      <c r="B4" s="3"/>
      <c r="C4" s="3"/>
      <c r="D4" s="3"/>
      <c r="E4" s="3"/>
      <c r="F4" s="3"/>
      <c r="G4" s="3"/>
      <c r="H4" s="3"/>
      <c r="I4" s="3"/>
      <c r="J4" s="3"/>
      <c r="K4" s="3"/>
      <c r="L4" s="3"/>
      <c r="M4" s="3"/>
      <c r="N4" s="3"/>
      <c r="O4" s="3"/>
      <c r="P4" s="3"/>
      <c r="Q4" s="3"/>
      <c r="R4" s="3"/>
      <c r="S4" s="3"/>
      <c r="T4" s="3"/>
      <c r="U4" s="3"/>
      <c r="V4" s="3"/>
      <c r="W4" s="3"/>
      <c r="X4" s="3"/>
      <c r="Y4" s="3"/>
      <c r="Z4" s="3"/>
    </row>
    <row r="5" spans="1:26" x14ac:dyDescent="0.25">
      <c r="A5" s="3"/>
      <c r="B5" s="3"/>
      <c r="C5" s="3"/>
      <c r="D5" s="3"/>
      <c r="E5" s="3"/>
      <c r="F5" s="3"/>
      <c r="G5" s="3"/>
      <c r="H5" s="3"/>
      <c r="I5" s="3"/>
      <c r="J5" s="3"/>
      <c r="K5" s="3"/>
      <c r="L5" s="3"/>
      <c r="M5" s="3"/>
      <c r="N5" s="3"/>
      <c r="O5" s="3"/>
      <c r="P5" s="3"/>
      <c r="Q5" s="3"/>
      <c r="R5" s="3"/>
      <c r="S5" s="3"/>
      <c r="T5" s="3"/>
      <c r="U5" s="3"/>
      <c r="V5" s="3"/>
      <c r="W5" s="3"/>
      <c r="X5" s="3"/>
      <c r="Y5" s="3"/>
      <c r="Z5" s="3"/>
    </row>
    <row r="6" spans="1:26" x14ac:dyDescent="0.25">
      <c r="A6" s="3"/>
      <c r="B6" s="3"/>
      <c r="C6" s="3"/>
      <c r="D6" s="194"/>
      <c r="E6" s="195"/>
      <c r="F6" s="739" t="s">
        <v>1136</v>
      </c>
      <c r="G6" s="743" t="s">
        <v>1137</v>
      </c>
      <c r="H6" s="3"/>
      <c r="I6" s="3"/>
      <c r="J6" s="3"/>
      <c r="K6" s="3"/>
      <c r="L6" s="3"/>
      <c r="M6" s="3"/>
      <c r="N6" s="3"/>
      <c r="O6" s="3"/>
      <c r="P6" s="3"/>
      <c r="Q6" s="3"/>
      <c r="R6" s="3"/>
      <c r="S6" s="3"/>
      <c r="T6" s="3"/>
      <c r="U6" s="3"/>
      <c r="V6" s="3"/>
      <c r="W6" s="3"/>
      <c r="X6" s="3"/>
      <c r="Y6" s="3"/>
      <c r="Z6" s="3"/>
    </row>
    <row r="7" spans="1:26" x14ac:dyDescent="0.25">
      <c r="A7" s="3"/>
      <c r="B7" s="3"/>
      <c r="C7" s="3"/>
      <c r="D7" s="774"/>
      <c r="E7" s="775"/>
      <c r="F7" s="775"/>
      <c r="G7" s="1406"/>
      <c r="H7" s="3"/>
      <c r="I7" s="3"/>
      <c r="J7" s="2312" t="s">
        <v>1</v>
      </c>
      <c r="K7" s="2313"/>
      <c r="L7" s="3"/>
      <c r="M7" s="3"/>
      <c r="N7" s="3"/>
      <c r="O7" s="3"/>
      <c r="P7" s="3"/>
      <c r="Q7" s="3"/>
      <c r="R7" s="3"/>
      <c r="S7" s="3"/>
      <c r="T7" s="3"/>
      <c r="U7" s="3"/>
      <c r="V7" s="3"/>
      <c r="W7" s="3"/>
      <c r="X7" s="3"/>
      <c r="Y7" s="3"/>
      <c r="Z7" s="3"/>
    </row>
    <row r="8" spans="1:26" ht="15.75" customHeight="1" x14ac:dyDescent="0.3">
      <c r="A8" s="3"/>
      <c r="B8" s="3"/>
      <c r="C8" s="3"/>
      <c r="D8" s="194"/>
      <c r="E8" s="195" t="s">
        <v>1138</v>
      </c>
      <c r="F8" s="1408">
        <v>163493.79999999999</v>
      </c>
      <c r="G8" s="1413">
        <f t="shared" ref="G8:G10" si="0">F8*1.1023</f>
        <v>180219.21573999999</v>
      </c>
      <c r="H8" s="3"/>
      <c r="I8" s="3"/>
      <c r="J8" s="236"/>
      <c r="K8" s="236"/>
      <c r="L8" s="3"/>
      <c r="M8" s="3"/>
      <c r="N8" s="3"/>
      <c r="O8" s="3"/>
      <c r="P8" s="3"/>
      <c r="Q8" s="3"/>
      <c r="R8" s="3"/>
      <c r="S8" s="3"/>
      <c r="T8" s="3"/>
      <c r="U8" s="3"/>
      <c r="V8" s="3"/>
      <c r="W8" s="3"/>
      <c r="X8" s="3"/>
      <c r="Y8" s="3"/>
      <c r="Z8" s="3"/>
    </row>
    <row r="9" spans="1:26" ht="15.75" customHeight="1" x14ac:dyDescent="0.3">
      <c r="A9" s="3"/>
      <c r="B9" s="3"/>
      <c r="C9" s="3"/>
      <c r="D9" s="1415" t="s">
        <v>1141</v>
      </c>
      <c r="E9" s="81" t="s">
        <v>1142</v>
      </c>
      <c r="F9" s="672">
        <v>0.01</v>
      </c>
      <c r="G9" s="1418">
        <f t="shared" si="0"/>
        <v>1.1023000000000002E-2</v>
      </c>
      <c r="H9" s="3"/>
      <c r="I9" s="3"/>
      <c r="J9" s="241" t="s">
        <v>188</v>
      </c>
      <c r="K9" s="243">
        <f>Summary!E4</f>
        <v>1</v>
      </c>
      <c r="L9" s="3"/>
      <c r="M9" s="3"/>
      <c r="N9" s="3"/>
      <c r="O9" s="3"/>
      <c r="P9" s="3"/>
      <c r="Q9" s="3"/>
      <c r="R9" s="3"/>
      <c r="S9" s="3"/>
      <c r="T9" s="3"/>
      <c r="U9" s="3"/>
      <c r="V9" s="3"/>
      <c r="W9" s="3"/>
      <c r="X9" s="3"/>
      <c r="Y9" s="3"/>
      <c r="Z9" s="3"/>
    </row>
    <row r="10" spans="1:26" ht="15.75" customHeight="1" x14ac:dyDescent="0.3">
      <c r="A10" s="3"/>
      <c r="B10" s="3"/>
      <c r="C10" s="3"/>
      <c r="D10" s="1420"/>
      <c r="E10" s="210" t="s">
        <v>1144</v>
      </c>
      <c r="F10" s="1422">
        <v>5.8999999999999997E-2</v>
      </c>
      <c r="G10" s="1423">
        <f t="shared" si="0"/>
        <v>6.5035700000000002E-2</v>
      </c>
      <c r="H10" s="3"/>
      <c r="I10" s="3"/>
      <c r="J10" s="241" t="s">
        <v>192</v>
      </c>
      <c r="K10" s="243">
        <f>Summary!E5</f>
        <v>27.9</v>
      </c>
      <c r="L10" s="3"/>
      <c r="M10" s="3"/>
      <c r="N10" s="3"/>
      <c r="O10" s="3"/>
      <c r="P10" s="3"/>
      <c r="Q10" s="3"/>
      <c r="R10" s="3"/>
      <c r="S10" s="3"/>
      <c r="T10" s="3"/>
      <c r="U10" s="3"/>
      <c r="V10" s="3"/>
      <c r="W10" s="3"/>
      <c r="X10" s="3"/>
      <c r="Y10" s="3"/>
      <c r="Z10" s="3"/>
    </row>
    <row r="11" spans="1:26" ht="15.75" customHeight="1" x14ac:dyDescent="0.3">
      <c r="A11" s="3"/>
      <c r="B11" s="3"/>
      <c r="C11" s="3"/>
      <c r="D11" s="1428"/>
      <c r="E11" s="195" t="s">
        <v>1148</v>
      </c>
      <c r="F11" s="123">
        <f t="shared" ref="F11:F12" si="1">G11/1.1023</f>
        <v>495389.63984396262</v>
      </c>
      <c r="G11" s="1432">
        <v>546068</v>
      </c>
      <c r="H11" s="3"/>
      <c r="I11" s="3"/>
      <c r="J11" s="241" t="s">
        <v>194</v>
      </c>
      <c r="K11" s="243">
        <f>Summary!E6</f>
        <v>273</v>
      </c>
      <c r="L11" s="3"/>
      <c r="M11" s="3"/>
      <c r="N11" s="3"/>
      <c r="O11" s="3"/>
      <c r="P11" s="3"/>
      <c r="Q11" s="3"/>
      <c r="R11" s="3"/>
      <c r="S11" s="3"/>
      <c r="T11" s="3"/>
      <c r="U11" s="3"/>
      <c r="V11" s="3"/>
      <c r="W11" s="3"/>
      <c r="X11" s="3"/>
      <c r="Y11" s="3"/>
      <c r="Z11" s="3"/>
    </row>
    <row r="12" spans="1:26" ht="15.75" customHeight="1" x14ac:dyDescent="0.3">
      <c r="A12" s="3"/>
      <c r="B12" s="3"/>
      <c r="C12" s="3"/>
      <c r="D12" s="1415" t="s">
        <v>1152</v>
      </c>
      <c r="E12" s="81" t="s">
        <v>1153</v>
      </c>
      <c r="F12" s="123">
        <f t="shared" si="1"/>
        <v>0.9071940488070398</v>
      </c>
      <c r="G12" s="1433">
        <v>1</v>
      </c>
      <c r="H12" s="3"/>
      <c r="I12" s="3"/>
      <c r="J12" s="241" t="s">
        <v>197</v>
      </c>
      <c r="K12" s="243">
        <f>Summary!E7</f>
        <v>24300</v>
      </c>
      <c r="L12" s="3"/>
      <c r="M12" s="3"/>
      <c r="N12" s="3"/>
      <c r="O12" s="3"/>
      <c r="P12" s="3"/>
      <c r="Q12" s="3"/>
      <c r="R12" s="3"/>
      <c r="S12" s="3"/>
      <c r="T12" s="3"/>
      <c r="U12" s="3"/>
      <c r="V12" s="3"/>
      <c r="W12" s="3"/>
      <c r="X12" s="3"/>
      <c r="Y12" s="3"/>
      <c r="Z12" s="3"/>
    </row>
    <row r="13" spans="1:26" ht="15.75" customHeight="1" x14ac:dyDescent="0.3">
      <c r="A13" s="3"/>
      <c r="B13" s="3"/>
      <c r="C13" s="3"/>
      <c r="D13" s="1428"/>
      <c r="E13" s="210" t="s">
        <v>1155</v>
      </c>
      <c r="F13" s="123"/>
      <c r="G13" s="1433">
        <v>0</v>
      </c>
      <c r="H13" s="3"/>
      <c r="I13" s="3"/>
      <c r="J13" s="241"/>
      <c r="K13" s="243"/>
      <c r="L13" s="3"/>
      <c r="M13" s="3"/>
      <c r="N13" s="3"/>
      <c r="O13" s="3"/>
      <c r="P13" s="3"/>
      <c r="Q13" s="3"/>
      <c r="R13" s="3"/>
      <c r="S13" s="3"/>
      <c r="T13" s="3"/>
      <c r="U13" s="3"/>
      <c r="V13" s="3"/>
      <c r="W13" s="3"/>
      <c r="X13" s="3"/>
      <c r="Y13" s="3"/>
      <c r="Z13" s="3"/>
    </row>
    <row r="14" spans="1:26" ht="15.75" customHeight="1" x14ac:dyDescent="0.3">
      <c r="A14" s="3"/>
      <c r="B14" s="3"/>
      <c r="C14" s="3"/>
      <c r="D14" s="1435" t="s">
        <v>1156</v>
      </c>
      <c r="E14" s="1386" t="s">
        <v>1158</v>
      </c>
      <c r="F14" s="1436">
        <v>101100.8</v>
      </c>
      <c r="G14" s="1438">
        <f>F14*1.1023</f>
        <v>111443.41184000002</v>
      </c>
      <c r="H14" s="3"/>
      <c r="I14" s="3"/>
      <c r="J14" s="3"/>
      <c r="K14" s="3"/>
      <c r="L14" s="3"/>
      <c r="M14" s="3"/>
      <c r="N14" s="3"/>
      <c r="O14" s="3"/>
      <c r="P14" s="3"/>
      <c r="Q14" s="3"/>
      <c r="R14" s="3"/>
      <c r="S14" s="3"/>
      <c r="T14" s="3"/>
      <c r="U14" s="3"/>
      <c r="V14" s="3"/>
      <c r="W14" s="3"/>
      <c r="X14" s="3"/>
      <c r="Y14" s="3"/>
      <c r="Z14" s="3"/>
    </row>
    <row r="15" spans="1:26" x14ac:dyDescent="0.25">
      <c r="A15" s="3"/>
      <c r="B15" s="3"/>
      <c r="C15" s="3"/>
      <c r="D15" s="1428"/>
      <c r="E15" s="73"/>
      <c r="F15" s="123"/>
      <c r="G15" s="1433"/>
      <c r="H15" s="3"/>
      <c r="I15" s="3"/>
      <c r="J15" s="3"/>
      <c r="K15" s="3"/>
      <c r="L15" s="3"/>
      <c r="M15" s="3"/>
      <c r="N15" s="3"/>
      <c r="O15" s="3"/>
      <c r="P15" s="3"/>
      <c r="Q15" s="3"/>
      <c r="R15" s="3"/>
      <c r="S15" s="3"/>
      <c r="T15" s="3"/>
      <c r="U15" s="3"/>
      <c r="V15" s="3"/>
      <c r="W15" s="3"/>
      <c r="X15" s="3"/>
      <c r="Y15" s="3"/>
      <c r="Z15" s="3"/>
    </row>
    <row r="16" spans="1:26" ht="15.75" customHeight="1" x14ac:dyDescent="0.3">
      <c r="A16" s="3"/>
      <c r="B16" s="3"/>
      <c r="C16" s="3"/>
      <c r="D16" s="1435" t="s">
        <v>1163</v>
      </c>
      <c r="E16" s="1386" t="s">
        <v>1164</v>
      </c>
      <c r="F16" s="1436">
        <v>149728.20000000001</v>
      </c>
      <c r="G16" s="1438">
        <f>F16*1.1023</f>
        <v>165045.39486000003</v>
      </c>
      <c r="H16" s="3"/>
      <c r="I16" s="3"/>
      <c r="J16" s="3"/>
      <c r="K16" s="3"/>
      <c r="L16" s="3"/>
      <c r="M16" s="3"/>
      <c r="N16" s="3"/>
      <c r="O16" s="3"/>
      <c r="P16" s="3"/>
      <c r="Q16" s="3"/>
      <c r="R16" s="3"/>
      <c r="S16" s="3"/>
      <c r="T16" s="3"/>
      <c r="U16" s="3"/>
      <c r="V16" s="3"/>
      <c r="W16" s="3"/>
      <c r="X16" s="3"/>
      <c r="Y16" s="3"/>
      <c r="Z16" s="3"/>
    </row>
    <row r="17" spans="1:26" x14ac:dyDescent="0.25">
      <c r="A17" s="3"/>
      <c r="B17" s="3"/>
      <c r="C17" s="3"/>
      <c r="D17" s="1428"/>
      <c r="E17" s="73"/>
      <c r="F17" s="73"/>
      <c r="G17" s="1433"/>
      <c r="H17" s="3"/>
      <c r="I17" s="3"/>
      <c r="J17" s="3"/>
      <c r="K17" s="3"/>
      <c r="L17" s="3"/>
      <c r="M17" s="3"/>
      <c r="N17" s="3"/>
      <c r="O17" s="3"/>
      <c r="P17" s="3"/>
      <c r="Q17" s="3"/>
      <c r="R17" s="3"/>
      <c r="S17" s="3"/>
      <c r="T17" s="3"/>
      <c r="U17" s="3"/>
      <c r="V17" s="3"/>
      <c r="W17" s="3"/>
      <c r="X17" s="3"/>
      <c r="Y17" s="3"/>
      <c r="Z17" s="3"/>
    </row>
    <row r="18" spans="1:26" ht="15.75" customHeight="1" x14ac:dyDescent="0.3">
      <c r="A18" s="3"/>
      <c r="B18" s="3"/>
      <c r="C18" s="3"/>
      <c r="D18" s="1443"/>
      <c r="E18" s="1444" t="s">
        <v>1167</v>
      </c>
      <c r="F18" s="1447">
        <f t="shared" ref="F18:G18" si="2">F8+F14+F16+F11</f>
        <v>909712.43984396267</v>
      </c>
      <c r="G18" s="1448">
        <f t="shared" si="2"/>
        <v>1002776.02244</v>
      </c>
      <c r="H18" s="3"/>
      <c r="I18" s="3"/>
      <c r="J18" s="3"/>
      <c r="K18" s="3"/>
      <c r="L18" s="3"/>
      <c r="M18" s="3"/>
      <c r="N18" s="3"/>
      <c r="O18" s="3"/>
      <c r="P18" s="3"/>
      <c r="Q18" s="3"/>
      <c r="R18" s="3"/>
      <c r="S18" s="3"/>
      <c r="T18" s="3"/>
      <c r="U18" s="3"/>
      <c r="V18" s="3"/>
      <c r="W18" s="3"/>
      <c r="X18" s="3"/>
      <c r="Y18" s="3"/>
      <c r="Z18" s="3"/>
    </row>
    <row r="19" spans="1:26" ht="15.75" customHeight="1" x14ac:dyDescent="0.3">
      <c r="A19" s="3"/>
      <c r="B19" s="3"/>
      <c r="C19" s="3"/>
      <c r="D19" s="1449" t="s">
        <v>205</v>
      </c>
      <c r="E19" s="1450" t="s">
        <v>1169</v>
      </c>
      <c r="F19" s="1451">
        <f t="shared" ref="F19:G19" si="3">F9+F12</f>
        <v>0.91719404880703981</v>
      </c>
      <c r="G19" s="1452">
        <f t="shared" si="3"/>
        <v>1.011023</v>
      </c>
      <c r="H19" s="3"/>
      <c r="I19" s="3"/>
      <c r="J19" s="3"/>
      <c r="K19" s="3"/>
      <c r="L19" s="3"/>
      <c r="M19" s="3"/>
      <c r="N19" s="3"/>
      <c r="O19" s="3"/>
      <c r="P19" s="3"/>
      <c r="Q19" s="3"/>
      <c r="R19" s="3"/>
      <c r="S19" s="3"/>
      <c r="T19" s="3"/>
      <c r="U19" s="3"/>
      <c r="V19" s="3"/>
      <c r="W19" s="3"/>
      <c r="X19" s="3"/>
      <c r="Y19" s="3"/>
      <c r="Z19" s="3"/>
    </row>
    <row r="20" spans="1:26" ht="15.75" customHeight="1" x14ac:dyDescent="0.3">
      <c r="A20" s="3"/>
      <c r="B20" s="3"/>
      <c r="C20" s="3"/>
      <c r="D20" s="1455"/>
      <c r="E20" s="1456" t="s">
        <v>1171</v>
      </c>
      <c r="F20" s="1458">
        <f>F10</f>
        <v>5.8999999999999997E-2</v>
      </c>
      <c r="G20" s="1459">
        <f>G10+G13</f>
        <v>6.5035700000000002E-2</v>
      </c>
      <c r="H20" s="3"/>
      <c r="I20" s="3"/>
      <c r="J20" s="3"/>
      <c r="K20" s="3"/>
      <c r="L20" s="3"/>
      <c r="M20" s="3"/>
      <c r="N20" s="3"/>
      <c r="O20" s="3"/>
      <c r="P20" s="3"/>
      <c r="Q20" s="3"/>
      <c r="R20" s="3"/>
      <c r="S20" s="3"/>
      <c r="T20" s="3"/>
      <c r="U20" s="3"/>
      <c r="V20" s="3"/>
      <c r="W20" s="3"/>
      <c r="X20" s="3"/>
      <c r="Y20" s="3"/>
      <c r="Z20" s="3"/>
    </row>
    <row r="21" spans="1:26" ht="15.75" customHeight="1" x14ac:dyDescent="0.25">
      <c r="A21" s="3"/>
      <c r="B21" s="3"/>
      <c r="C21" s="3"/>
      <c r="D21" s="1461"/>
      <c r="E21" s="133"/>
      <c r="F21" s="133"/>
      <c r="G21" s="1462"/>
      <c r="H21" s="3"/>
      <c r="I21" s="3"/>
      <c r="J21" s="3"/>
      <c r="K21" s="3"/>
      <c r="L21" s="3"/>
      <c r="M21" s="3"/>
      <c r="N21" s="3"/>
      <c r="O21" s="3"/>
      <c r="P21" s="3"/>
      <c r="Q21" s="3"/>
      <c r="R21" s="3"/>
      <c r="S21" s="3"/>
      <c r="T21" s="3"/>
      <c r="U21" s="3"/>
      <c r="V21" s="3"/>
      <c r="W21" s="3"/>
      <c r="X21" s="3"/>
      <c r="Y21" s="3"/>
      <c r="Z21" s="3"/>
    </row>
    <row r="22" spans="1:26" ht="15.75" customHeight="1" x14ac:dyDescent="0.25">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5.75" customHeight="1" x14ac:dyDescent="0.25">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5.75" customHeight="1" x14ac:dyDescent="0.25">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5.75" customHeight="1" x14ac:dyDescent="0.25">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5.75" customHeight="1" x14ac:dyDescent="0.25">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5.75" customHeight="1" x14ac:dyDescent="0.25">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5.75" customHeight="1" x14ac:dyDescent="0.25">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5.75" customHeight="1" x14ac:dyDescent="0.25">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5.75" customHeight="1" x14ac:dyDescent="0.25">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5.75" customHeight="1" x14ac:dyDescent="0.25">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5.75" customHeight="1" x14ac:dyDescent="0.25">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5.75" customHeight="1" x14ac:dyDescent="0.25">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5.75" customHeight="1" x14ac:dyDescent="0.25">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5.75" customHeight="1" x14ac:dyDescent="0.25">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5.75" customHeight="1" x14ac:dyDescent="0.25">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5.75" customHeight="1" x14ac:dyDescent="0.25">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5.75" customHeight="1" x14ac:dyDescent="0.25">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5.75" customHeight="1" x14ac:dyDescent="0.25">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5.75" customHeight="1" x14ac:dyDescent="0.25">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x14ac:dyDescent="0.25">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x14ac:dyDescent="0.25">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x14ac:dyDescent="0.25">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x14ac:dyDescent="0.25">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x14ac:dyDescent="0.25">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x14ac:dyDescent="0.25">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x14ac:dyDescent="0.25">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x14ac:dyDescent="0.25">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x14ac:dyDescent="0.25">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x14ac:dyDescent="0.25">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x14ac:dyDescent="0.25">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x14ac:dyDescent="0.25">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x14ac:dyDescent="0.25">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x14ac:dyDescent="0.25">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x14ac:dyDescent="0.25">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x14ac:dyDescent="0.25">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x14ac:dyDescent="0.25">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x14ac:dyDescent="0.25">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x14ac:dyDescent="0.25">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x14ac:dyDescent="0.25">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x14ac:dyDescent="0.25">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x14ac:dyDescent="0.25">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x14ac:dyDescent="0.25">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x14ac:dyDescent="0.25">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x14ac:dyDescent="0.25">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x14ac:dyDescent="0.25">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x14ac:dyDescent="0.25">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x14ac:dyDescent="0.25">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x14ac:dyDescent="0.25">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x14ac:dyDescent="0.25">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x14ac:dyDescent="0.25">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x14ac:dyDescent="0.25">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x14ac:dyDescent="0.25">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x14ac:dyDescent="0.2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25">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2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x14ac:dyDescent="0.25">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x14ac:dyDescent="0.2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2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2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2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2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2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2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2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2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2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2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2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2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2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2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2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2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2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2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2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2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
    <row r="222" spans="1:26" ht="15.75" customHeight="1" x14ac:dyDescent="0.2"/>
    <row r="223" spans="1:26" ht="15.75" customHeight="1" x14ac:dyDescent="0.2"/>
    <row r="224" spans="1:26"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J7:K7"/>
  </mergeCells>
  <pageMargins left="0.7" right="0.7" top="0.75" bottom="0.75" header="0" footer="0"/>
  <pageSetup orientation="landscape"/>
  <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Z1000"/>
  <sheetViews>
    <sheetView workbookViewId="0"/>
  </sheetViews>
  <sheetFormatPr defaultColWidth="16.83203125" defaultRowHeight="15" customHeight="1" x14ac:dyDescent="0.2"/>
  <cols>
    <col min="1" max="2" width="9.33203125" customWidth="1"/>
    <col min="3" max="3" width="26.33203125" customWidth="1"/>
    <col min="4" max="4" width="32.1640625" customWidth="1"/>
    <col min="5" max="5" width="19.5" customWidth="1"/>
    <col min="6" max="6" width="2.33203125" customWidth="1"/>
    <col min="7" max="7" width="18.1640625" customWidth="1"/>
    <col min="8" max="8" width="2.33203125" customWidth="1"/>
    <col min="9" max="9" width="14.5" customWidth="1"/>
    <col min="10" max="10" width="13.33203125" customWidth="1"/>
    <col min="11" max="19" width="9.33203125" customWidth="1"/>
    <col min="20" max="26" width="8" customWidth="1"/>
  </cols>
  <sheetData>
    <row r="1" spans="1:26" x14ac:dyDescent="0.25">
      <c r="A1" s="3" t="s">
        <v>1122</v>
      </c>
      <c r="B1" s="16"/>
      <c r="C1" s="3"/>
      <c r="D1" s="3"/>
      <c r="E1" s="22"/>
      <c r="F1" s="3"/>
      <c r="G1" s="3"/>
      <c r="H1" s="3"/>
      <c r="I1" s="3"/>
      <c r="J1" s="3"/>
      <c r="K1" s="3"/>
      <c r="L1" s="3"/>
      <c r="M1" s="3"/>
      <c r="N1" s="3"/>
      <c r="O1" s="3"/>
      <c r="P1" s="3"/>
      <c r="Q1" s="3"/>
      <c r="R1" s="3"/>
      <c r="S1" s="3"/>
      <c r="T1" s="3"/>
      <c r="U1" s="3"/>
      <c r="V1" s="3"/>
      <c r="W1" s="3"/>
      <c r="X1" s="3"/>
      <c r="Y1" s="3"/>
      <c r="Z1" s="3"/>
    </row>
    <row r="2" spans="1:26" ht="57.75" customHeight="1" x14ac:dyDescent="0.25">
      <c r="A2" s="3"/>
      <c r="B2" s="1471"/>
      <c r="C2" s="1471"/>
      <c r="D2" s="954"/>
      <c r="E2" s="954"/>
      <c r="F2" s="954"/>
      <c r="G2" s="954"/>
      <c r="H2" s="1473"/>
      <c r="I2" s="3"/>
      <c r="J2" s="1473"/>
      <c r="K2" s="1473"/>
      <c r="L2" s="1473"/>
      <c r="M2" s="3"/>
      <c r="N2" s="3"/>
      <c r="O2" s="3"/>
      <c r="P2" s="3"/>
      <c r="Q2" s="3"/>
      <c r="R2" s="3"/>
      <c r="S2" s="3"/>
      <c r="T2" s="3"/>
      <c r="U2" s="3"/>
      <c r="V2" s="3"/>
      <c r="W2" s="3"/>
      <c r="X2" s="3"/>
      <c r="Y2" s="3"/>
      <c r="Z2" s="3"/>
    </row>
    <row r="3" spans="1:26" x14ac:dyDescent="0.25">
      <c r="A3" s="3"/>
      <c r="B3" s="1474"/>
      <c r="C3" s="1099"/>
      <c r="D3" s="1475" t="s">
        <v>1186</v>
      </c>
      <c r="E3" s="1475" t="s">
        <v>738</v>
      </c>
      <c r="F3" s="1475"/>
      <c r="G3" s="1475" t="s">
        <v>1187</v>
      </c>
      <c r="H3" s="1099"/>
      <c r="I3" s="1475" t="s">
        <v>686</v>
      </c>
      <c r="J3" s="1476" t="s">
        <v>686</v>
      </c>
      <c r="K3" s="3"/>
      <c r="L3" s="3"/>
      <c r="M3" s="3"/>
      <c r="N3" s="3"/>
      <c r="O3" s="3"/>
      <c r="P3" s="3"/>
      <c r="Q3" s="3"/>
      <c r="R3" s="3"/>
      <c r="S3" s="3"/>
      <c r="T3" s="3"/>
      <c r="U3" s="3"/>
      <c r="V3" s="3"/>
      <c r="W3" s="3"/>
      <c r="X3" s="3"/>
      <c r="Y3" s="3"/>
      <c r="Z3" s="3"/>
    </row>
    <row r="4" spans="1:26" x14ac:dyDescent="0.25">
      <c r="A4" s="3"/>
      <c r="B4" s="1477"/>
      <c r="C4" s="81"/>
      <c r="D4" s="1047" t="s">
        <v>1188</v>
      </c>
      <c r="E4" s="1047" t="s">
        <v>1189</v>
      </c>
      <c r="F4" s="1047"/>
      <c r="G4" s="1047" t="s">
        <v>1190</v>
      </c>
      <c r="H4" s="81"/>
      <c r="I4" s="1047" t="s">
        <v>1191</v>
      </c>
      <c r="J4" s="1478" t="s">
        <v>1192</v>
      </c>
      <c r="K4" s="3"/>
      <c r="L4" s="3"/>
      <c r="M4" s="3"/>
      <c r="N4" s="3"/>
      <c r="O4" s="3"/>
      <c r="P4" s="3"/>
      <c r="Q4" s="3"/>
      <c r="R4" s="3"/>
      <c r="S4" s="3"/>
      <c r="T4" s="3"/>
      <c r="U4" s="3"/>
      <c r="V4" s="3"/>
      <c r="W4" s="3"/>
      <c r="X4" s="3"/>
      <c r="Y4" s="3"/>
      <c r="Z4" s="3"/>
    </row>
    <row r="5" spans="1:26" x14ac:dyDescent="0.25">
      <c r="A5" s="3"/>
      <c r="B5" s="1477"/>
      <c r="C5" s="58"/>
      <c r="D5" s="1047"/>
      <c r="E5" s="1047"/>
      <c r="F5" s="1047"/>
      <c r="G5" s="1047"/>
      <c r="H5" s="1047"/>
      <c r="I5" s="1047"/>
      <c r="J5" s="1113"/>
      <c r="K5" s="3"/>
      <c r="L5" s="3"/>
      <c r="M5" s="3"/>
      <c r="N5" s="3"/>
      <c r="O5" s="3"/>
      <c r="P5" s="3"/>
      <c r="Q5" s="3"/>
      <c r="R5" s="3"/>
      <c r="S5" s="3"/>
      <c r="T5" s="3"/>
      <c r="U5" s="3"/>
      <c r="V5" s="3"/>
      <c r="W5" s="3"/>
      <c r="X5" s="3"/>
      <c r="Y5" s="3"/>
      <c r="Z5" s="3"/>
    </row>
    <row r="6" spans="1:26" x14ac:dyDescent="0.25">
      <c r="A6" s="3"/>
      <c r="B6" s="1482"/>
      <c r="C6" s="204"/>
      <c r="D6" s="81"/>
      <c r="E6" s="81"/>
      <c r="F6" s="81"/>
      <c r="G6" s="1483"/>
      <c r="H6" s="81"/>
      <c r="I6" s="81"/>
      <c r="J6" s="1113"/>
      <c r="K6" s="3"/>
      <c r="L6" s="3"/>
      <c r="M6" s="3"/>
      <c r="N6" s="3"/>
      <c r="O6" s="3"/>
      <c r="P6" s="3"/>
      <c r="Q6" s="3"/>
      <c r="R6" s="3"/>
      <c r="S6" s="3"/>
      <c r="T6" s="3"/>
      <c r="U6" s="3"/>
      <c r="V6" s="3"/>
      <c r="W6" s="3"/>
      <c r="X6" s="3"/>
      <c r="Y6" s="3"/>
      <c r="Z6" s="3"/>
    </row>
    <row r="7" spans="1:26" x14ac:dyDescent="0.25">
      <c r="A7" s="3"/>
      <c r="B7" s="1485">
        <v>2011</v>
      </c>
      <c r="C7" s="1040" t="s">
        <v>1129</v>
      </c>
      <c r="D7" s="1487">
        <v>0</v>
      </c>
      <c r="E7" s="1053">
        <v>1.2</v>
      </c>
      <c r="F7" s="1053"/>
      <c r="G7" s="624">
        <f>D8*E8</f>
        <v>951.18999999999994</v>
      </c>
      <c r="H7" s="204"/>
      <c r="I7" s="624">
        <f>IF(D7&gt;0,D7*E7-(G7),0)</f>
        <v>0</v>
      </c>
      <c r="J7" s="1494"/>
      <c r="K7" s="170"/>
      <c r="L7" s="3"/>
      <c r="M7" s="3"/>
      <c r="N7" s="3"/>
      <c r="O7" s="3"/>
      <c r="P7" s="3"/>
      <c r="Q7" s="3"/>
      <c r="R7" s="3"/>
      <c r="S7" s="3"/>
      <c r="T7" s="3"/>
      <c r="U7" s="3"/>
      <c r="V7" s="3"/>
      <c r="W7" s="3"/>
      <c r="X7" s="3"/>
      <c r="Y7" s="3"/>
      <c r="Z7" s="3"/>
    </row>
    <row r="8" spans="1:26" x14ac:dyDescent="0.25">
      <c r="A8" s="3"/>
      <c r="B8" s="1498">
        <v>18</v>
      </c>
      <c r="C8" s="1040" t="s">
        <v>1133</v>
      </c>
      <c r="D8" s="1487">
        <v>1303</v>
      </c>
      <c r="E8" s="672">
        <v>0.73</v>
      </c>
      <c r="F8" s="672"/>
      <c r="G8" s="204"/>
      <c r="H8" s="204"/>
      <c r="I8" s="624">
        <f>D8*E8</f>
        <v>951.18999999999994</v>
      </c>
      <c r="J8" s="1504">
        <f>I8/1000000</f>
        <v>9.5118999999999998E-4</v>
      </c>
      <c r="K8" s="170"/>
      <c r="L8" s="3"/>
      <c r="M8" s="3"/>
      <c r="N8" s="3"/>
      <c r="O8" s="3"/>
      <c r="P8" s="3"/>
      <c r="Q8" s="3"/>
      <c r="R8" s="3"/>
      <c r="S8" s="3"/>
      <c r="T8" s="3"/>
      <c r="U8" s="3"/>
      <c r="V8" s="3"/>
      <c r="W8" s="3"/>
      <c r="X8" s="3"/>
      <c r="Y8" s="3"/>
      <c r="Z8" s="3"/>
    </row>
    <row r="9" spans="1:26" x14ac:dyDescent="0.25">
      <c r="A9" s="3"/>
      <c r="B9" s="1505"/>
      <c r="C9" s="1122"/>
      <c r="D9" s="1121"/>
      <c r="E9" s="1121"/>
      <c r="F9" s="1121"/>
      <c r="G9" s="1508"/>
      <c r="H9" s="1121"/>
      <c r="I9" s="1121"/>
      <c r="J9" s="1128"/>
      <c r="K9" s="3"/>
      <c r="L9" s="3"/>
      <c r="M9" s="3"/>
      <c r="N9" s="3"/>
      <c r="O9" s="3"/>
      <c r="P9" s="3"/>
      <c r="Q9" s="3"/>
      <c r="R9" s="3"/>
      <c r="S9" s="3"/>
      <c r="T9" s="3"/>
      <c r="U9" s="3"/>
      <c r="V9" s="3"/>
      <c r="W9" s="3"/>
      <c r="X9" s="3"/>
      <c r="Y9" s="3"/>
      <c r="Z9" s="3"/>
    </row>
    <row r="10" spans="1:26" x14ac:dyDescent="0.25">
      <c r="A10" s="3"/>
      <c r="B10" s="3"/>
      <c r="C10" s="3"/>
      <c r="D10" s="3"/>
      <c r="E10" s="3"/>
      <c r="F10" s="3"/>
      <c r="G10" s="3"/>
      <c r="H10" s="3"/>
      <c r="I10" s="3"/>
      <c r="J10" s="3"/>
      <c r="K10" s="3"/>
      <c r="L10" s="3"/>
      <c r="M10" s="3"/>
      <c r="N10" s="3"/>
      <c r="O10" s="3"/>
      <c r="P10" s="3"/>
      <c r="Q10" s="3"/>
      <c r="R10" s="3"/>
      <c r="S10" s="3"/>
      <c r="T10" s="3"/>
      <c r="U10" s="3"/>
      <c r="V10" s="3"/>
      <c r="W10" s="3"/>
      <c r="X10" s="3"/>
      <c r="Y10" s="3"/>
      <c r="Z10" s="3"/>
    </row>
    <row r="11" spans="1:26" x14ac:dyDescent="0.25">
      <c r="A11" s="3"/>
      <c r="B11" s="3"/>
      <c r="C11" s="3"/>
      <c r="D11" s="3"/>
      <c r="E11" s="3"/>
      <c r="F11" s="3"/>
      <c r="G11" s="3"/>
      <c r="H11" s="3"/>
      <c r="I11" s="3"/>
      <c r="J11" s="3"/>
      <c r="K11" s="3"/>
      <c r="L11" s="3"/>
      <c r="M11" s="3"/>
      <c r="N11" s="3"/>
      <c r="O11" s="3"/>
      <c r="P11" s="3"/>
      <c r="Q11" s="3"/>
      <c r="R11" s="3"/>
      <c r="S11" s="3"/>
      <c r="T11" s="3"/>
      <c r="U11" s="3"/>
      <c r="V11" s="3"/>
      <c r="W11" s="3"/>
      <c r="X11" s="3"/>
      <c r="Y11" s="3"/>
      <c r="Z11" s="3"/>
    </row>
    <row r="12" spans="1:26" x14ac:dyDescent="0.25">
      <c r="A12" s="3"/>
      <c r="B12" s="3"/>
      <c r="C12" s="3"/>
      <c r="D12" s="3"/>
      <c r="E12" s="3"/>
      <c r="F12" s="3"/>
      <c r="G12" s="3"/>
      <c r="H12" s="3"/>
      <c r="I12" s="3"/>
      <c r="J12" s="3"/>
      <c r="K12" s="3"/>
      <c r="L12" s="3"/>
      <c r="M12" s="3"/>
      <c r="N12" s="3"/>
      <c r="O12" s="3"/>
      <c r="P12" s="3"/>
      <c r="Q12" s="3"/>
      <c r="R12" s="3"/>
      <c r="S12" s="3"/>
      <c r="T12" s="3"/>
      <c r="U12" s="3"/>
      <c r="V12" s="3"/>
      <c r="W12" s="3"/>
      <c r="X12" s="3"/>
      <c r="Y12" s="3"/>
      <c r="Z12" s="3"/>
    </row>
    <row r="13" spans="1:26" x14ac:dyDescent="0.25">
      <c r="A13" s="3"/>
      <c r="B13" s="3"/>
      <c r="C13" s="3"/>
      <c r="D13" s="3"/>
      <c r="E13" s="3"/>
      <c r="F13" s="3"/>
      <c r="G13" s="3"/>
      <c r="H13" s="3"/>
      <c r="I13" s="3"/>
      <c r="J13" s="3"/>
      <c r="K13" s="3"/>
      <c r="L13" s="3"/>
      <c r="M13" s="3"/>
      <c r="N13" s="3"/>
      <c r="O13" s="3"/>
      <c r="P13" s="3"/>
      <c r="Q13" s="3"/>
      <c r="R13" s="3"/>
      <c r="S13" s="3"/>
      <c r="T13" s="3"/>
      <c r="U13" s="3"/>
      <c r="V13" s="3"/>
      <c r="W13" s="3"/>
      <c r="X13" s="3"/>
      <c r="Y13" s="3"/>
      <c r="Z13" s="3"/>
    </row>
    <row r="14" spans="1:26" x14ac:dyDescent="0.25">
      <c r="A14" s="3"/>
      <c r="B14" s="3"/>
      <c r="C14" s="3"/>
      <c r="D14" s="3"/>
      <c r="E14" s="3"/>
      <c r="F14" s="3"/>
      <c r="G14" s="3"/>
      <c r="H14" s="3"/>
      <c r="I14" s="3"/>
      <c r="J14" s="3"/>
      <c r="K14" s="3"/>
      <c r="L14" s="3"/>
      <c r="M14" s="3"/>
      <c r="N14" s="3"/>
      <c r="O14" s="3"/>
      <c r="P14" s="3"/>
      <c r="Q14" s="3"/>
      <c r="R14" s="3"/>
      <c r="S14" s="3"/>
      <c r="T14" s="3"/>
      <c r="U14" s="3"/>
      <c r="V14" s="3"/>
      <c r="W14" s="3"/>
      <c r="X14" s="3"/>
      <c r="Y14" s="3"/>
      <c r="Z14" s="3"/>
    </row>
    <row r="15" spans="1:26" x14ac:dyDescent="0.25">
      <c r="A15" s="3"/>
      <c r="B15" s="3"/>
      <c r="C15" s="3"/>
      <c r="D15" s="3"/>
      <c r="E15" s="3"/>
      <c r="F15" s="3"/>
      <c r="G15" s="3"/>
      <c r="H15" s="3"/>
      <c r="I15" s="3"/>
      <c r="J15" s="3"/>
      <c r="K15" s="3"/>
      <c r="L15" s="3"/>
      <c r="M15" s="3"/>
      <c r="N15" s="3"/>
      <c r="O15" s="3"/>
      <c r="P15" s="3"/>
      <c r="Q15" s="3"/>
      <c r="R15" s="3"/>
      <c r="S15" s="3"/>
      <c r="T15" s="3"/>
      <c r="U15" s="3"/>
      <c r="V15" s="3"/>
      <c r="W15" s="3"/>
      <c r="X15" s="3"/>
      <c r="Y15" s="3"/>
      <c r="Z15" s="3"/>
    </row>
    <row r="16" spans="1:26" x14ac:dyDescent="0.25">
      <c r="A16" s="3"/>
      <c r="B16" s="3"/>
      <c r="C16" s="3"/>
      <c r="D16" s="3"/>
      <c r="E16" s="3"/>
      <c r="F16" s="3"/>
      <c r="G16" s="3"/>
      <c r="H16" s="3"/>
      <c r="I16" s="3"/>
      <c r="J16" s="3"/>
      <c r="K16" s="3"/>
      <c r="L16" s="3"/>
      <c r="M16" s="3"/>
      <c r="N16" s="3"/>
      <c r="O16" s="3"/>
      <c r="P16" s="3"/>
      <c r="Q16" s="3"/>
      <c r="R16" s="3"/>
      <c r="S16" s="3"/>
      <c r="T16" s="3"/>
      <c r="U16" s="3"/>
      <c r="V16" s="3"/>
      <c r="W16" s="3"/>
      <c r="X16" s="3"/>
      <c r="Y16" s="3"/>
      <c r="Z16" s="3"/>
    </row>
    <row r="17" spans="1:26" x14ac:dyDescent="0.25">
      <c r="A17" s="3"/>
      <c r="B17" s="3"/>
      <c r="C17" s="3"/>
      <c r="D17" s="3"/>
      <c r="E17" s="3"/>
      <c r="F17" s="3"/>
      <c r="G17" s="3"/>
      <c r="H17" s="3"/>
      <c r="I17" s="3"/>
      <c r="J17" s="3"/>
      <c r="K17" s="3"/>
      <c r="L17" s="3"/>
      <c r="M17" s="3"/>
      <c r="N17" s="3"/>
      <c r="O17" s="3"/>
      <c r="P17" s="3"/>
      <c r="Q17" s="3"/>
      <c r="R17" s="3"/>
      <c r="S17" s="3"/>
      <c r="T17" s="3"/>
      <c r="U17" s="3"/>
      <c r="V17" s="3"/>
      <c r="W17" s="3"/>
      <c r="X17" s="3"/>
      <c r="Y17" s="3"/>
      <c r="Z17" s="3"/>
    </row>
    <row r="18" spans="1:26" x14ac:dyDescent="0.25">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x14ac:dyDescent="0.25">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x14ac:dyDescent="0.25">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ht="15.75" customHeight="1" x14ac:dyDescent="0.25">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5.75" customHeight="1" x14ac:dyDescent="0.25">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5.75" customHeight="1" x14ac:dyDescent="0.25">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5.75" customHeight="1" x14ac:dyDescent="0.25">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5.75" customHeight="1" x14ac:dyDescent="0.25">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5.75" customHeight="1" x14ac:dyDescent="0.25">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5.75" customHeight="1" x14ac:dyDescent="0.25">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5.75" customHeight="1" x14ac:dyDescent="0.25">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5.75" customHeight="1" x14ac:dyDescent="0.25">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5.75" customHeight="1" x14ac:dyDescent="0.25">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5.75" customHeight="1" x14ac:dyDescent="0.25">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5.75" customHeight="1" x14ac:dyDescent="0.25">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5.75" customHeight="1" x14ac:dyDescent="0.25">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5.75" customHeight="1" x14ac:dyDescent="0.25">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5.75" customHeight="1" x14ac:dyDescent="0.25">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5.75" customHeight="1" x14ac:dyDescent="0.25">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5.75" customHeight="1" x14ac:dyDescent="0.25">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5.75" customHeight="1" x14ac:dyDescent="0.25">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5.75" customHeight="1" x14ac:dyDescent="0.25">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5.75" customHeight="1" x14ac:dyDescent="0.25">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x14ac:dyDescent="0.25">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x14ac:dyDescent="0.25">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x14ac:dyDescent="0.25">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x14ac:dyDescent="0.25">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x14ac:dyDescent="0.25">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x14ac:dyDescent="0.25">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x14ac:dyDescent="0.25">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x14ac:dyDescent="0.25">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x14ac:dyDescent="0.25">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x14ac:dyDescent="0.25">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x14ac:dyDescent="0.25">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x14ac:dyDescent="0.25">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x14ac:dyDescent="0.25">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x14ac:dyDescent="0.25">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x14ac:dyDescent="0.25">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x14ac:dyDescent="0.25">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x14ac:dyDescent="0.25">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x14ac:dyDescent="0.25">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x14ac:dyDescent="0.25">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x14ac:dyDescent="0.25">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x14ac:dyDescent="0.25">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x14ac:dyDescent="0.25">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x14ac:dyDescent="0.25">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x14ac:dyDescent="0.25">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x14ac:dyDescent="0.25">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x14ac:dyDescent="0.25">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x14ac:dyDescent="0.25">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x14ac:dyDescent="0.25">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x14ac:dyDescent="0.25">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x14ac:dyDescent="0.25">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x14ac:dyDescent="0.25">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x14ac:dyDescent="0.25">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x14ac:dyDescent="0.25">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x14ac:dyDescent="0.2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25">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2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x14ac:dyDescent="0.25">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x14ac:dyDescent="0.2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2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2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2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2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2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2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2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2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2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2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2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2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2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2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2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2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2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2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2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2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
    <row r="222" spans="1:26" ht="15.75" customHeight="1" x14ac:dyDescent="0.2"/>
    <row r="223" spans="1:26" ht="15.75" customHeight="1" x14ac:dyDescent="0.2"/>
    <row r="224" spans="1:26"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C462"/>
  <sheetViews>
    <sheetView workbookViewId="0"/>
  </sheetViews>
  <sheetFormatPr defaultColWidth="16.83203125" defaultRowHeight="15" customHeight="1" x14ac:dyDescent="0.2"/>
  <cols>
    <col min="1" max="1" width="6" customWidth="1"/>
    <col min="2" max="2" width="34.33203125" customWidth="1"/>
    <col min="3" max="3" width="17.83203125" customWidth="1"/>
    <col min="4" max="4" width="3.83203125" customWidth="1"/>
    <col min="5" max="5" width="19.33203125" customWidth="1"/>
    <col min="6" max="6" width="3.83203125" customWidth="1"/>
    <col min="7" max="7" width="15" customWidth="1"/>
    <col min="8" max="8" width="3.83203125" customWidth="1"/>
    <col min="9" max="9" width="17.83203125" customWidth="1"/>
    <col min="10" max="10" width="3.83203125" customWidth="1"/>
    <col min="11" max="11" width="16.6640625" customWidth="1"/>
    <col min="12" max="12" width="3.83203125" customWidth="1"/>
    <col min="13" max="13" width="20.5" customWidth="1"/>
    <col min="14" max="14" width="8.6640625" customWidth="1"/>
    <col min="15" max="15" width="15.6640625" customWidth="1"/>
    <col min="16" max="16" width="3.83203125" customWidth="1"/>
    <col min="17" max="17" width="13.83203125" customWidth="1"/>
    <col min="18" max="18" width="3.83203125" customWidth="1"/>
    <col min="19" max="19" width="16.6640625" customWidth="1"/>
    <col min="20" max="20" width="3.83203125" customWidth="1"/>
    <col min="21" max="21" width="15.1640625" customWidth="1"/>
    <col min="22" max="22" width="3.83203125" customWidth="1"/>
    <col min="23" max="23" width="16.33203125" customWidth="1"/>
    <col min="24" max="24" width="2.83203125" customWidth="1"/>
    <col min="25" max="25" width="14" customWidth="1"/>
    <col min="26" max="26" width="11" customWidth="1"/>
    <col min="27" max="27" width="20" customWidth="1"/>
    <col min="28" max="28" width="2.83203125" customWidth="1"/>
    <col min="29" max="29" width="17" customWidth="1"/>
    <col min="30" max="30" width="2.83203125" customWidth="1"/>
    <col min="31" max="31" width="15.5" customWidth="1"/>
    <col min="32" max="81" width="9.33203125" customWidth="1"/>
  </cols>
  <sheetData>
    <row r="1" spans="1:53" ht="21" x14ac:dyDescent="0.4">
      <c r="A1" s="1472" t="s">
        <v>1185</v>
      </c>
      <c r="B1" s="3"/>
      <c r="C1" s="3"/>
      <c r="D1" s="3"/>
      <c r="E1" s="22"/>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row>
    <row r="2" spans="1:53" ht="409.5" customHeight="1" x14ac:dyDescent="0.25">
      <c r="A2" s="3"/>
      <c r="B2" s="2362"/>
      <c r="C2" s="2317"/>
      <c r="D2" s="2317"/>
      <c r="E2" s="2317"/>
      <c r="F2" s="2317"/>
      <c r="G2" s="2317"/>
      <c r="H2" s="2317"/>
      <c r="I2" s="2317"/>
      <c r="J2" s="2317"/>
      <c r="K2" s="2317"/>
      <c r="L2" s="2317"/>
      <c r="M2" s="2317"/>
      <c r="N2" s="2317"/>
      <c r="O2" s="2317"/>
      <c r="P2" s="2317"/>
      <c r="Q2" s="2317"/>
      <c r="R2" s="2317"/>
      <c r="S2" s="2317"/>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row>
    <row r="3" spans="1:53" x14ac:dyDescent="0.25">
      <c r="A3" s="3"/>
      <c r="B3" s="1486" t="s">
        <v>1194</v>
      </c>
      <c r="C3" s="1489"/>
      <c r="D3" s="1489"/>
      <c r="E3" s="1489"/>
      <c r="F3" s="1489"/>
      <c r="G3" s="1489"/>
      <c r="H3" s="1489"/>
      <c r="I3" s="1489"/>
      <c r="J3" s="1489"/>
      <c r="K3" s="1489"/>
      <c r="L3" s="1489"/>
      <c r="M3" s="1492"/>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row>
    <row r="4" spans="1:53" ht="45" customHeight="1" x14ac:dyDescent="0.25">
      <c r="A4" s="3"/>
      <c r="B4" s="201"/>
      <c r="C4" s="1496" t="s">
        <v>1198</v>
      </c>
      <c r="D4" s="1496"/>
      <c r="E4" s="1496" t="s">
        <v>1199</v>
      </c>
      <c r="F4" s="1496"/>
      <c r="G4" s="1496" t="s">
        <v>1200</v>
      </c>
      <c r="H4" s="1499"/>
      <c r="I4" s="1496" t="s">
        <v>1201</v>
      </c>
      <c r="J4" s="1499"/>
      <c r="K4" s="1496" t="s">
        <v>1202</v>
      </c>
      <c r="L4" s="1499"/>
      <c r="M4" s="1502" t="s">
        <v>1203</v>
      </c>
      <c r="N4" s="3"/>
      <c r="O4" s="3"/>
      <c r="P4" s="3"/>
      <c r="Q4" s="3"/>
      <c r="R4" s="3"/>
      <c r="U4" s="3"/>
      <c r="V4" s="3"/>
      <c r="W4" s="3"/>
      <c r="X4" s="3"/>
      <c r="Y4" s="2312" t="s">
        <v>1</v>
      </c>
      <c r="Z4" s="2313"/>
      <c r="AA4" s="3"/>
      <c r="AB4" s="3"/>
      <c r="AC4" s="3"/>
      <c r="AD4" s="3"/>
      <c r="AE4" s="3"/>
      <c r="AH4" s="3"/>
      <c r="AI4" s="3"/>
      <c r="AJ4" s="3"/>
      <c r="AK4" s="3"/>
      <c r="AL4" s="3"/>
      <c r="AM4" s="3"/>
      <c r="AN4" s="3"/>
      <c r="AO4" s="3"/>
      <c r="AP4" s="3"/>
      <c r="AQ4" s="3"/>
      <c r="AR4" s="3"/>
      <c r="AS4" s="3"/>
      <c r="AT4" s="3"/>
      <c r="AU4" s="3"/>
      <c r="AV4" s="3"/>
      <c r="AW4" s="3"/>
      <c r="AX4" s="3"/>
      <c r="AY4" s="3"/>
      <c r="AZ4" s="3"/>
      <c r="BA4" s="3"/>
    </row>
    <row r="5" spans="1:53" x14ac:dyDescent="0.25">
      <c r="A5" s="3"/>
      <c r="B5" s="470" t="s">
        <v>1204</v>
      </c>
      <c r="C5" s="204"/>
      <c r="D5" s="204"/>
      <c r="E5" s="81"/>
      <c r="F5" s="81"/>
      <c r="G5" s="81"/>
      <c r="H5" s="81"/>
      <c r="I5" s="81"/>
      <c r="J5" s="81"/>
      <c r="K5" s="81"/>
      <c r="L5" s="81"/>
      <c r="M5" s="206"/>
      <c r="N5" s="3"/>
      <c r="O5" s="3"/>
      <c r="P5" s="3"/>
      <c r="Q5" s="3"/>
      <c r="R5" s="3"/>
      <c r="U5" s="3"/>
      <c r="V5" s="3"/>
      <c r="W5" s="3"/>
      <c r="X5" s="3"/>
      <c r="Y5" s="236"/>
      <c r="Z5" s="236"/>
      <c r="AA5" s="3"/>
      <c r="AB5" s="3"/>
      <c r="AC5" s="3"/>
      <c r="AD5" s="3"/>
      <c r="AE5" s="3"/>
      <c r="AH5" s="3"/>
      <c r="AI5" s="3"/>
      <c r="AJ5" s="3"/>
      <c r="AK5" s="3"/>
      <c r="AL5" s="3"/>
      <c r="AM5" s="3"/>
      <c r="AN5" s="3"/>
      <c r="AO5" s="3"/>
      <c r="AP5" s="3"/>
      <c r="AQ5" s="3"/>
      <c r="AR5" s="3"/>
      <c r="AS5" s="3"/>
      <c r="AT5" s="3"/>
      <c r="AU5" s="3"/>
      <c r="AV5" s="3"/>
      <c r="AW5" s="3"/>
      <c r="AX5" s="3"/>
      <c r="AY5" s="3"/>
      <c r="AZ5" s="3"/>
      <c r="BA5" s="3"/>
    </row>
    <row r="6" spans="1:53" x14ac:dyDescent="0.25">
      <c r="A6" s="3"/>
      <c r="B6" s="745" t="s">
        <v>1205</v>
      </c>
      <c r="C6" s="1509">
        <v>53</v>
      </c>
      <c r="D6" s="204" t="s">
        <v>904</v>
      </c>
      <c r="E6" s="1045">
        <v>138.93539364</v>
      </c>
      <c r="F6" s="204" t="s">
        <v>889</v>
      </c>
      <c r="G6" s="624">
        <f t="shared" ref="G6:G9" si="0">C6*E6*1000</f>
        <v>7363575.8629200002</v>
      </c>
      <c r="H6" s="204" t="s">
        <v>889</v>
      </c>
      <c r="I6" s="1037">
        <f t="shared" ref="I6:I9" si="1">G6/1000*10^-6</f>
        <v>7.36357586292E-3</v>
      </c>
      <c r="J6" s="204" t="s">
        <v>889</v>
      </c>
      <c r="K6" s="1038">
        <f t="shared" ref="K6:K9" si="2">(I6*$Z$7)*(12/44)</f>
        <v>5.6030118156945807E-2</v>
      </c>
      <c r="L6" s="204" t="s">
        <v>889</v>
      </c>
      <c r="M6" s="472">
        <f t="shared" ref="M6:M9" si="3">K6/(12/44)</f>
        <v>0.20544376657546798</v>
      </c>
      <c r="N6" s="3"/>
      <c r="O6" s="3"/>
      <c r="P6" s="3"/>
      <c r="Q6" s="3"/>
      <c r="R6" s="3"/>
      <c r="U6" s="3"/>
      <c r="V6" s="3"/>
      <c r="W6" s="3"/>
      <c r="X6" s="3"/>
      <c r="Y6" s="241" t="s">
        <v>188</v>
      </c>
      <c r="Z6" s="243">
        <f>Summary!E4</f>
        <v>1</v>
      </c>
      <c r="AA6" s="3"/>
      <c r="AB6" s="3"/>
      <c r="AC6" s="3"/>
      <c r="AD6" s="3"/>
      <c r="AE6" s="3"/>
      <c r="AH6" s="3"/>
      <c r="AI6" s="3"/>
      <c r="AJ6" s="3"/>
      <c r="AK6" s="3"/>
      <c r="AL6" s="3"/>
      <c r="AM6" s="3"/>
      <c r="AN6" s="3"/>
      <c r="AO6" s="3"/>
      <c r="AP6" s="3"/>
      <c r="AQ6" s="3"/>
      <c r="AR6" s="3"/>
      <c r="AS6" s="3"/>
      <c r="AT6" s="3"/>
      <c r="AU6" s="3"/>
      <c r="AV6" s="3"/>
      <c r="AW6" s="3"/>
      <c r="AX6" s="3"/>
      <c r="AY6" s="3"/>
      <c r="AZ6" s="3"/>
      <c r="BA6" s="3"/>
    </row>
    <row r="7" spans="1:53" x14ac:dyDescent="0.25">
      <c r="A7" s="3"/>
      <c r="B7" s="745" t="s">
        <v>1212</v>
      </c>
      <c r="C7" s="1509">
        <v>28</v>
      </c>
      <c r="D7" s="204" t="s">
        <v>904</v>
      </c>
      <c r="E7" s="1045">
        <v>65.967509930000006</v>
      </c>
      <c r="F7" s="204" t="s">
        <v>889</v>
      </c>
      <c r="G7" s="624">
        <f t="shared" si="0"/>
        <v>1847090.2780400002</v>
      </c>
      <c r="H7" s="204" t="s">
        <v>889</v>
      </c>
      <c r="I7" s="1037">
        <f t="shared" si="1"/>
        <v>1.8470902780400001E-3</v>
      </c>
      <c r="J7" s="204" t="s">
        <v>889</v>
      </c>
      <c r="K7" s="1038">
        <f t="shared" si="2"/>
        <v>1.4054677842904364E-2</v>
      </c>
      <c r="L7" s="204" t="s">
        <v>889</v>
      </c>
      <c r="M7" s="472">
        <f t="shared" si="3"/>
        <v>5.1533818757316004E-2</v>
      </c>
      <c r="N7" s="3"/>
      <c r="O7" s="3"/>
      <c r="P7" s="3"/>
      <c r="Q7" s="3"/>
      <c r="R7" s="3"/>
      <c r="U7" s="3"/>
      <c r="V7" s="3"/>
      <c r="W7" s="3"/>
      <c r="X7" s="3"/>
      <c r="Y7" s="241" t="s">
        <v>192</v>
      </c>
      <c r="Z7" s="243">
        <f>Summary!E5</f>
        <v>27.9</v>
      </c>
      <c r="AA7" s="3"/>
      <c r="AB7" s="3"/>
      <c r="AC7" s="3"/>
      <c r="AD7" s="3"/>
      <c r="AE7" s="3"/>
      <c r="AH7" s="3"/>
      <c r="AI7" s="3"/>
      <c r="AJ7" s="3"/>
      <c r="AK7" s="3"/>
      <c r="AL7" s="3"/>
      <c r="AM7" s="3"/>
      <c r="AN7" s="3"/>
      <c r="AO7" s="3"/>
      <c r="AP7" s="3"/>
      <c r="AQ7" s="3"/>
      <c r="AR7" s="3"/>
      <c r="AS7" s="3"/>
      <c r="AT7" s="3"/>
      <c r="AU7" s="3"/>
      <c r="AV7" s="3"/>
      <c r="AW7" s="3"/>
      <c r="AX7" s="3"/>
      <c r="AY7" s="3"/>
      <c r="AZ7" s="3"/>
      <c r="BA7" s="3"/>
    </row>
    <row r="8" spans="1:53" x14ac:dyDescent="0.25">
      <c r="A8" s="3"/>
      <c r="B8" s="745" t="s">
        <v>1213</v>
      </c>
      <c r="C8" s="1509">
        <v>0</v>
      </c>
      <c r="D8" s="204" t="s">
        <v>904</v>
      </c>
      <c r="E8" s="1045">
        <v>48.578723359999998</v>
      </c>
      <c r="F8" s="204" t="s">
        <v>889</v>
      </c>
      <c r="G8" s="624">
        <f t="shared" si="0"/>
        <v>0</v>
      </c>
      <c r="H8" s="204" t="s">
        <v>889</v>
      </c>
      <c r="I8" s="1037">
        <f t="shared" si="1"/>
        <v>0</v>
      </c>
      <c r="J8" s="204" t="s">
        <v>889</v>
      </c>
      <c r="K8" s="1038">
        <f t="shared" si="2"/>
        <v>0</v>
      </c>
      <c r="L8" s="204" t="s">
        <v>889</v>
      </c>
      <c r="M8" s="472">
        <f t="shared" si="3"/>
        <v>0</v>
      </c>
      <c r="N8" s="3"/>
      <c r="O8" s="3"/>
      <c r="P8" s="3"/>
      <c r="Q8" s="3"/>
      <c r="R8" s="3"/>
      <c r="U8" s="3"/>
      <c r="V8" s="3"/>
      <c r="W8" s="3"/>
      <c r="X8" s="3"/>
      <c r="Y8" s="241" t="s">
        <v>194</v>
      </c>
      <c r="Z8" s="243">
        <f>Summary!E6</f>
        <v>273</v>
      </c>
      <c r="AA8" s="3"/>
      <c r="AB8" s="3"/>
      <c r="AC8" s="3"/>
      <c r="AD8" s="3"/>
      <c r="AE8" s="3"/>
      <c r="AH8" s="3"/>
      <c r="AI8" s="3"/>
      <c r="AJ8" s="3"/>
      <c r="AK8" s="3"/>
      <c r="AL8" s="3"/>
      <c r="AM8" s="3"/>
      <c r="AN8" s="3"/>
      <c r="AO8" s="3"/>
      <c r="AP8" s="3"/>
      <c r="AQ8" s="3"/>
      <c r="AR8" s="3"/>
      <c r="AS8" s="3"/>
      <c r="AT8" s="3"/>
      <c r="AU8" s="3"/>
      <c r="AV8" s="3"/>
      <c r="AW8" s="3"/>
      <c r="AX8" s="3"/>
      <c r="AY8" s="3"/>
      <c r="AZ8" s="3"/>
      <c r="BA8" s="3"/>
    </row>
    <row r="9" spans="1:53" x14ac:dyDescent="0.25">
      <c r="A9" s="3"/>
      <c r="B9" s="745" t="s">
        <v>1214</v>
      </c>
      <c r="C9" s="1509">
        <v>0</v>
      </c>
      <c r="D9" s="204" t="s">
        <v>904</v>
      </c>
      <c r="E9" s="1045">
        <v>73.327800060000001</v>
      </c>
      <c r="F9" s="204" t="s">
        <v>889</v>
      </c>
      <c r="G9" s="624">
        <f t="shared" si="0"/>
        <v>0</v>
      </c>
      <c r="H9" s="204" t="s">
        <v>889</v>
      </c>
      <c r="I9" s="1037">
        <f t="shared" si="1"/>
        <v>0</v>
      </c>
      <c r="J9" s="204" t="s">
        <v>889</v>
      </c>
      <c r="K9" s="1038">
        <f t="shared" si="2"/>
        <v>0</v>
      </c>
      <c r="L9" s="204" t="s">
        <v>889</v>
      </c>
      <c r="M9" s="472">
        <f t="shared" si="3"/>
        <v>0</v>
      </c>
      <c r="N9" s="3"/>
      <c r="O9" s="3"/>
      <c r="P9" s="3"/>
      <c r="Q9" s="3"/>
      <c r="R9" s="3"/>
      <c r="U9" s="3"/>
      <c r="V9" s="3"/>
      <c r="W9" s="3"/>
      <c r="X9" s="3"/>
      <c r="Y9" s="241" t="s">
        <v>197</v>
      </c>
      <c r="Z9" s="243">
        <f>Summary!E7</f>
        <v>24300</v>
      </c>
      <c r="AA9" s="3"/>
      <c r="AB9" s="3"/>
      <c r="AC9" s="3"/>
      <c r="AD9" s="3"/>
      <c r="AE9" s="3"/>
      <c r="AH9" s="3"/>
      <c r="AI9" s="3"/>
      <c r="AJ9" s="3"/>
      <c r="AK9" s="3"/>
      <c r="AL9" s="3"/>
      <c r="AM9" s="3"/>
      <c r="AN9" s="3"/>
      <c r="AO9" s="3"/>
      <c r="AP9" s="3"/>
      <c r="AQ9" s="3"/>
      <c r="AR9" s="3"/>
      <c r="AS9" s="3"/>
      <c r="AT9" s="3"/>
      <c r="AU9" s="3"/>
      <c r="AV9" s="3"/>
      <c r="AW9" s="3"/>
      <c r="AX9" s="3"/>
      <c r="AY9" s="3"/>
      <c r="AZ9" s="3"/>
      <c r="BA9" s="3"/>
    </row>
    <row r="10" spans="1:53" x14ac:dyDescent="0.25">
      <c r="A10" s="3"/>
      <c r="B10" s="470" t="s">
        <v>1215</v>
      </c>
      <c r="C10" s="1034"/>
      <c r="D10" s="204"/>
      <c r="E10" s="1045"/>
      <c r="F10" s="204"/>
      <c r="G10" s="624"/>
      <c r="H10" s="204"/>
      <c r="I10" s="1037"/>
      <c r="J10" s="204"/>
      <c r="K10" s="1038"/>
      <c r="L10" s="204"/>
      <c r="M10" s="472"/>
      <c r="N10" s="3"/>
      <c r="O10" s="3"/>
      <c r="P10" s="3"/>
      <c r="Q10" s="3"/>
      <c r="R10" s="3"/>
      <c r="U10" s="3"/>
      <c r="V10" s="3"/>
      <c r="W10" s="3"/>
      <c r="X10" s="3"/>
      <c r="Y10" s="241"/>
      <c r="Z10" s="243"/>
      <c r="AA10" s="3"/>
      <c r="AB10" s="3"/>
      <c r="AC10" s="3"/>
      <c r="AD10" s="3"/>
      <c r="AE10" s="3"/>
      <c r="AH10" s="3"/>
      <c r="AI10" s="3"/>
      <c r="AJ10" s="3"/>
      <c r="AK10" s="3"/>
      <c r="AL10" s="3"/>
      <c r="AM10" s="3"/>
      <c r="AN10" s="3"/>
      <c r="AO10" s="3"/>
      <c r="AP10" s="3"/>
      <c r="AQ10" s="3"/>
      <c r="AR10" s="3"/>
      <c r="AS10" s="3"/>
      <c r="AT10" s="3"/>
      <c r="AU10" s="3"/>
      <c r="AV10" s="3"/>
      <c r="AW10" s="3"/>
      <c r="AX10" s="3"/>
      <c r="AY10" s="3"/>
      <c r="AZ10" s="3"/>
      <c r="BA10" s="3"/>
    </row>
    <row r="11" spans="1:53" x14ac:dyDescent="0.25">
      <c r="A11" s="3"/>
      <c r="B11" s="745" t="s">
        <v>1216</v>
      </c>
      <c r="C11" s="1509">
        <v>42</v>
      </c>
      <c r="D11" s="204" t="s">
        <v>904</v>
      </c>
      <c r="E11" s="1045">
        <v>94.374200790000003</v>
      </c>
      <c r="F11" s="204" t="s">
        <v>889</v>
      </c>
      <c r="G11" s="624">
        <f t="shared" ref="G11:G19" si="4">C11*E11*1000</f>
        <v>3963716.4331800002</v>
      </c>
      <c r="H11" s="204" t="s">
        <v>889</v>
      </c>
      <c r="I11" s="1037">
        <f t="shared" ref="I11:I19" si="5">G11/1000*10^-6</f>
        <v>3.9637164331799996E-3</v>
      </c>
      <c r="J11" s="204" t="s">
        <v>889</v>
      </c>
      <c r="K11" s="1038">
        <f t="shared" ref="K11:K19" si="6">(I11*$Z$7)*(12/44)</f>
        <v>3.0160278677924174E-2</v>
      </c>
      <c r="L11" s="204" t="s">
        <v>889</v>
      </c>
      <c r="M11" s="472">
        <f t="shared" ref="M11:M19" si="7">K11/(12/44)</f>
        <v>0.11058768848572198</v>
      </c>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row>
    <row r="12" spans="1:53" x14ac:dyDescent="0.25">
      <c r="A12" s="3"/>
      <c r="B12" s="745" t="s">
        <v>1217</v>
      </c>
      <c r="C12" s="1509">
        <v>10</v>
      </c>
      <c r="D12" s="204" t="s">
        <v>904</v>
      </c>
      <c r="E12" s="1045">
        <v>66.696864169999998</v>
      </c>
      <c r="F12" s="204" t="s">
        <v>889</v>
      </c>
      <c r="G12" s="624">
        <f t="shared" si="4"/>
        <v>666968.64170000004</v>
      </c>
      <c r="H12" s="204" t="s">
        <v>889</v>
      </c>
      <c r="I12" s="1037">
        <f t="shared" si="5"/>
        <v>6.6696864169999998E-4</v>
      </c>
      <c r="J12" s="204" t="s">
        <v>889</v>
      </c>
      <c r="K12" s="1038">
        <f t="shared" si="6"/>
        <v>5.075025028208181E-3</v>
      </c>
      <c r="L12" s="204" t="s">
        <v>889</v>
      </c>
      <c r="M12" s="472">
        <f t="shared" si="7"/>
        <v>1.8608425103429999E-2</v>
      </c>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row>
    <row r="13" spans="1:53" x14ac:dyDescent="0.25">
      <c r="A13" s="3"/>
      <c r="B13" s="745" t="s">
        <v>1213</v>
      </c>
      <c r="C13" s="1509">
        <v>0</v>
      </c>
      <c r="D13" s="204" t="s">
        <v>904</v>
      </c>
      <c r="E13" s="1045">
        <v>60.030499669999998</v>
      </c>
      <c r="F13" s="204" t="s">
        <v>889</v>
      </c>
      <c r="G13" s="624">
        <f t="shared" si="4"/>
        <v>0</v>
      </c>
      <c r="H13" s="204" t="s">
        <v>889</v>
      </c>
      <c r="I13" s="1037">
        <f t="shared" si="5"/>
        <v>0</v>
      </c>
      <c r="J13" s="204" t="s">
        <v>889</v>
      </c>
      <c r="K13" s="1038">
        <f t="shared" si="6"/>
        <v>0</v>
      </c>
      <c r="L13" s="204" t="s">
        <v>889</v>
      </c>
      <c r="M13" s="472">
        <f t="shared" si="7"/>
        <v>0</v>
      </c>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row>
    <row r="14" spans="1:53" x14ac:dyDescent="0.25">
      <c r="A14" s="3"/>
      <c r="B14" s="745" t="s">
        <v>1214</v>
      </c>
      <c r="C14" s="1509">
        <v>0</v>
      </c>
      <c r="D14" s="204" t="s">
        <v>904</v>
      </c>
      <c r="E14" s="1045">
        <v>69.411475499999995</v>
      </c>
      <c r="F14" s="204" t="s">
        <v>889</v>
      </c>
      <c r="G14" s="624">
        <f t="shared" si="4"/>
        <v>0</v>
      </c>
      <c r="H14" s="204" t="s">
        <v>889</v>
      </c>
      <c r="I14" s="1037">
        <f t="shared" si="5"/>
        <v>0</v>
      </c>
      <c r="J14" s="204" t="s">
        <v>889</v>
      </c>
      <c r="K14" s="1038">
        <f t="shared" si="6"/>
        <v>0</v>
      </c>
      <c r="L14" s="204" t="s">
        <v>889</v>
      </c>
      <c r="M14" s="472">
        <f t="shared" si="7"/>
        <v>0</v>
      </c>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row>
    <row r="15" spans="1:53" x14ac:dyDescent="0.25">
      <c r="A15" s="3"/>
      <c r="B15" s="745" t="s">
        <v>1218</v>
      </c>
      <c r="C15" s="1509">
        <v>7</v>
      </c>
      <c r="D15" s="204" t="s">
        <v>904</v>
      </c>
      <c r="E15" s="1045">
        <v>59.813174429999997</v>
      </c>
      <c r="F15" s="204" t="s">
        <v>889</v>
      </c>
      <c r="G15" s="624">
        <f t="shared" si="4"/>
        <v>418692.22100999998</v>
      </c>
      <c r="H15" s="204" t="s">
        <v>889</v>
      </c>
      <c r="I15" s="1037">
        <f t="shared" si="5"/>
        <v>4.1869222100999993E-4</v>
      </c>
      <c r="J15" s="204" t="s">
        <v>889</v>
      </c>
      <c r="K15" s="1038">
        <f t="shared" si="6"/>
        <v>3.185867172594272E-3</v>
      </c>
      <c r="L15" s="204" t="s">
        <v>889</v>
      </c>
      <c r="M15" s="472">
        <f t="shared" si="7"/>
        <v>1.1681512966178998E-2</v>
      </c>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row>
    <row r="16" spans="1:53" x14ac:dyDescent="0.25">
      <c r="A16" s="3"/>
      <c r="B16" s="745" t="s">
        <v>1219</v>
      </c>
      <c r="C16" s="1509">
        <v>15</v>
      </c>
      <c r="D16" s="204" t="s">
        <v>904</v>
      </c>
      <c r="E16" s="1045">
        <v>57.866542279999997</v>
      </c>
      <c r="F16" s="204" t="s">
        <v>889</v>
      </c>
      <c r="G16" s="624">
        <f t="shared" si="4"/>
        <v>867998.13419999997</v>
      </c>
      <c r="H16" s="204" t="s">
        <v>889</v>
      </c>
      <c r="I16" s="1037">
        <f t="shared" si="5"/>
        <v>8.679981342E-4</v>
      </c>
      <c r="J16" s="204" t="s">
        <v>889</v>
      </c>
      <c r="K16" s="1038">
        <f t="shared" si="6"/>
        <v>6.6046767120490901E-3</v>
      </c>
      <c r="L16" s="204" t="s">
        <v>889</v>
      </c>
      <c r="M16" s="472">
        <f t="shared" si="7"/>
        <v>2.4217147944179999E-2</v>
      </c>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row>
    <row r="17" spans="1:53" x14ac:dyDescent="0.25">
      <c r="A17" s="3"/>
      <c r="B17" s="745" t="s">
        <v>1220</v>
      </c>
      <c r="C17" s="1526">
        <v>3.9119999999999999</v>
      </c>
      <c r="D17" s="204" t="s">
        <v>904</v>
      </c>
      <c r="E17" s="1045">
        <v>43.159728520000002</v>
      </c>
      <c r="F17" s="204" t="s">
        <v>889</v>
      </c>
      <c r="G17" s="624">
        <f t="shared" si="4"/>
        <v>168840.85797024</v>
      </c>
      <c r="H17" s="204" t="s">
        <v>889</v>
      </c>
      <c r="I17" s="1037">
        <f t="shared" si="5"/>
        <v>1.6884085797023998E-4</v>
      </c>
      <c r="J17" s="204" t="s">
        <v>889</v>
      </c>
      <c r="K17" s="1038">
        <f t="shared" si="6"/>
        <v>1.2847254374644622E-3</v>
      </c>
      <c r="L17" s="204" t="s">
        <v>889</v>
      </c>
      <c r="M17" s="472">
        <f t="shared" si="7"/>
        <v>4.7106599373696956E-3</v>
      </c>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row>
    <row r="18" spans="1:53" x14ac:dyDescent="0.25">
      <c r="A18" s="3"/>
      <c r="B18" s="745" t="s">
        <v>1221</v>
      </c>
      <c r="C18" s="1526">
        <v>7.3949999999999996</v>
      </c>
      <c r="D18" s="204" t="s">
        <v>904</v>
      </c>
      <c r="E18" s="1045">
        <v>41.996092650000001</v>
      </c>
      <c r="F18" s="204" t="s">
        <v>889</v>
      </c>
      <c r="G18" s="624">
        <f t="shared" si="4"/>
        <v>310561.10514674999</v>
      </c>
      <c r="H18" s="204" t="s">
        <v>889</v>
      </c>
      <c r="I18" s="1037">
        <f t="shared" si="5"/>
        <v>3.1056110514674997E-4</v>
      </c>
      <c r="J18" s="204" t="s">
        <v>889</v>
      </c>
      <c r="K18" s="1038">
        <f t="shared" si="6"/>
        <v>2.3630876818893612E-3</v>
      </c>
      <c r="L18" s="204" t="s">
        <v>889</v>
      </c>
      <c r="M18" s="472">
        <f t="shared" si="7"/>
        <v>8.6646548335943246E-3</v>
      </c>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row>
    <row r="19" spans="1:53" x14ac:dyDescent="0.25">
      <c r="A19" s="3"/>
      <c r="B19" s="745" t="s">
        <v>1222</v>
      </c>
      <c r="C19" s="1509">
        <v>4</v>
      </c>
      <c r="D19" s="204" t="s">
        <v>904</v>
      </c>
      <c r="E19" s="1045">
        <v>97.583393290000004</v>
      </c>
      <c r="F19" s="204" t="s">
        <v>889</v>
      </c>
      <c r="G19" s="624">
        <f t="shared" si="4"/>
        <v>390333.57316000003</v>
      </c>
      <c r="H19" s="204" t="s">
        <v>889</v>
      </c>
      <c r="I19" s="1037">
        <f t="shared" si="5"/>
        <v>3.9033357316000002E-4</v>
      </c>
      <c r="J19" s="204" t="s">
        <v>889</v>
      </c>
      <c r="K19" s="1038">
        <f t="shared" si="6"/>
        <v>2.9700836430447269E-3</v>
      </c>
      <c r="L19" s="204" t="s">
        <v>889</v>
      </c>
      <c r="M19" s="472">
        <f t="shared" si="7"/>
        <v>1.0890306691164E-2</v>
      </c>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row>
    <row r="20" spans="1:53" x14ac:dyDescent="0.25">
      <c r="A20" s="3"/>
      <c r="B20" s="470" t="s">
        <v>702</v>
      </c>
      <c r="C20" s="1527"/>
      <c r="D20" s="204"/>
      <c r="E20" s="1045"/>
      <c r="F20" s="204"/>
      <c r="G20" s="624"/>
      <c r="H20" s="204"/>
      <c r="I20" s="1037"/>
      <c r="J20" s="204"/>
      <c r="K20" s="1038"/>
      <c r="L20" s="204"/>
      <c r="M20" s="472"/>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row>
    <row r="21" spans="1:53" ht="15.75" customHeight="1" x14ac:dyDescent="0.25">
      <c r="A21" s="3"/>
      <c r="B21" s="745" t="s">
        <v>1223</v>
      </c>
      <c r="C21" s="1526">
        <v>24</v>
      </c>
      <c r="D21" s="204" t="s">
        <v>904</v>
      </c>
      <c r="E21" s="1045">
        <v>8</v>
      </c>
      <c r="F21" s="204" t="s">
        <v>889</v>
      </c>
      <c r="G21" s="624">
        <f t="shared" ref="G21:G24" si="8">C21*E21*1000</f>
        <v>192000</v>
      </c>
      <c r="H21" s="204" t="s">
        <v>889</v>
      </c>
      <c r="I21" s="1037">
        <f t="shared" ref="I21:I24" si="9">G21/1000*10^-6</f>
        <v>1.92E-4</v>
      </c>
      <c r="J21" s="204" t="s">
        <v>889</v>
      </c>
      <c r="K21" s="1038">
        <f t="shared" ref="K21:K24" si="10">(I21*$Z$7)*(12/44)</f>
        <v>1.4609454545454544E-3</v>
      </c>
      <c r="L21" s="204" t="s">
        <v>889</v>
      </c>
      <c r="M21" s="472">
        <f t="shared" ref="M21:M24" si="11">K21/(12/44)</f>
        <v>5.3568000000000001E-3</v>
      </c>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row>
    <row r="22" spans="1:53" ht="15.75" customHeight="1" x14ac:dyDescent="0.25">
      <c r="A22" s="3"/>
      <c r="B22" s="745" t="s">
        <v>1224</v>
      </c>
      <c r="C22" s="1509">
        <v>12</v>
      </c>
      <c r="D22" s="204" t="s">
        <v>904</v>
      </c>
      <c r="E22" s="1045">
        <v>5</v>
      </c>
      <c r="F22" s="204" t="s">
        <v>889</v>
      </c>
      <c r="G22" s="624">
        <f t="shared" si="8"/>
        <v>60000</v>
      </c>
      <c r="H22" s="204" t="s">
        <v>889</v>
      </c>
      <c r="I22" s="1037">
        <f t="shared" si="9"/>
        <v>5.9999999999999995E-5</v>
      </c>
      <c r="J22" s="204" t="s">
        <v>889</v>
      </c>
      <c r="K22" s="1038">
        <f t="shared" si="10"/>
        <v>4.5654545454545443E-4</v>
      </c>
      <c r="L22" s="204" t="s">
        <v>889</v>
      </c>
      <c r="M22" s="472">
        <f t="shared" si="11"/>
        <v>1.6739999999999997E-3</v>
      </c>
      <c r="N22" s="3"/>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row>
    <row r="23" spans="1:53" ht="15.75" customHeight="1" x14ac:dyDescent="0.25">
      <c r="A23" s="3"/>
      <c r="B23" s="745" t="s">
        <v>1225</v>
      </c>
      <c r="C23" s="1509">
        <v>23</v>
      </c>
      <c r="D23" s="204" t="s">
        <v>904</v>
      </c>
      <c r="E23" s="1045">
        <v>1.5</v>
      </c>
      <c r="F23" s="204" t="s">
        <v>889</v>
      </c>
      <c r="G23" s="624">
        <f t="shared" si="8"/>
        <v>34500</v>
      </c>
      <c r="H23" s="204" t="s">
        <v>889</v>
      </c>
      <c r="I23" s="1037">
        <f t="shared" si="9"/>
        <v>3.4499999999999998E-5</v>
      </c>
      <c r="J23" s="204" t="s">
        <v>889</v>
      </c>
      <c r="K23" s="1038">
        <f t="shared" si="10"/>
        <v>2.6251363636363635E-4</v>
      </c>
      <c r="L23" s="204" t="s">
        <v>889</v>
      </c>
      <c r="M23" s="472">
        <f t="shared" si="11"/>
        <v>9.6254999999999995E-4</v>
      </c>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row>
    <row r="24" spans="1:53" ht="15.75" customHeight="1" x14ac:dyDescent="0.25">
      <c r="A24" s="3"/>
      <c r="B24" s="745" t="s">
        <v>1226</v>
      </c>
      <c r="C24" s="1526">
        <v>79.099999999999994</v>
      </c>
      <c r="D24" s="204" t="s">
        <v>904</v>
      </c>
      <c r="E24" s="1045">
        <v>18</v>
      </c>
      <c r="F24" s="204" t="s">
        <v>889</v>
      </c>
      <c r="G24" s="624">
        <f t="shared" si="8"/>
        <v>1423800</v>
      </c>
      <c r="H24" s="204" t="s">
        <v>889</v>
      </c>
      <c r="I24" s="1037">
        <f t="shared" si="9"/>
        <v>1.4237999999999998E-3</v>
      </c>
      <c r="J24" s="204" t="s">
        <v>889</v>
      </c>
      <c r="K24" s="1038">
        <f t="shared" si="10"/>
        <v>1.0833823636363633E-2</v>
      </c>
      <c r="L24" s="204" t="s">
        <v>889</v>
      </c>
      <c r="M24" s="472">
        <f t="shared" si="11"/>
        <v>3.9724019999999992E-2</v>
      </c>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row>
    <row r="25" spans="1:53" ht="15.75" customHeight="1" x14ac:dyDescent="0.25">
      <c r="A25" s="3"/>
      <c r="B25" s="1528" t="s">
        <v>1227</v>
      </c>
      <c r="C25" s="1529"/>
      <c r="D25" s="1529"/>
      <c r="E25" s="1529"/>
      <c r="F25" s="1529"/>
      <c r="G25" s="1530">
        <f>SUM(G6:G24)</f>
        <v>17708077.107326992</v>
      </c>
      <c r="H25" s="1531"/>
      <c r="I25" s="1532">
        <f>SUM(I6:I24)</f>
        <v>1.7708077107326994E-2</v>
      </c>
      <c r="J25" s="1531"/>
      <c r="K25" s="1533">
        <f>SUM(K6:K24)</f>
        <v>0.13474236853484262</v>
      </c>
      <c r="L25" s="1534"/>
      <c r="M25" s="1535">
        <f>SUM(M6:M24)</f>
        <v>0.49405535129442291</v>
      </c>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row>
    <row r="26" spans="1:53" ht="15.75" customHeight="1" x14ac:dyDescent="0.25">
      <c r="A26" s="3"/>
      <c r="B26" s="60"/>
      <c r="C26" s="864"/>
      <c r="D26" s="864"/>
      <c r="E26" s="864"/>
      <c r="F26" s="864"/>
      <c r="G26" s="542"/>
      <c r="H26" s="13"/>
      <c r="I26" s="909"/>
      <c r="J26" s="13"/>
      <c r="K26" s="908"/>
      <c r="L26" s="3"/>
      <c r="M26" s="908"/>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row>
    <row r="27" spans="1:53" ht="15.75" customHeight="1" x14ac:dyDescent="0.25">
      <c r="A27" s="3"/>
      <c r="B27" s="60"/>
      <c r="C27" s="864"/>
      <c r="D27" s="864"/>
      <c r="E27" s="864"/>
      <c r="F27" s="864"/>
      <c r="G27" s="542"/>
      <c r="H27" s="13"/>
      <c r="I27" s="909"/>
      <c r="J27" s="13"/>
      <c r="K27" s="908"/>
      <c r="L27" s="3"/>
      <c r="M27" s="908"/>
      <c r="N27" s="3"/>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row>
    <row r="28" spans="1:53" ht="15.75" customHeight="1" x14ac:dyDescent="0.25">
      <c r="A28" s="3"/>
      <c r="B28" s="1536"/>
      <c r="C28" s="1136"/>
      <c r="D28" s="1136"/>
      <c r="E28" s="1136"/>
      <c r="F28" s="1136"/>
      <c r="G28" s="1537"/>
      <c r="H28" s="1067"/>
      <c r="I28" s="1538"/>
      <c r="J28" s="1067"/>
      <c r="K28" s="1539"/>
      <c r="L28" s="12"/>
      <c r="M28" s="1539"/>
      <c r="N28" s="12"/>
      <c r="O28" s="12"/>
      <c r="P28" s="12"/>
      <c r="Q28" s="12"/>
      <c r="R28" s="12"/>
      <c r="S28" s="12"/>
      <c r="T28" s="12"/>
      <c r="U28" s="12"/>
      <c r="V28" s="12"/>
      <c r="W28" s="12"/>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row>
    <row r="29" spans="1:53" ht="15.75" customHeight="1" x14ac:dyDescent="0.25">
      <c r="A29" s="3"/>
      <c r="B29" s="1486" t="s">
        <v>1228</v>
      </c>
      <c r="C29" s="1540"/>
      <c r="D29" s="1540"/>
      <c r="E29" s="1540"/>
      <c r="F29" s="1540"/>
      <c r="G29" s="1541"/>
      <c r="H29" s="1542"/>
      <c r="I29" s="1543"/>
      <c r="J29" s="1542"/>
      <c r="K29" s="1544"/>
      <c r="L29" s="1489"/>
      <c r="M29" s="1544"/>
      <c r="N29" s="1489"/>
      <c r="O29" s="1489"/>
      <c r="P29" s="1489"/>
      <c r="Q29" s="1489"/>
      <c r="R29" s="1489"/>
      <c r="S29" s="1489"/>
      <c r="T29" s="1489"/>
      <c r="U29" s="1489"/>
      <c r="V29" s="1489"/>
      <c r="W29" s="1492"/>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row>
    <row r="30" spans="1:53" ht="75" customHeight="1" x14ac:dyDescent="0.25">
      <c r="A30" s="3"/>
      <c r="B30" s="1420"/>
      <c r="C30" s="1545" t="s">
        <v>1229</v>
      </c>
      <c r="D30" s="1546"/>
      <c r="E30" s="1545" t="s">
        <v>1230</v>
      </c>
      <c r="F30" s="1545"/>
      <c r="G30" s="1547" t="s">
        <v>1231</v>
      </c>
      <c r="H30" s="1547"/>
      <c r="I30" s="1545" t="s">
        <v>1232</v>
      </c>
      <c r="J30" s="1531"/>
      <c r="K30" s="1545" t="s">
        <v>1233</v>
      </c>
      <c r="L30" s="1545"/>
      <c r="M30" s="1545" t="s">
        <v>1234</v>
      </c>
      <c r="N30" s="1545"/>
      <c r="O30" s="1545" t="s">
        <v>1235</v>
      </c>
      <c r="P30" s="1545"/>
      <c r="Q30" s="1545" t="s">
        <v>1236</v>
      </c>
      <c r="R30" s="1545"/>
      <c r="S30" s="1545" t="s">
        <v>1237</v>
      </c>
      <c r="T30" s="1545"/>
      <c r="U30" s="1545" t="s">
        <v>1238</v>
      </c>
      <c r="V30" s="1545"/>
      <c r="W30" s="1548" t="s">
        <v>1239</v>
      </c>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row>
    <row r="31" spans="1:53" ht="15.75" customHeight="1" x14ac:dyDescent="0.25">
      <c r="A31" s="3"/>
      <c r="B31" s="1549" t="s">
        <v>1204</v>
      </c>
      <c r="C31" s="1550"/>
      <c r="D31" s="1551"/>
      <c r="E31" s="1552"/>
      <c r="F31" s="1551"/>
      <c r="G31" s="1551"/>
      <c r="H31" s="1551"/>
      <c r="I31" s="1550"/>
      <c r="J31" s="1550"/>
      <c r="K31" s="1550"/>
      <c r="L31" s="1550"/>
      <c r="M31" s="1553"/>
      <c r="N31" s="1550"/>
      <c r="O31" s="1554"/>
      <c r="P31" s="1555"/>
      <c r="Q31" s="1553"/>
      <c r="R31" s="1550"/>
      <c r="S31" s="1550"/>
      <c r="T31" s="1550"/>
      <c r="U31" s="1550"/>
      <c r="V31" s="1550"/>
      <c r="W31" s="1556"/>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row>
    <row r="32" spans="1:53" ht="15.75" customHeight="1" x14ac:dyDescent="0.25">
      <c r="A32" s="3"/>
      <c r="B32" s="745" t="s">
        <v>1205</v>
      </c>
      <c r="C32" s="1509">
        <v>53</v>
      </c>
      <c r="D32" s="204" t="s">
        <v>904</v>
      </c>
      <c r="E32" s="1034">
        <v>680</v>
      </c>
      <c r="F32" s="204" t="s">
        <v>904</v>
      </c>
      <c r="G32" s="1045">
        <v>9.9951580009000001</v>
      </c>
      <c r="H32" s="204" t="s">
        <v>889</v>
      </c>
      <c r="I32" s="1049">
        <f t="shared" ref="I32:I33" si="12">C32*E32*G32*365</f>
        <v>131482305.43863913</v>
      </c>
      <c r="J32" s="204" t="s">
        <v>904</v>
      </c>
      <c r="K32" s="971">
        <v>0.24</v>
      </c>
      <c r="L32" s="1557" t="s">
        <v>904</v>
      </c>
      <c r="M32" s="1558">
        <v>0.11818290022824871</v>
      </c>
      <c r="N32" s="1557" t="s">
        <v>889</v>
      </c>
      <c r="O32" s="1049">
        <f t="shared" ref="O32:O33" si="13">(I32*K32)*M32</f>
        <v>3729350.4445043546</v>
      </c>
      <c r="P32" s="204" t="s">
        <v>889</v>
      </c>
      <c r="Q32" s="1049">
        <f t="shared" ref="Q32:Q33" si="14">O32*0.000662</f>
        <v>2468.8299942618828</v>
      </c>
      <c r="R32" s="204" t="s">
        <v>889</v>
      </c>
      <c r="S32" s="1560">
        <f t="shared" ref="S32:S33" si="15">Q32/1000000</f>
        <v>2.468829994261883E-3</v>
      </c>
      <c r="T32" s="204" t="s">
        <v>889</v>
      </c>
      <c r="U32" s="1560">
        <f t="shared" ref="U32:U33" si="16">(S32*$Z$7)*12/44</f>
        <v>1.8785551865429056E-2</v>
      </c>
      <c r="V32" s="204" t="s">
        <v>889</v>
      </c>
      <c r="W32" s="1563">
        <f t="shared" ref="W32:W33" si="17">U32/(12/44)</f>
        <v>6.8880356839906537E-2</v>
      </c>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row>
    <row r="33" spans="1:53" ht="15.75" customHeight="1" x14ac:dyDescent="0.25">
      <c r="A33" s="3"/>
      <c r="B33" s="745" t="s">
        <v>1212</v>
      </c>
      <c r="C33" s="1509">
        <v>28</v>
      </c>
      <c r="D33" s="204" t="s">
        <v>904</v>
      </c>
      <c r="E33" s="1034">
        <v>476</v>
      </c>
      <c r="F33" s="204" t="s">
        <v>904</v>
      </c>
      <c r="G33" s="1045">
        <v>8.4220347966000002</v>
      </c>
      <c r="H33" s="204" t="s">
        <v>889</v>
      </c>
      <c r="I33" s="1049">
        <f t="shared" si="12"/>
        <v>40970841.115715951</v>
      </c>
      <c r="J33" s="204" t="s">
        <v>904</v>
      </c>
      <c r="K33" s="971">
        <v>0.17</v>
      </c>
      <c r="L33" s="1557" t="s">
        <v>904</v>
      </c>
      <c r="M33" s="1558">
        <v>1.2467660091668786E-2</v>
      </c>
      <c r="N33" s="1557" t="s">
        <v>889</v>
      </c>
      <c r="O33" s="1049">
        <f t="shared" si="13"/>
        <v>86837.788519087451</v>
      </c>
      <c r="P33" s="204" t="s">
        <v>889</v>
      </c>
      <c r="Q33" s="1049">
        <f t="shared" si="14"/>
        <v>57.486615999635895</v>
      </c>
      <c r="R33" s="204" t="s">
        <v>889</v>
      </c>
      <c r="S33" s="1560">
        <f t="shared" si="15"/>
        <v>5.7486615999635894E-5</v>
      </c>
      <c r="T33" s="204" t="s">
        <v>889</v>
      </c>
      <c r="U33" s="1560">
        <f t="shared" si="16"/>
        <v>4.3742088719722942E-4</v>
      </c>
      <c r="V33" s="204" t="s">
        <v>889</v>
      </c>
      <c r="W33" s="1563">
        <f t="shared" si="17"/>
        <v>1.6038765863898414E-3</v>
      </c>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row>
    <row r="34" spans="1:53" ht="15.75" customHeight="1" x14ac:dyDescent="0.25">
      <c r="A34" s="3"/>
      <c r="B34" s="470" t="s">
        <v>1215</v>
      </c>
      <c r="C34" s="1566"/>
      <c r="D34" s="204"/>
      <c r="E34" s="1034"/>
      <c r="F34" s="204"/>
      <c r="G34" s="1045"/>
      <c r="H34" s="204"/>
      <c r="I34" s="1049"/>
      <c r="J34" s="204"/>
      <c r="K34" s="971"/>
      <c r="L34" s="204"/>
      <c r="M34" s="204"/>
      <c r="N34" s="204"/>
      <c r="O34" s="1049"/>
      <c r="P34" s="204"/>
      <c r="Q34" s="1049"/>
      <c r="R34" s="204"/>
      <c r="S34" s="1560"/>
      <c r="T34" s="204"/>
      <c r="U34" s="1560"/>
      <c r="V34" s="204"/>
      <c r="W34" s="156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row>
    <row r="35" spans="1:53" ht="15.75" customHeight="1" x14ac:dyDescent="0.25">
      <c r="A35" s="3"/>
      <c r="B35" s="745" t="s">
        <v>1220</v>
      </c>
      <c r="C35" s="1526">
        <v>3.9119999999999999</v>
      </c>
      <c r="D35" s="204" t="s">
        <v>904</v>
      </c>
      <c r="E35" s="1034">
        <v>420</v>
      </c>
      <c r="F35" s="204" t="s">
        <v>904</v>
      </c>
      <c r="G35" s="1045">
        <v>4.3514669688999996</v>
      </c>
      <c r="H35" s="204" t="s">
        <v>889</v>
      </c>
      <c r="I35" s="1049">
        <f t="shared" ref="I35:I42" si="18">C35*E35*G35*365</f>
        <v>2609616.5153322313</v>
      </c>
      <c r="J35" s="204" t="s">
        <v>904</v>
      </c>
      <c r="K35" s="971">
        <v>0.33</v>
      </c>
      <c r="L35" s="204" t="s">
        <v>904</v>
      </c>
      <c r="M35" s="1558">
        <v>1.3123459123854105E-2</v>
      </c>
      <c r="N35" s="204" t="s">
        <v>889</v>
      </c>
      <c r="O35" s="1049">
        <f t="shared" ref="O35:O42" si="19">(I35*K35)*M35</f>
        <v>11301.574570406052</v>
      </c>
      <c r="P35" s="204" t="s">
        <v>889</v>
      </c>
      <c r="Q35" s="1049">
        <f t="shared" ref="Q35:Q42" si="20">O35*0.000662</f>
        <v>7.4816423656088071</v>
      </c>
      <c r="R35" s="1567" t="s">
        <v>889</v>
      </c>
      <c r="S35" s="1560">
        <f t="shared" ref="S35:S42" si="21">Q35/1000000</f>
        <v>7.4816423656088074E-6</v>
      </c>
      <c r="T35" s="1567" t="s">
        <v>889</v>
      </c>
      <c r="U35" s="1560">
        <f t="shared" ref="U35:U42" si="22">(S35*$Z$7)*12/44</f>
        <v>5.6928496909223371E-5</v>
      </c>
      <c r="V35" s="1567" t="s">
        <v>889</v>
      </c>
      <c r="W35" s="1563">
        <f t="shared" ref="W35:W42" si="23">U35/(12/44)</f>
        <v>2.0873782200048571E-4</v>
      </c>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row>
    <row r="36" spans="1:53" ht="15.75" customHeight="1" x14ac:dyDescent="0.25">
      <c r="A36" s="3"/>
      <c r="B36" s="745" t="s">
        <v>1221</v>
      </c>
      <c r="C36" s="1526">
        <v>7.3949999999999996</v>
      </c>
      <c r="D36" s="204" t="s">
        <v>904</v>
      </c>
      <c r="E36" s="1034">
        <v>420</v>
      </c>
      <c r="F36" s="204" t="s">
        <v>904</v>
      </c>
      <c r="G36" s="1045">
        <v>3.9703541463000001</v>
      </c>
      <c r="H36" s="204" t="s">
        <v>889</v>
      </c>
      <c r="I36" s="1049">
        <f t="shared" si="18"/>
        <v>4501005.8741925061</v>
      </c>
      <c r="J36" s="204" t="s">
        <v>904</v>
      </c>
      <c r="K36" s="971">
        <v>0.33</v>
      </c>
      <c r="L36" s="204" t="s">
        <v>904</v>
      </c>
      <c r="M36" s="1558">
        <v>1.2974017738876182E-2</v>
      </c>
      <c r="N36" s="204" t="s">
        <v>889</v>
      </c>
      <c r="O36" s="1049">
        <f t="shared" si="19"/>
        <v>19270.722918004627</v>
      </c>
      <c r="P36" s="204" t="s">
        <v>889</v>
      </c>
      <c r="Q36" s="1049">
        <f t="shared" si="20"/>
        <v>12.757218571719063</v>
      </c>
      <c r="R36" s="1567" t="s">
        <v>889</v>
      </c>
      <c r="S36" s="1560">
        <f t="shared" si="21"/>
        <v>1.2757218571719063E-5</v>
      </c>
      <c r="T36" s="1567" t="s">
        <v>889</v>
      </c>
      <c r="U36" s="1560">
        <f t="shared" si="22"/>
        <v>9.7070835859353239E-5</v>
      </c>
      <c r="V36" s="1567" t="s">
        <v>889</v>
      </c>
      <c r="W36" s="1563">
        <f t="shared" si="23"/>
        <v>3.5592639815096191E-4</v>
      </c>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row>
    <row r="37" spans="1:53" ht="15.75" customHeight="1" x14ac:dyDescent="0.25">
      <c r="A37" s="3"/>
      <c r="B37" s="745" t="s">
        <v>1222</v>
      </c>
      <c r="C37" s="1509">
        <v>4</v>
      </c>
      <c r="D37" s="204" t="s">
        <v>904</v>
      </c>
      <c r="E37" s="1034">
        <v>750</v>
      </c>
      <c r="F37" s="204" t="s">
        <v>904</v>
      </c>
      <c r="G37" s="1045">
        <v>5.1662194931999998</v>
      </c>
      <c r="H37" s="204" t="s">
        <v>889</v>
      </c>
      <c r="I37" s="1049">
        <f t="shared" si="18"/>
        <v>5657010.3450539997</v>
      </c>
      <c r="J37" s="204" t="s">
        <v>904</v>
      </c>
      <c r="K37" s="971">
        <v>0.17</v>
      </c>
      <c r="L37" s="204" t="s">
        <v>904</v>
      </c>
      <c r="M37" s="1558">
        <v>1.0999999999999999E-2</v>
      </c>
      <c r="N37" s="204" t="s">
        <v>889</v>
      </c>
      <c r="O37" s="1049">
        <f t="shared" si="19"/>
        <v>10578.609345250979</v>
      </c>
      <c r="P37" s="204" t="s">
        <v>889</v>
      </c>
      <c r="Q37" s="1049">
        <f t="shared" si="20"/>
        <v>7.0030393865561491</v>
      </c>
      <c r="R37" s="1567" t="s">
        <v>889</v>
      </c>
      <c r="S37" s="1560">
        <f t="shared" si="21"/>
        <v>7.0030393865561492E-6</v>
      </c>
      <c r="T37" s="1567" t="s">
        <v>889</v>
      </c>
      <c r="U37" s="1560">
        <f t="shared" si="22"/>
        <v>5.3286763332249966E-5</v>
      </c>
      <c r="V37" s="1567" t="s">
        <v>889</v>
      </c>
      <c r="W37" s="1563">
        <f t="shared" si="23"/>
        <v>1.9538479888491655E-4</v>
      </c>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row>
    <row r="38" spans="1:53" ht="15.75" customHeight="1" x14ac:dyDescent="0.25">
      <c r="A38" s="3"/>
      <c r="B38" s="745" t="s">
        <v>1254</v>
      </c>
      <c r="C38" s="1509">
        <v>36.1</v>
      </c>
      <c r="D38" s="204" t="s">
        <v>904</v>
      </c>
      <c r="E38" s="1034">
        <v>118</v>
      </c>
      <c r="F38" s="204" t="s">
        <v>904</v>
      </c>
      <c r="G38" s="1045">
        <v>6.41</v>
      </c>
      <c r="H38" s="204" t="s">
        <v>889</v>
      </c>
      <c r="I38" s="1049">
        <f t="shared" si="18"/>
        <v>9966441.0700000003</v>
      </c>
      <c r="J38" s="204" t="s">
        <v>904</v>
      </c>
      <c r="K38" s="971">
        <v>0.17</v>
      </c>
      <c r="L38" s="204" t="s">
        <v>904</v>
      </c>
      <c r="M38" s="1558">
        <v>1.0999999999999999E-2</v>
      </c>
      <c r="N38" s="204" t="s">
        <v>889</v>
      </c>
      <c r="O38" s="1049">
        <f t="shared" si="19"/>
        <v>18637.2448009</v>
      </c>
      <c r="P38" s="204" t="s">
        <v>889</v>
      </c>
      <c r="Q38" s="1049">
        <f t="shared" si="20"/>
        <v>12.337856058195801</v>
      </c>
      <c r="R38" s="1567" t="s">
        <v>889</v>
      </c>
      <c r="S38" s="1560">
        <f t="shared" si="21"/>
        <v>1.2337856058195801E-5</v>
      </c>
      <c r="T38" s="1567" t="s">
        <v>889</v>
      </c>
      <c r="U38" s="1560">
        <f t="shared" si="22"/>
        <v>9.3879868370089865E-5</v>
      </c>
      <c r="V38" s="1567" t="s">
        <v>889</v>
      </c>
      <c r="W38" s="1563">
        <f t="shared" si="23"/>
        <v>3.4422618402366284E-4</v>
      </c>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row>
    <row r="39" spans="1:53" ht="15.75" customHeight="1" x14ac:dyDescent="0.25">
      <c r="A39" s="3"/>
      <c r="B39" s="745" t="s">
        <v>1216</v>
      </c>
      <c r="C39" s="1509">
        <v>42</v>
      </c>
      <c r="D39" s="204" t="s">
        <v>904</v>
      </c>
      <c r="E39" s="1034">
        <v>533</v>
      </c>
      <c r="F39" s="204" t="s">
        <v>904</v>
      </c>
      <c r="G39" s="1045">
        <v>7.4944796348701379</v>
      </c>
      <c r="H39" s="204" t="s">
        <v>889</v>
      </c>
      <c r="I39" s="1049">
        <f t="shared" si="18"/>
        <v>61236568.703764059</v>
      </c>
      <c r="J39" s="204" t="s">
        <v>904</v>
      </c>
      <c r="K39" s="971">
        <v>0.17</v>
      </c>
      <c r="L39" s="204" t="s">
        <v>904</v>
      </c>
      <c r="M39" s="1558">
        <v>1.0999999999999999E-2</v>
      </c>
      <c r="N39" s="204" t="s">
        <v>889</v>
      </c>
      <c r="O39" s="1049">
        <f t="shared" si="19"/>
        <v>114512.3834760388</v>
      </c>
      <c r="P39" s="204" t="s">
        <v>889</v>
      </c>
      <c r="Q39" s="1049">
        <f t="shared" si="20"/>
        <v>75.807197861137695</v>
      </c>
      <c r="R39" s="1567" t="s">
        <v>889</v>
      </c>
      <c r="S39" s="1560">
        <f t="shared" si="21"/>
        <v>7.5807197861137699E-5</v>
      </c>
      <c r="T39" s="1567" t="s">
        <v>889</v>
      </c>
      <c r="U39" s="1560">
        <f t="shared" si="22"/>
        <v>5.7682386008883865E-4</v>
      </c>
      <c r="V39" s="1567" t="s">
        <v>889</v>
      </c>
      <c r="W39" s="1563">
        <f t="shared" si="23"/>
        <v>2.1150208203257418E-3</v>
      </c>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row>
    <row r="40" spans="1:53" ht="15.75" customHeight="1" x14ac:dyDescent="0.25">
      <c r="A40" s="3"/>
      <c r="B40" s="745" t="s">
        <v>1217</v>
      </c>
      <c r="C40" s="1509">
        <v>10</v>
      </c>
      <c r="D40" s="204" t="s">
        <v>904</v>
      </c>
      <c r="E40" s="1034">
        <v>420</v>
      </c>
      <c r="F40" s="204" t="s">
        <v>904</v>
      </c>
      <c r="G40" s="1045">
        <v>7.5819828136999998</v>
      </c>
      <c r="H40" s="204" t="s">
        <v>889</v>
      </c>
      <c r="I40" s="1049">
        <f t="shared" si="18"/>
        <v>11623179.653402101</v>
      </c>
      <c r="J40" s="204" t="s">
        <v>904</v>
      </c>
      <c r="K40" s="971">
        <v>0.17</v>
      </c>
      <c r="L40" s="204" t="s">
        <v>904</v>
      </c>
      <c r="M40" s="1558">
        <v>1.0999999999999999E-2</v>
      </c>
      <c r="N40" s="204" t="s">
        <v>889</v>
      </c>
      <c r="O40" s="1049">
        <f t="shared" si="19"/>
        <v>21735.345951861927</v>
      </c>
      <c r="P40" s="204" t="s">
        <v>889</v>
      </c>
      <c r="Q40" s="1049">
        <f t="shared" si="20"/>
        <v>14.388799020132597</v>
      </c>
      <c r="R40" s="1567" t="s">
        <v>889</v>
      </c>
      <c r="S40" s="1560">
        <f t="shared" si="21"/>
        <v>1.4388799020132597E-5</v>
      </c>
      <c r="T40" s="1567" t="s">
        <v>889</v>
      </c>
      <c r="U40" s="1560">
        <f t="shared" si="22"/>
        <v>1.0948567981682711E-4</v>
      </c>
      <c r="V40" s="1567" t="s">
        <v>889</v>
      </c>
      <c r="W40" s="1563">
        <f t="shared" si="23"/>
        <v>4.0144749266169945E-4</v>
      </c>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row>
    <row r="41" spans="1:53" ht="15.75" customHeight="1" x14ac:dyDescent="0.25">
      <c r="A41" s="3"/>
      <c r="B41" s="745" t="s">
        <v>1219</v>
      </c>
      <c r="C41" s="1509">
        <v>15</v>
      </c>
      <c r="D41" s="204" t="s">
        <v>904</v>
      </c>
      <c r="E41" s="1034">
        <v>318</v>
      </c>
      <c r="F41" s="204" t="s">
        <v>904</v>
      </c>
      <c r="G41" s="1045">
        <v>8.1348401876</v>
      </c>
      <c r="H41" s="204" t="s">
        <v>889</v>
      </c>
      <c r="I41" s="1049">
        <f t="shared" si="18"/>
        <v>14163163.508620979</v>
      </c>
      <c r="J41" s="204" t="s">
        <v>904</v>
      </c>
      <c r="K41" s="971">
        <v>0.17</v>
      </c>
      <c r="L41" s="204" t="s">
        <v>904</v>
      </c>
      <c r="M41" s="1558">
        <v>1.0999999999999999E-2</v>
      </c>
      <c r="N41" s="204" t="s">
        <v>889</v>
      </c>
      <c r="O41" s="1049">
        <f t="shared" si="19"/>
        <v>26485.115761121233</v>
      </c>
      <c r="P41" s="1567" t="s">
        <v>889</v>
      </c>
      <c r="Q41" s="1049">
        <f t="shared" si="20"/>
        <v>17.533146633862259</v>
      </c>
      <c r="R41" s="1567" t="s">
        <v>889</v>
      </c>
      <c r="S41" s="1560">
        <f t="shared" si="21"/>
        <v>1.7533146633862258E-5</v>
      </c>
      <c r="T41" s="1567" t="s">
        <v>889</v>
      </c>
      <c r="U41" s="1560">
        <f t="shared" si="22"/>
        <v>1.3341130665947917E-4</v>
      </c>
      <c r="V41" s="1567" t="s">
        <v>889</v>
      </c>
      <c r="W41" s="1563">
        <f t="shared" si="23"/>
        <v>4.8917479108475704E-4</v>
      </c>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row>
    <row r="42" spans="1:53" ht="15.75" customHeight="1" x14ac:dyDescent="0.25">
      <c r="A42" s="3"/>
      <c r="B42" s="745" t="s">
        <v>1218</v>
      </c>
      <c r="C42" s="1509">
        <v>7</v>
      </c>
      <c r="D42" s="204" t="s">
        <v>904</v>
      </c>
      <c r="E42" s="1034">
        <v>420</v>
      </c>
      <c r="F42" s="204" t="s">
        <v>904</v>
      </c>
      <c r="G42" s="1045">
        <v>8.5573471290000001</v>
      </c>
      <c r="H42" s="204" t="s">
        <v>889</v>
      </c>
      <c r="I42" s="1049">
        <f t="shared" si="18"/>
        <v>9182889.2041299008</v>
      </c>
      <c r="J42" s="204" t="s">
        <v>904</v>
      </c>
      <c r="K42" s="971">
        <v>0.17</v>
      </c>
      <c r="L42" s="204" t="s">
        <v>904</v>
      </c>
      <c r="M42" s="1558">
        <v>1.0999999999999999E-2</v>
      </c>
      <c r="N42" s="204" t="s">
        <v>889</v>
      </c>
      <c r="O42" s="1049">
        <f t="shared" si="19"/>
        <v>17172.002811722916</v>
      </c>
      <c r="P42" s="204" t="s">
        <v>889</v>
      </c>
      <c r="Q42" s="1049">
        <f t="shared" si="20"/>
        <v>11.367865861360571</v>
      </c>
      <c r="R42" s="1567" t="s">
        <v>889</v>
      </c>
      <c r="S42" s="1560">
        <f t="shared" si="21"/>
        <v>1.136786586136057E-5</v>
      </c>
      <c r="T42" s="1567" t="s">
        <v>889</v>
      </c>
      <c r="U42" s="1560">
        <f t="shared" si="22"/>
        <v>8.64991247814436E-5</v>
      </c>
      <c r="V42" s="1567" t="s">
        <v>889</v>
      </c>
      <c r="W42" s="1563">
        <f t="shared" si="23"/>
        <v>3.1716345753195988E-4</v>
      </c>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row>
    <row r="43" spans="1:53" ht="15.75" customHeight="1" x14ac:dyDescent="0.25">
      <c r="A43" s="3"/>
      <c r="B43" s="470" t="s">
        <v>1225</v>
      </c>
      <c r="C43" s="1566"/>
      <c r="D43" s="204"/>
      <c r="E43" s="1034"/>
      <c r="F43" s="204"/>
      <c r="G43" s="1045"/>
      <c r="H43" s="204"/>
      <c r="I43" s="1049"/>
      <c r="J43" s="204"/>
      <c r="K43" s="971"/>
      <c r="L43" s="204"/>
      <c r="M43" s="204"/>
      <c r="N43" s="204"/>
      <c r="O43" s="1049"/>
      <c r="P43" s="204"/>
      <c r="Q43" s="1049"/>
      <c r="R43" s="1567"/>
      <c r="S43" s="1560"/>
      <c r="T43" s="1567"/>
      <c r="U43" s="1560"/>
      <c r="V43" s="1567"/>
      <c r="W43" s="156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row>
    <row r="44" spans="1:53" ht="15.75" customHeight="1" x14ac:dyDescent="0.25">
      <c r="A44" s="3"/>
      <c r="B44" s="745" t="s">
        <v>1275</v>
      </c>
      <c r="C44" s="1509">
        <v>2</v>
      </c>
      <c r="D44" s="204" t="s">
        <v>904</v>
      </c>
      <c r="E44" s="1034">
        <v>198</v>
      </c>
      <c r="F44" s="204" t="s">
        <v>904</v>
      </c>
      <c r="G44" s="1045">
        <v>2.6</v>
      </c>
      <c r="H44" s="204" t="s">
        <v>889</v>
      </c>
      <c r="I44" s="1049">
        <f t="shared" ref="I44:I48" si="24">C44*E44*G44*365</f>
        <v>375804.00000000006</v>
      </c>
      <c r="J44" s="204" t="s">
        <v>904</v>
      </c>
      <c r="K44" s="971">
        <v>0.48</v>
      </c>
      <c r="L44" s="204" t="s">
        <v>904</v>
      </c>
      <c r="M44" s="1558">
        <v>0.30060131865467832</v>
      </c>
      <c r="N44" s="204" t="s">
        <v>889</v>
      </c>
      <c r="O44" s="1049">
        <f t="shared" ref="O44:O48" si="25">(I44*K44)*M44</f>
        <v>54224.245418737315</v>
      </c>
      <c r="P44" s="204" t="s">
        <v>889</v>
      </c>
      <c r="Q44" s="1049">
        <f t="shared" ref="Q44:Q48" si="26">O44*0.000662</f>
        <v>35.896450467204104</v>
      </c>
      <c r="R44" s="204" t="s">
        <v>889</v>
      </c>
      <c r="S44" s="1560">
        <f t="shared" ref="S44:S48" si="27">Q44/1000000</f>
        <v>3.5896450467204103E-5</v>
      </c>
      <c r="T44" s="204" t="s">
        <v>889</v>
      </c>
      <c r="U44" s="1560">
        <f t="shared" ref="U44:U48" si="28">(S44*$Z$7)*12/44</f>
        <v>2.7313935491863483E-4</v>
      </c>
      <c r="V44" s="204" t="s">
        <v>889</v>
      </c>
      <c r="W44" s="1563">
        <f t="shared" ref="W44:W48" si="29">U44/(12/44)</f>
        <v>1.0015109680349946E-3</v>
      </c>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row>
    <row r="45" spans="1:53" ht="15.75" customHeight="1" x14ac:dyDescent="0.25">
      <c r="A45" s="3"/>
      <c r="B45" s="745" t="s">
        <v>1287</v>
      </c>
      <c r="C45" s="1509">
        <v>9</v>
      </c>
      <c r="D45" s="204" t="s">
        <v>904</v>
      </c>
      <c r="E45" s="1034">
        <v>15.88</v>
      </c>
      <c r="F45" s="204" t="s">
        <v>904</v>
      </c>
      <c r="G45" s="1045">
        <v>8.8000000000000007</v>
      </c>
      <c r="H45" s="204" t="s">
        <v>889</v>
      </c>
      <c r="I45" s="1049">
        <f t="shared" si="24"/>
        <v>459059.04000000004</v>
      </c>
      <c r="J45" s="204" t="s">
        <v>904</v>
      </c>
      <c r="K45" s="971">
        <v>0.48</v>
      </c>
      <c r="L45" s="204" t="s">
        <v>904</v>
      </c>
      <c r="M45" s="1558">
        <v>0.30016800271641908</v>
      </c>
      <c r="N45" s="204" t="s">
        <v>889</v>
      </c>
      <c r="O45" s="1049">
        <f t="shared" si="25"/>
        <v>66141.520879544041</v>
      </c>
      <c r="P45" s="204" t="s">
        <v>889</v>
      </c>
      <c r="Q45" s="1049">
        <f t="shared" si="26"/>
        <v>43.785686822258157</v>
      </c>
      <c r="R45" s="204" t="s">
        <v>889</v>
      </c>
      <c r="S45" s="1560">
        <f t="shared" si="27"/>
        <v>4.378568682225816E-5</v>
      </c>
      <c r="T45" s="204" t="s">
        <v>889</v>
      </c>
      <c r="U45" s="1560">
        <f t="shared" si="28"/>
        <v>3.3316927154754614E-4</v>
      </c>
      <c r="V45" s="204" t="s">
        <v>889</v>
      </c>
      <c r="W45" s="1563">
        <f t="shared" si="29"/>
        <v>1.2216206623410027E-3</v>
      </c>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row>
    <row r="46" spans="1:53" ht="15.75" customHeight="1" x14ac:dyDescent="0.25">
      <c r="A46" s="3"/>
      <c r="B46" s="745" t="s">
        <v>1292</v>
      </c>
      <c r="C46" s="1526">
        <v>7</v>
      </c>
      <c r="D46" s="204" t="s">
        <v>904</v>
      </c>
      <c r="E46" s="1034">
        <v>40.6</v>
      </c>
      <c r="F46" s="204" t="s">
        <v>904</v>
      </c>
      <c r="G46" s="1045">
        <v>5.4</v>
      </c>
      <c r="H46" s="204" t="s">
        <v>889</v>
      </c>
      <c r="I46" s="1049">
        <f t="shared" si="24"/>
        <v>560158.20000000007</v>
      </c>
      <c r="J46" s="204" t="s">
        <v>904</v>
      </c>
      <c r="K46" s="971">
        <v>0.48</v>
      </c>
      <c r="L46" s="204" t="s">
        <v>904</v>
      </c>
      <c r="M46" s="1558">
        <v>0.30016800271641908</v>
      </c>
      <c r="N46" s="204" t="s">
        <v>889</v>
      </c>
      <c r="O46" s="1049">
        <f t="shared" si="25"/>
        <v>80707.952687627738</v>
      </c>
      <c r="P46" s="204" t="s">
        <v>889</v>
      </c>
      <c r="Q46" s="1049">
        <f t="shared" si="26"/>
        <v>53.428664679209568</v>
      </c>
      <c r="R46" s="204" t="s">
        <v>889</v>
      </c>
      <c r="S46" s="1560">
        <f t="shared" si="27"/>
        <v>5.3428664679209571E-5</v>
      </c>
      <c r="T46" s="204" t="s">
        <v>889</v>
      </c>
      <c r="U46" s="1560">
        <f t="shared" si="28"/>
        <v>4.0654356669544007E-4</v>
      </c>
      <c r="V46" s="204" t="s">
        <v>889</v>
      </c>
      <c r="W46" s="1563">
        <f t="shared" si="29"/>
        <v>1.490659744549947E-3</v>
      </c>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row>
    <row r="47" spans="1:53" ht="15.75" customHeight="1" x14ac:dyDescent="0.25">
      <c r="A47" s="3"/>
      <c r="B47" s="745" t="s">
        <v>1296</v>
      </c>
      <c r="C47" s="1509">
        <v>4</v>
      </c>
      <c r="D47" s="204" t="s">
        <v>904</v>
      </c>
      <c r="E47" s="1034">
        <v>67.819999999999993</v>
      </c>
      <c r="F47" s="204" t="s">
        <v>904</v>
      </c>
      <c r="G47" s="1045">
        <v>5.4</v>
      </c>
      <c r="H47" s="204" t="s">
        <v>889</v>
      </c>
      <c r="I47" s="1049">
        <f t="shared" si="24"/>
        <v>534692.88</v>
      </c>
      <c r="J47" s="204" t="s">
        <v>904</v>
      </c>
      <c r="K47" s="971">
        <v>0.48</v>
      </c>
      <c r="L47" s="204" t="s">
        <v>904</v>
      </c>
      <c r="M47" s="1558">
        <v>0.30016800271641908</v>
      </c>
      <c r="N47" s="204" t="s">
        <v>889</v>
      </c>
      <c r="O47" s="1049">
        <f t="shared" si="25"/>
        <v>77038.893051019171</v>
      </c>
      <c r="P47" s="204" t="s">
        <v>889</v>
      </c>
      <c r="Q47" s="1049">
        <f t="shared" si="26"/>
        <v>50.999747199774696</v>
      </c>
      <c r="R47" s="204" t="s">
        <v>889</v>
      </c>
      <c r="S47" s="1560">
        <f t="shared" si="27"/>
        <v>5.0999747199774693E-5</v>
      </c>
      <c r="T47" s="204" t="s">
        <v>889</v>
      </c>
      <c r="U47" s="1560">
        <f t="shared" si="28"/>
        <v>3.8806171278374016E-4</v>
      </c>
      <c r="V47" s="204" t="s">
        <v>889</v>
      </c>
      <c r="W47" s="1563">
        <f t="shared" si="29"/>
        <v>1.422892946873714E-3</v>
      </c>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row>
    <row r="48" spans="1:53" ht="15.75" customHeight="1" x14ac:dyDescent="0.25">
      <c r="A48" s="3"/>
      <c r="B48" s="745" t="s">
        <v>1299</v>
      </c>
      <c r="C48" s="1509">
        <v>4</v>
      </c>
      <c r="D48" s="204" t="s">
        <v>904</v>
      </c>
      <c r="E48" s="1034">
        <v>90.75</v>
      </c>
      <c r="F48" s="204" t="s">
        <v>904</v>
      </c>
      <c r="G48" s="1045">
        <v>5.4</v>
      </c>
      <c r="H48" s="204" t="s">
        <v>889</v>
      </c>
      <c r="I48" s="1049">
        <f t="shared" si="24"/>
        <v>715473</v>
      </c>
      <c r="J48" s="204" t="s">
        <v>904</v>
      </c>
      <c r="K48" s="971">
        <v>0.48</v>
      </c>
      <c r="L48" s="204" t="s">
        <v>904</v>
      </c>
      <c r="M48" s="1558">
        <v>0.30016800271641908</v>
      </c>
      <c r="N48" s="204" t="s">
        <v>889</v>
      </c>
      <c r="O48" s="1049">
        <f t="shared" si="25"/>
        <v>103085.80867561176</v>
      </c>
      <c r="P48" s="204" t="s">
        <v>889</v>
      </c>
      <c r="Q48" s="1049">
        <f t="shared" si="26"/>
        <v>68.242805343254986</v>
      </c>
      <c r="R48" s="204" t="s">
        <v>889</v>
      </c>
      <c r="S48" s="1560">
        <f t="shared" si="27"/>
        <v>6.8242805343254989E-5</v>
      </c>
      <c r="T48" s="204" t="s">
        <v>889</v>
      </c>
      <c r="U48" s="1560">
        <f t="shared" si="28"/>
        <v>5.1926570974822209E-4</v>
      </c>
      <c r="V48" s="204" t="s">
        <v>889</v>
      </c>
      <c r="W48" s="1563">
        <f t="shared" si="29"/>
        <v>1.9039742690768145E-3</v>
      </c>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row>
    <row r="49" spans="1:53" ht="15.75" customHeight="1" x14ac:dyDescent="0.25">
      <c r="A49" s="3"/>
      <c r="B49" s="470" t="s">
        <v>1302</v>
      </c>
      <c r="C49" s="1566"/>
      <c r="D49" s="204"/>
      <c r="E49" s="1034"/>
      <c r="F49" s="204"/>
      <c r="G49" s="204"/>
      <c r="H49" s="204"/>
      <c r="I49" s="1049"/>
      <c r="J49" s="204"/>
      <c r="K49" s="971"/>
      <c r="L49" s="204"/>
      <c r="M49" s="1581"/>
      <c r="N49" s="204"/>
      <c r="O49" s="1049"/>
      <c r="P49" s="204"/>
      <c r="Q49" s="1049"/>
      <c r="R49" s="204"/>
      <c r="S49" s="1560"/>
      <c r="T49" s="204"/>
      <c r="U49" s="1560"/>
      <c r="V49" s="204"/>
      <c r="W49" s="156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row>
    <row r="50" spans="1:53" ht="15.75" customHeight="1" x14ac:dyDescent="0.25">
      <c r="A50" s="3"/>
      <c r="B50" s="745" t="s">
        <v>1304</v>
      </c>
      <c r="C50" s="1584"/>
      <c r="D50" s="1585"/>
      <c r="E50" s="1586"/>
      <c r="F50" s="1585"/>
      <c r="G50" s="1585"/>
      <c r="H50" s="1585"/>
      <c r="I50" s="1588"/>
      <c r="J50" s="1585"/>
      <c r="K50" s="1590"/>
      <c r="L50" s="1585"/>
      <c r="M50" s="1591"/>
      <c r="N50" s="1585"/>
      <c r="O50" s="1588"/>
      <c r="P50" s="1585"/>
      <c r="Q50" s="1588"/>
      <c r="R50" s="1585"/>
      <c r="S50" s="1592"/>
      <c r="T50" s="1585"/>
      <c r="U50" s="1560"/>
      <c r="V50" s="1585"/>
      <c r="W50" s="159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row>
    <row r="51" spans="1:53" ht="15.75" customHeight="1" x14ac:dyDescent="0.25">
      <c r="A51" s="3"/>
      <c r="B51" s="745" t="s">
        <v>1307</v>
      </c>
      <c r="C51" s="1509">
        <v>2292</v>
      </c>
      <c r="D51" s="204" t="s">
        <v>904</v>
      </c>
      <c r="E51" s="1034">
        <v>1.8</v>
      </c>
      <c r="F51" s="204" t="s">
        <v>904</v>
      </c>
      <c r="G51" s="204">
        <v>10.8</v>
      </c>
      <c r="H51" s="204" t="s">
        <v>889</v>
      </c>
      <c r="I51" s="1049">
        <f t="shared" ref="I51:I55" si="30">C51*E51*G51*365</f>
        <v>16263115.200000003</v>
      </c>
      <c r="J51" s="204" t="s">
        <v>904</v>
      </c>
      <c r="K51" s="971">
        <v>0.39</v>
      </c>
      <c r="L51" s="204" t="s">
        <v>904</v>
      </c>
      <c r="M51" s="1558">
        <v>5.12259842612387E-2</v>
      </c>
      <c r="N51" s="204" t="s">
        <v>889</v>
      </c>
      <c r="O51" s="1049">
        <f t="shared" ref="O51:O55" si="31">(I51*K51)*M51</f>
        <v>324906.69247682567</v>
      </c>
      <c r="P51" s="204" t="s">
        <v>889</v>
      </c>
      <c r="Q51" s="1049">
        <f t="shared" ref="Q51:Q55" si="32">O51*0.000662</f>
        <v>215.0882304196586</v>
      </c>
      <c r="R51" s="204" t="s">
        <v>889</v>
      </c>
      <c r="S51" s="1560">
        <f t="shared" ref="S51:S55" si="33">Q51/1000000</f>
        <v>2.1508823041965861E-4</v>
      </c>
      <c r="T51" s="204" t="s">
        <v>889</v>
      </c>
      <c r="U51" s="1560">
        <f t="shared" ref="U51:U55" si="34">(S51*$Z$7)*12/44</f>
        <v>1.6366258987386751E-3</v>
      </c>
      <c r="V51" s="204" t="s">
        <v>889</v>
      </c>
      <c r="W51" s="1563">
        <f t="shared" ref="W51:W55" si="35">U51/(12/44)</f>
        <v>6.0009616287084759E-3</v>
      </c>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row>
    <row r="52" spans="1:53" ht="15.75" customHeight="1" x14ac:dyDescent="0.25">
      <c r="A52" s="3"/>
      <c r="B52" s="745" t="s">
        <v>1319</v>
      </c>
      <c r="C52" s="1509">
        <v>184</v>
      </c>
      <c r="D52" s="204" t="s">
        <v>904</v>
      </c>
      <c r="E52" s="1034">
        <v>1.8</v>
      </c>
      <c r="F52" s="204" t="s">
        <v>904</v>
      </c>
      <c r="G52" s="204">
        <v>9.6999999999999993</v>
      </c>
      <c r="H52" s="204" t="s">
        <v>889</v>
      </c>
      <c r="I52" s="1049">
        <f t="shared" si="30"/>
        <v>1172613.5999999999</v>
      </c>
      <c r="J52" s="204" t="s">
        <v>904</v>
      </c>
      <c r="K52" s="971">
        <v>0.39</v>
      </c>
      <c r="L52" s="204" t="s">
        <v>904</v>
      </c>
      <c r="M52" s="1558">
        <v>5.12259842612387E-2</v>
      </c>
      <c r="N52" s="204" t="s">
        <v>889</v>
      </c>
      <c r="O52" s="1049">
        <f t="shared" si="31"/>
        <v>23426.631469064632</v>
      </c>
      <c r="P52" s="204" t="s">
        <v>889</v>
      </c>
      <c r="Q52" s="1049">
        <f t="shared" si="32"/>
        <v>15.508430032520788</v>
      </c>
      <c r="R52" s="204" t="s">
        <v>889</v>
      </c>
      <c r="S52" s="1560">
        <f t="shared" si="33"/>
        <v>1.5508430032520787E-5</v>
      </c>
      <c r="T52" s="204" t="s">
        <v>889</v>
      </c>
      <c r="U52" s="1560">
        <f t="shared" si="34"/>
        <v>1.1800505397472635E-4</v>
      </c>
      <c r="V52" s="204" t="s">
        <v>889</v>
      </c>
      <c r="W52" s="1563">
        <f t="shared" si="35"/>
        <v>4.3268519790732999E-4</v>
      </c>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row>
    <row r="53" spans="1:53" ht="15.75" customHeight="1" x14ac:dyDescent="0.25">
      <c r="A53" s="3"/>
      <c r="B53" s="745" t="s">
        <v>1322</v>
      </c>
      <c r="C53" s="1509">
        <v>12</v>
      </c>
      <c r="D53" s="204" t="s">
        <v>904</v>
      </c>
      <c r="E53" s="1034">
        <v>1.8</v>
      </c>
      <c r="F53" s="204" t="s">
        <v>904</v>
      </c>
      <c r="G53" s="1045">
        <v>10.8</v>
      </c>
      <c r="H53" s="204" t="s">
        <v>889</v>
      </c>
      <c r="I53" s="1049">
        <f t="shared" si="30"/>
        <v>85147.200000000012</v>
      </c>
      <c r="J53" s="204" t="s">
        <v>904</v>
      </c>
      <c r="K53" s="971">
        <v>0.39</v>
      </c>
      <c r="L53" s="204" t="s">
        <v>904</v>
      </c>
      <c r="M53" s="1558">
        <v>5.12259842612387E-2</v>
      </c>
      <c r="N53" s="204" t="s">
        <v>889</v>
      </c>
      <c r="O53" s="1049">
        <f t="shared" si="31"/>
        <v>1701.0821595645323</v>
      </c>
      <c r="P53" s="204" t="s">
        <v>889</v>
      </c>
      <c r="Q53" s="1049">
        <f t="shared" si="32"/>
        <v>1.1261163896317203</v>
      </c>
      <c r="R53" s="204" t="s">
        <v>889</v>
      </c>
      <c r="S53" s="1560">
        <f t="shared" si="33"/>
        <v>1.1261163896317203E-6</v>
      </c>
      <c r="T53" s="204" t="s">
        <v>889</v>
      </c>
      <c r="U53" s="1560">
        <f t="shared" si="34"/>
        <v>8.5687219829249999E-6</v>
      </c>
      <c r="V53" s="204" t="s">
        <v>889</v>
      </c>
      <c r="W53" s="1563">
        <f t="shared" si="35"/>
        <v>3.1418647270725004E-5</v>
      </c>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row>
    <row r="54" spans="1:53" ht="15.75" customHeight="1" x14ac:dyDescent="0.25">
      <c r="A54" s="3"/>
      <c r="B54" s="745" t="s">
        <v>1325</v>
      </c>
      <c r="C54" s="1509">
        <v>53072.7</v>
      </c>
      <c r="D54" s="204" t="s">
        <v>904</v>
      </c>
      <c r="E54" s="1034">
        <v>0.9</v>
      </c>
      <c r="F54" s="204" t="s">
        <v>904</v>
      </c>
      <c r="G54" s="204">
        <v>15</v>
      </c>
      <c r="H54" s="204" t="s">
        <v>889</v>
      </c>
      <c r="I54" s="1049">
        <f t="shared" si="30"/>
        <v>261515729.24999997</v>
      </c>
      <c r="J54" s="204" t="s">
        <v>904</v>
      </c>
      <c r="K54" s="971">
        <v>0.36</v>
      </c>
      <c r="L54" s="204" t="s">
        <v>904</v>
      </c>
      <c r="M54" s="1581">
        <v>1.4999999999999999E-2</v>
      </c>
      <c r="N54" s="204" t="s">
        <v>889</v>
      </c>
      <c r="O54" s="1049">
        <f t="shared" si="31"/>
        <v>1412184.9379499997</v>
      </c>
      <c r="P54" s="204" t="s">
        <v>889</v>
      </c>
      <c r="Q54" s="1049">
        <f t="shared" si="32"/>
        <v>934.8664289228999</v>
      </c>
      <c r="R54" s="204" t="s">
        <v>889</v>
      </c>
      <c r="S54" s="1560">
        <f t="shared" si="33"/>
        <v>9.3486642892289993E-4</v>
      </c>
      <c r="T54" s="204" t="s">
        <v>889</v>
      </c>
      <c r="U54" s="1560">
        <f t="shared" si="34"/>
        <v>7.11348364553152E-3</v>
      </c>
      <c r="V54" s="204" t="s">
        <v>889</v>
      </c>
      <c r="W54" s="1563">
        <f t="shared" si="35"/>
        <v>2.6082773366948909E-2</v>
      </c>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row>
    <row r="55" spans="1:53" ht="15.75" customHeight="1" x14ac:dyDescent="0.25">
      <c r="A55" s="3"/>
      <c r="B55" s="745" t="s">
        <v>1328</v>
      </c>
      <c r="C55" s="1509">
        <v>704</v>
      </c>
      <c r="D55" s="204" t="s">
        <v>904</v>
      </c>
      <c r="E55" s="1034">
        <v>6.8</v>
      </c>
      <c r="F55" s="204" t="s">
        <v>904</v>
      </c>
      <c r="G55" s="204">
        <v>9.6999999999999993</v>
      </c>
      <c r="H55" s="204" t="s">
        <v>889</v>
      </c>
      <c r="I55" s="1049">
        <f t="shared" si="30"/>
        <v>16949081.599999998</v>
      </c>
      <c r="J55" s="204" t="s">
        <v>904</v>
      </c>
      <c r="K55" s="971">
        <v>0.36</v>
      </c>
      <c r="L55" s="204" t="s">
        <v>904</v>
      </c>
      <c r="M55" s="1581">
        <v>1.4999999999999999E-2</v>
      </c>
      <c r="N55" s="204" t="s">
        <v>889</v>
      </c>
      <c r="O55" s="1049">
        <f t="shared" si="31"/>
        <v>91525.040639999992</v>
      </c>
      <c r="P55" s="204" t="s">
        <v>889</v>
      </c>
      <c r="Q55" s="1049">
        <f t="shared" si="32"/>
        <v>60.589576903679998</v>
      </c>
      <c r="R55" s="204" t="s">
        <v>889</v>
      </c>
      <c r="S55" s="1560">
        <f t="shared" si="33"/>
        <v>6.0589576903679998E-5</v>
      </c>
      <c r="T55" s="204" t="s">
        <v>889</v>
      </c>
      <c r="U55" s="1560">
        <f t="shared" si="34"/>
        <v>4.6103159880345591E-4</v>
      </c>
      <c r="V55" s="204" t="s">
        <v>889</v>
      </c>
      <c r="W55" s="1563">
        <f t="shared" si="35"/>
        <v>1.6904491956126718E-3</v>
      </c>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row>
    <row r="56" spans="1:53" ht="15.75" customHeight="1" x14ac:dyDescent="0.25">
      <c r="A56" s="3"/>
      <c r="B56" s="470" t="s">
        <v>702</v>
      </c>
      <c r="C56" s="1566"/>
      <c r="D56" s="204"/>
      <c r="E56" s="1034"/>
      <c r="F56" s="204"/>
      <c r="G56" s="204"/>
      <c r="H56" s="204"/>
      <c r="I56" s="1049"/>
      <c r="J56" s="204"/>
      <c r="K56" s="971"/>
      <c r="L56" s="204"/>
      <c r="M56" s="1581"/>
      <c r="N56" s="204"/>
      <c r="O56" s="1049"/>
      <c r="P56" s="204"/>
      <c r="Q56" s="1049"/>
      <c r="R56" s="204"/>
      <c r="S56" s="1560"/>
      <c r="T56" s="204"/>
      <c r="U56" s="1560"/>
      <c r="V56" s="204"/>
      <c r="W56" s="156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row>
    <row r="57" spans="1:53" ht="15.75" customHeight="1" x14ac:dyDescent="0.25">
      <c r="A57" s="3"/>
      <c r="B57" s="745" t="s">
        <v>1332</v>
      </c>
      <c r="C57" s="1509">
        <v>0</v>
      </c>
      <c r="D57" s="204" t="s">
        <v>904</v>
      </c>
      <c r="E57" s="1034">
        <v>25</v>
      </c>
      <c r="F57" s="204" t="s">
        <v>904</v>
      </c>
      <c r="G57" s="1045">
        <v>9.205479452054794</v>
      </c>
      <c r="H57" s="204" t="s">
        <v>889</v>
      </c>
      <c r="I57" s="1049">
        <f t="shared" ref="I57:I60" si="36">C57*E57*G57*365</f>
        <v>0</v>
      </c>
      <c r="J57" s="204" t="s">
        <v>904</v>
      </c>
      <c r="K57" s="971">
        <v>0.36056372132540354</v>
      </c>
      <c r="L57" s="204" t="s">
        <v>904</v>
      </c>
      <c r="M57" s="1581">
        <v>1.2E-2</v>
      </c>
      <c r="N57" s="204" t="s">
        <v>889</v>
      </c>
      <c r="O57" s="1049">
        <f t="shared" ref="O57:O60" si="37">(I57*K57)*M57</f>
        <v>0</v>
      </c>
      <c r="P57" s="204" t="s">
        <v>889</v>
      </c>
      <c r="Q57" s="1049">
        <f t="shared" ref="Q57:Q60" si="38">O57*0.000662</f>
        <v>0</v>
      </c>
      <c r="R57" s="204" t="s">
        <v>889</v>
      </c>
      <c r="S57" s="1560">
        <f t="shared" ref="S57:S60" si="39">Q57/1000000</f>
        <v>0</v>
      </c>
      <c r="T57" s="204" t="s">
        <v>889</v>
      </c>
      <c r="U57" s="1560">
        <f t="shared" ref="U57:U60" si="40">(S57*$Z$7)*12/44</f>
        <v>0</v>
      </c>
      <c r="V57" s="204" t="s">
        <v>889</v>
      </c>
      <c r="W57" s="1563">
        <f t="shared" ref="W57:W60" si="41">U57/(12/44)</f>
        <v>0</v>
      </c>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row>
    <row r="58" spans="1:53" ht="15.75" customHeight="1" x14ac:dyDescent="0.25">
      <c r="A58" s="3"/>
      <c r="B58" s="745" t="s">
        <v>1333</v>
      </c>
      <c r="C58" s="1526">
        <v>24</v>
      </c>
      <c r="D58" s="204" t="s">
        <v>904</v>
      </c>
      <c r="E58" s="1034">
        <v>80</v>
      </c>
      <c r="F58" s="204" t="s">
        <v>904</v>
      </c>
      <c r="G58" s="1045">
        <v>9.205479452054794</v>
      </c>
      <c r="H58" s="204" t="s">
        <v>889</v>
      </c>
      <c r="I58" s="1049">
        <f t="shared" si="36"/>
        <v>6451200</v>
      </c>
      <c r="J58" s="204" t="s">
        <v>904</v>
      </c>
      <c r="K58" s="971">
        <v>0.1899677145284622</v>
      </c>
      <c r="L58" s="204" t="s">
        <v>904</v>
      </c>
      <c r="M58" s="1581">
        <v>1.0999999999999999E-2</v>
      </c>
      <c r="N58" s="204" t="s">
        <v>889</v>
      </c>
      <c r="O58" s="1049">
        <f t="shared" si="37"/>
        <v>13480.716919626168</v>
      </c>
      <c r="P58" s="204" t="s">
        <v>889</v>
      </c>
      <c r="Q58" s="1049">
        <f t="shared" si="38"/>
        <v>8.9242346007925235</v>
      </c>
      <c r="R58" s="204" t="s">
        <v>889</v>
      </c>
      <c r="S58" s="1560">
        <f t="shared" si="39"/>
        <v>8.924234600792524E-6</v>
      </c>
      <c r="T58" s="204" t="s">
        <v>889</v>
      </c>
      <c r="U58" s="1560">
        <f t="shared" si="40"/>
        <v>6.7905312371484942E-5</v>
      </c>
      <c r="V58" s="204" t="s">
        <v>889</v>
      </c>
      <c r="W58" s="1563">
        <f t="shared" si="41"/>
        <v>2.4898614536211149E-4</v>
      </c>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row>
    <row r="59" spans="1:53" ht="15.75" customHeight="1" x14ac:dyDescent="0.25">
      <c r="A59" s="3"/>
      <c r="B59" s="745" t="s">
        <v>1224</v>
      </c>
      <c r="C59" s="1509">
        <v>12</v>
      </c>
      <c r="D59" s="204" t="s">
        <v>904</v>
      </c>
      <c r="E59" s="1034">
        <v>64</v>
      </c>
      <c r="F59" s="204" t="s">
        <v>904</v>
      </c>
      <c r="G59" s="1045">
        <v>9.5342465753424666</v>
      </c>
      <c r="H59" s="204" t="s">
        <v>889</v>
      </c>
      <c r="I59" s="1049">
        <f t="shared" si="36"/>
        <v>2672640.0000000005</v>
      </c>
      <c r="J59" s="204" t="s">
        <v>904</v>
      </c>
      <c r="K59" s="971">
        <v>0.16997111299915041</v>
      </c>
      <c r="L59" s="204" t="s">
        <v>904</v>
      </c>
      <c r="M59" s="1581">
        <v>1.0999999999999999E-2</v>
      </c>
      <c r="N59" s="204" t="s">
        <v>889</v>
      </c>
      <c r="O59" s="1049">
        <f t="shared" si="37"/>
        <v>4996.9875499065429</v>
      </c>
      <c r="P59" s="204" t="s">
        <v>889</v>
      </c>
      <c r="Q59" s="1049">
        <f t="shared" si="38"/>
        <v>3.3080057580381315</v>
      </c>
      <c r="R59" s="204" t="s">
        <v>889</v>
      </c>
      <c r="S59" s="1560">
        <f t="shared" si="39"/>
        <v>3.3080057580381316E-6</v>
      </c>
      <c r="T59" s="204" t="s">
        <v>889</v>
      </c>
      <c r="U59" s="1560">
        <f t="shared" si="40"/>
        <v>2.5170916540708327E-5</v>
      </c>
      <c r="V59" s="204" t="s">
        <v>889</v>
      </c>
      <c r="W59" s="1563">
        <f t="shared" si="41"/>
        <v>9.2293360649263877E-5</v>
      </c>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row>
    <row r="60" spans="1:53" ht="15.75" customHeight="1" x14ac:dyDescent="0.25">
      <c r="A60" s="3"/>
      <c r="B60" s="745" t="s">
        <v>1226</v>
      </c>
      <c r="C60" s="1526">
        <v>79.099999999999994</v>
      </c>
      <c r="D60" s="204" t="s">
        <v>904</v>
      </c>
      <c r="E60" s="1034">
        <v>450</v>
      </c>
      <c r="F60" s="204" t="s">
        <v>904</v>
      </c>
      <c r="G60" s="204">
        <v>10</v>
      </c>
      <c r="H60" s="204" t="s">
        <v>889</v>
      </c>
      <c r="I60" s="1049">
        <f t="shared" si="36"/>
        <v>129921750</v>
      </c>
      <c r="J60" s="204" t="s">
        <v>904</v>
      </c>
      <c r="K60" s="971">
        <v>0.33056881903143587</v>
      </c>
      <c r="L60" s="204" t="s">
        <v>904</v>
      </c>
      <c r="M60" s="1581">
        <v>1.0999999999999999E-2</v>
      </c>
      <c r="N60" s="204" t="s">
        <v>889</v>
      </c>
      <c r="O60" s="1049">
        <f t="shared" si="37"/>
        <v>472428.87410397193</v>
      </c>
      <c r="P60" s="204" t="s">
        <v>889</v>
      </c>
      <c r="Q60" s="1049">
        <f t="shared" si="38"/>
        <v>312.74791465682944</v>
      </c>
      <c r="R60" s="204" t="s">
        <v>889</v>
      </c>
      <c r="S60" s="1560">
        <f t="shared" si="39"/>
        <v>3.1274791465682944E-4</v>
      </c>
      <c r="T60" s="204" t="s">
        <v>889</v>
      </c>
      <c r="U60" s="1560">
        <f t="shared" si="40"/>
        <v>2.3797273142524204E-3</v>
      </c>
      <c r="V60" s="204" t="s">
        <v>889</v>
      </c>
      <c r="W60" s="1563">
        <f t="shared" si="41"/>
        <v>8.7256668189255419E-3</v>
      </c>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row>
    <row r="61" spans="1:53" ht="15.75" customHeight="1" x14ac:dyDescent="0.25">
      <c r="A61" s="3"/>
      <c r="B61" s="1528" t="s">
        <v>1227</v>
      </c>
      <c r="C61" s="1534"/>
      <c r="D61" s="1534"/>
      <c r="E61" s="1529"/>
      <c r="F61" s="1534"/>
      <c r="G61" s="1534"/>
      <c r="H61" s="1534"/>
      <c r="I61" s="1534"/>
      <c r="J61" s="1529"/>
      <c r="K61" s="1529"/>
      <c r="L61" s="1529"/>
      <c r="M61" s="1529"/>
      <c r="N61" s="1529"/>
      <c r="O61" s="1611">
        <f>SUM(O32:O60)</f>
        <v>6781730.6166402474</v>
      </c>
      <c r="P61" s="1529"/>
      <c r="Q61" s="1611">
        <f>SUM(Q32:Q60)</f>
        <v>4489.5056682158438</v>
      </c>
      <c r="R61" s="1529"/>
      <c r="S61" s="1614">
        <f>SUM(S32:S60)</f>
        <v>4.489505668215845E-3</v>
      </c>
      <c r="T61" s="1529"/>
      <c r="U61" s="1614">
        <f>SUM(U32:U60)</f>
        <v>3.4161056766333291E-2</v>
      </c>
      <c r="V61" s="1534"/>
      <c r="W61" s="1618">
        <f>SUM(W32:W60)</f>
        <v>0.12525720814322211</v>
      </c>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row>
    <row r="62" spans="1:53" ht="15.75" customHeight="1" x14ac:dyDescent="0.25">
      <c r="A62" s="3"/>
      <c r="B62" s="60"/>
      <c r="C62" s="3"/>
      <c r="D62" s="3"/>
      <c r="E62" s="864"/>
      <c r="F62" s="3"/>
      <c r="G62" s="3"/>
      <c r="H62" s="3"/>
      <c r="I62" s="3"/>
      <c r="J62" s="864"/>
      <c r="K62" s="864"/>
      <c r="L62" s="864"/>
      <c r="M62" s="864"/>
      <c r="N62" s="864"/>
      <c r="O62" s="1096"/>
      <c r="P62" s="864"/>
      <c r="Q62" s="1096"/>
      <c r="R62" s="864"/>
      <c r="S62" s="1624"/>
      <c r="T62" s="864"/>
      <c r="U62" s="1624"/>
      <c r="V62" s="3"/>
      <c r="W62" s="1624"/>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row>
    <row r="63" spans="1:53" ht="15.75" customHeight="1" x14ac:dyDescent="0.25">
      <c r="A63" s="3"/>
      <c r="B63" s="60"/>
      <c r="C63" s="3"/>
      <c r="D63" s="3"/>
      <c r="E63" s="864"/>
      <c r="F63" s="3"/>
      <c r="G63" s="3"/>
      <c r="H63" s="3"/>
      <c r="I63" s="3"/>
      <c r="J63" s="864"/>
      <c r="K63" s="864"/>
      <c r="L63" s="864"/>
      <c r="M63" s="864"/>
      <c r="N63" s="864"/>
      <c r="O63" s="1096"/>
      <c r="P63" s="864"/>
      <c r="Q63" s="1096"/>
      <c r="R63" s="864"/>
      <c r="S63" s="1624"/>
      <c r="T63" s="864"/>
      <c r="U63" s="1624"/>
      <c r="V63" s="3"/>
      <c r="W63" s="1624"/>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row>
    <row r="64" spans="1:53" ht="15.75" customHeight="1" x14ac:dyDescent="0.25">
      <c r="A64" s="3"/>
      <c r="B64" s="1536"/>
      <c r="C64" s="1136"/>
      <c r="D64" s="1136"/>
      <c r="E64" s="1136"/>
      <c r="F64" s="1136"/>
      <c r="G64" s="1537"/>
      <c r="H64" s="1067"/>
      <c r="I64" s="1538"/>
      <c r="J64" s="1067"/>
      <c r="K64" s="1539"/>
      <c r="L64" s="12"/>
      <c r="M64" s="1539"/>
      <c r="N64" s="12"/>
      <c r="O64" s="12"/>
      <c r="P64" s="12"/>
      <c r="Q64" s="12"/>
      <c r="R64" s="12"/>
      <c r="S64" s="12"/>
      <c r="T64" s="12"/>
      <c r="U64" s="12"/>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row>
    <row r="65" spans="1:53" ht="19.5" customHeight="1" x14ac:dyDescent="0.4">
      <c r="A65" s="3"/>
      <c r="B65" s="1486" t="s">
        <v>1360</v>
      </c>
      <c r="C65" s="1540"/>
      <c r="D65" s="1540"/>
      <c r="E65" s="1540"/>
      <c r="F65" s="1540"/>
      <c r="G65" s="1541"/>
      <c r="H65" s="1542"/>
      <c r="I65" s="1543"/>
      <c r="J65" s="1542"/>
      <c r="K65" s="1544"/>
      <c r="L65" s="1489"/>
      <c r="M65" s="1544"/>
      <c r="N65" s="1489"/>
      <c r="O65" s="1489"/>
      <c r="P65" s="1489"/>
      <c r="Q65" s="1489"/>
      <c r="R65" s="1489"/>
      <c r="S65" s="1489"/>
      <c r="T65" s="1489"/>
      <c r="U65" s="1492"/>
      <c r="V65" s="28"/>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row>
    <row r="66" spans="1:53" ht="121.5" customHeight="1" x14ac:dyDescent="0.35">
      <c r="A66" s="3"/>
      <c r="B66" s="201"/>
      <c r="C66" s="1633" t="s">
        <v>1198</v>
      </c>
      <c r="D66" s="1635"/>
      <c r="E66" s="1496" t="s">
        <v>1363</v>
      </c>
      <c r="F66" s="1499"/>
      <c r="G66" s="1496" t="s">
        <v>1364</v>
      </c>
      <c r="H66" s="1496"/>
      <c r="I66" s="1496" t="s">
        <v>1365</v>
      </c>
      <c r="J66" s="1499"/>
      <c r="K66" s="1496" t="s">
        <v>1366</v>
      </c>
      <c r="L66" s="1636"/>
      <c r="M66" s="1496" t="s">
        <v>1367</v>
      </c>
      <c r="N66" s="1499"/>
      <c r="O66" s="1496" t="s">
        <v>1368</v>
      </c>
      <c r="P66" s="1499"/>
      <c r="Q66" s="1496" t="s">
        <v>957</v>
      </c>
      <c r="R66" s="1499"/>
      <c r="S66" s="1496" t="s">
        <v>1202</v>
      </c>
      <c r="T66" s="1499"/>
      <c r="U66" s="1502" t="s">
        <v>1369</v>
      </c>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row>
    <row r="67" spans="1:53" ht="15.75" customHeight="1" x14ac:dyDescent="0.25">
      <c r="A67" s="3"/>
      <c r="B67" s="470" t="s">
        <v>1370</v>
      </c>
      <c r="C67" s="1641"/>
      <c r="D67" s="1642"/>
      <c r="E67" s="58"/>
      <c r="F67" s="81"/>
      <c r="G67" s="81"/>
      <c r="H67" s="81"/>
      <c r="I67" s="58"/>
      <c r="J67" s="81"/>
      <c r="K67" s="81"/>
      <c r="L67" s="204"/>
      <c r="M67" s="81"/>
      <c r="N67" s="81"/>
      <c r="O67" s="81"/>
      <c r="P67" s="81"/>
      <c r="Q67" s="81"/>
      <c r="R67" s="81"/>
      <c r="S67" s="672"/>
      <c r="T67" s="81"/>
      <c r="U67" s="1418"/>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row>
    <row r="68" spans="1:53" ht="15.75" customHeight="1" x14ac:dyDescent="0.25">
      <c r="A68" s="3"/>
      <c r="B68" s="745" t="s">
        <v>1205</v>
      </c>
      <c r="C68" s="1509">
        <v>53</v>
      </c>
      <c r="D68" s="204"/>
      <c r="E68" s="1049">
        <v>5788024</v>
      </c>
      <c r="F68" s="81"/>
      <c r="G68" s="1049">
        <v>1338267.8842689372</v>
      </c>
      <c r="H68" s="624"/>
      <c r="I68" s="1049">
        <v>1499202.3862762167</v>
      </c>
      <c r="J68" s="81"/>
      <c r="K68" s="1049">
        <v>1338.2678842689372</v>
      </c>
      <c r="L68" s="204" t="s">
        <v>885</v>
      </c>
      <c r="M68" s="1049">
        <v>29984.047725524335</v>
      </c>
      <c r="N68" s="624" t="s">
        <v>889</v>
      </c>
      <c r="O68" s="1049">
        <v>49220.781672532285</v>
      </c>
      <c r="P68" s="624" t="s">
        <v>889</v>
      </c>
      <c r="Q68" s="1049">
        <f t="shared" ref="Q68:Q69" si="42">O68/1000*$Z$8*12/44</f>
        <v>3664.7109263458128</v>
      </c>
      <c r="R68" s="624" t="s">
        <v>889</v>
      </c>
      <c r="S68" s="1647">
        <f t="shared" ref="S68:S69" si="43">Q68/10^6</f>
        <v>3.6647109263458128E-3</v>
      </c>
      <c r="T68" s="624" t="s">
        <v>889</v>
      </c>
      <c r="U68" s="1649">
        <f t="shared" ref="U68:U69" si="44">S68/(12/44)</f>
        <v>1.3437273396601314E-2</v>
      </c>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row>
    <row r="69" spans="1:53" ht="15.75" customHeight="1" x14ac:dyDescent="0.25">
      <c r="A69" s="3"/>
      <c r="B69" s="745" t="s">
        <v>1212</v>
      </c>
      <c r="C69" s="1509">
        <v>28</v>
      </c>
      <c r="D69" s="204"/>
      <c r="E69" s="1049">
        <v>1508063.2</v>
      </c>
      <c r="F69" s="81"/>
      <c r="G69" s="1049">
        <v>348684.20518087747</v>
      </c>
      <c r="H69" s="624"/>
      <c r="I69" s="1049">
        <v>739299.71515531605</v>
      </c>
      <c r="J69" s="81"/>
      <c r="K69" s="1049">
        <v>348.68420518087748</v>
      </c>
      <c r="L69" s="204" t="s">
        <v>885</v>
      </c>
      <c r="M69" s="1049">
        <v>14785.994303106321</v>
      </c>
      <c r="N69" s="624" t="s">
        <v>889</v>
      </c>
      <c r="O69" s="1049">
        <v>23235.133904881361</v>
      </c>
      <c r="P69" s="624" t="s">
        <v>889</v>
      </c>
      <c r="Q69" s="1049">
        <f t="shared" si="42"/>
        <v>1729.9613334634394</v>
      </c>
      <c r="R69" s="624" t="s">
        <v>889</v>
      </c>
      <c r="S69" s="1647">
        <f t="shared" si="43"/>
        <v>1.7299613334634393E-3</v>
      </c>
      <c r="T69" s="624" t="s">
        <v>889</v>
      </c>
      <c r="U69" s="1649">
        <f t="shared" si="44"/>
        <v>6.3431915560326112E-3</v>
      </c>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row>
    <row r="70" spans="1:53" ht="15.75" customHeight="1" x14ac:dyDescent="0.25">
      <c r="A70" s="3"/>
      <c r="B70" s="470" t="s">
        <v>1215</v>
      </c>
      <c r="C70" s="1527"/>
      <c r="D70" s="204"/>
      <c r="E70" s="1049"/>
      <c r="F70" s="81"/>
      <c r="G70" s="1049"/>
      <c r="H70" s="624"/>
      <c r="I70" s="1049"/>
      <c r="J70" s="81"/>
      <c r="K70" s="1049" t="s">
        <v>1374</v>
      </c>
      <c r="L70" s="204"/>
      <c r="M70" s="1049"/>
      <c r="N70" s="624"/>
      <c r="O70" s="1049"/>
      <c r="P70" s="624"/>
      <c r="Q70" s="1049"/>
      <c r="R70" s="624"/>
      <c r="S70" s="1049"/>
      <c r="T70" s="624"/>
      <c r="U70" s="165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row>
    <row r="71" spans="1:53" ht="15.75" customHeight="1" x14ac:dyDescent="0.25">
      <c r="A71" s="3"/>
      <c r="B71" s="745" t="s">
        <v>1220</v>
      </c>
      <c r="C71" s="1526">
        <v>3.9119999999999999</v>
      </c>
      <c r="D71" s="204"/>
      <c r="E71" s="1049">
        <v>179361</v>
      </c>
      <c r="F71" s="81"/>
      <c r="G71" s="1049" t="s">
        <v>907</v>
      </c>
      <c r="H71" s="624"/>
      <c r="I71" s="1049">
        <v>179361</v>
      </c>
      <c r="J71" s="81"/>
      <c r="K71" s="1049" t="s">
        <v>907</v>
      </c>
      <c r="L71" s="204" t="s">
        <v>885</v>
      </c>
      <c r="M71" s="1049">
        <v>3587.22</v>
      </c>
      <c r="N71" s="624" t="s">
        <v>889</v>
      </c>
      <c r="O71" s="1049">
        <v>5637.06</v>
      </c>
      <c r="P71" s="624" t="s">
        <v>889</v>
      </c>
      <c r="Q71" s="1049">
        <f t="shared" ref="Q71:Q72" si="45">O71/1000*$Z$8*12/44</f>
        <v>419.70474000000007</v>
      </c>
      <c r="R71" s="624" t="s">
        <v>889</v>
      </c>
      <c r="S71" s="1647">
        <f t="shared" ref="S71:S72" si="46">Q71/10^6</f>
        <v>4.197047400000001E-4</v>
      </c>
      <c r="T71" s="624" t="s">
        <v>889</v>
      </c>
      <c r="U71" s="1649">
        <f t="shared" ref="U71:U72" si="47">S71/(12/44)</f>
        <v>1.5389173800000005E-3</v>
      </c>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row>
    <row r="72" spans="1:53" ht="15.75" customHeight="1" x14ac:dyDescent="0.25">
      <c r="A72" s="3"/>
      <c r="B72" s="745" t="s">
        <v>1221</v>
      </c>
      <c r="C72" s="1526">
        <v>7.3949999999999996</v>
      </c>
      <c r="D72" s="204"/>
      <c r="E72" s="1049">
        <v>340326</v>
      </c>
      <c r="F72" s="81"/>
      <c r="G72" s="1049" t="s">
        <v>907</v>
      </c>
      <c r="H72" s="624"/>
      <c r="I72" s="1049">
        <v>340326</v>
      </c>
      <c r="J72" s="81"/>
      <c r="K72" s="1049" t="s">
        <v>907</v>
      </c>
      <c r="L72" s="204" t="s">
        <v>885</v>
      </c>
      <c r="M72" s="1049">
        <v>6806.52</v>
      </c>
      <c r="N72" s="624" t="s">
        <v>889</v>
      </c>
      <c r="O72" s="1049">
        <v>10695.96</v>
      </c>
      <c r="P72" s="624" t="s">
        <v>889</v>
      </c>
      <c r="Q72" s="1049">
        <f t="shared" si="45"/>
        <v>796.36283999999989</v>
      </c>
      <c r="R72" s="624" t="s">
        <v>889</v>
      </c>
      <c r="S72" s="1647">
        <f t="shared" si="46"/>
        <v>7.963628399999999E-4</v>
      </c>
      <c r="T72" s="624" t="s">
        <v>889</v>
      </c>
      <c r="U72" s="1649">
        <f t="shared" si="47"/>
        <v>2.9199970799999998E-3</v>
      </c>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row>
    <row r="73" spans="1:53" ht="15.75" customHeight="1" x14ac:dyDescent="0.25">
      <c r="A73" s="3"/>
      <c r="B73" s="470" t="s">
        <v>1225</v>
      </c>
      <c r="C73" s="1527"/>
      <c r="D73" s="204"/>
      <c r="E73" s="1647"/>
      <c r="F73" s="81"/>
      <c r="G73" s="1647"/>
      <c r="H73" s="624"/>
      <c r="I73" s="1049"/>
      <c r="J73" s="81"/>
      <c r="K73" s="1049" t="s">
        <v>1374</v>
      </c>
      <c r="L73" s="204"/>
      <c r="M73" s="1049"/>
      <c r="N73" s="624"/>
      <c r="O73" s="1049"/>
      <c r="P73" s="624"/>
      <c r="Q73" s="1049"/>
      <c r="R73" s="624"/>
      <c r="S73" s="1049"/>
      <c r="T73" s="624"/>
      <c r="U73" s="165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row>
    <row r="74" spans="1:53" ht="15.75" customHeight="1" x14ac:dyDescent="0.25">
      <c r="A74" s="3"/>
      <c r="B74" s="745" t="s">
        <v>1275</v>
      </c>
      <c r="C74" s="1509">
        <v>2</v>
      </c>
      <c r="D74" s="204"/>
      <c r="E74" s="1049">
        <v>33966.9</v>
      </c>
      <c r="F74" s="81"/>
      <c r="G74" s="1049">
        <v>25508.812421069997</v>
      </c>
      <c r="H74" s="624"/>
      <c r="I74" s="1049">
        <v>1277.2541478113997</v>
      </c>
      <c r="J74" s="81"/>
      <c r="K74" s="1049">
        <v>25.508812421069997</v>
      </c>
      <c r="L74" s="204" t="s">
        <v>885</v>
      </c>
      <c r="M74" s="1049">
        <v>25.545082956227994</v>
      </c>
      <c r="N74" s="624" t="s">
        <v>889</v>
      </c>
      <c r="O74" s="1049">
        <v>80.227549878611129</v>
      </c>
      <c r="P74" s="624" t="s">
        <v>889</v>
      </c>
      <c r="Q74" s="1049">
        <f t="shared" ref="Q74:Q78" si="48">O74/1000*$Z$8*12/44</f>
        <v>5.9733057591438641</v>
      </c>
      <c r="R74" s="624" t="s">
        <v>889</v>
      </c>
      <c r="S74" s="1647">
        <f t="shared" ref="S74:S78" si="49">Q74/10^6</f>
        <v>5.9733057591438638E-6</v>
      </c>
      <c r="T74" s="624" t="s">
        <v>889</v>
      </c>
      <c r="U74" s="1649">
        <f t="shared" ref="U74:U78" si="50">S74/(12/44)</f>
        <v>2.1902121116860835E-5</v>
      </c>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row>
    <row r="75" spans="1:53" ht="15.75" customHeight="1" x14ac:dyDescent="0.25">
      <c r="A75" s="3"/>
      <c r="B75" s="745" t="s">
        <v>1287</v>
      </c>
      <c r="C75" s="1509">
        <v>9</v>
      </c>
      <c r="D75" s="204"/>
      <c r="E75" s="1049">
        <v>31299.48</v>
      </c>
      <c r="F75" s="81"/>
      <c r="G75" s="1049">
        <v>23505.605875044002</v>
      </c>
      <c r="H75" s="624"/>
      <c r="I75" s="1049">
        <v>1176.95140428888</v>
      </c>
      <c r="J75" s="81"/>
      <c r="K75" s="1049">
        <v>23.505605875044004</v>
      </c>
      <c r="L75" s="204" t="s">
        <v>885</v>
      </c>
      <c r="M75" s="1049">
        <v>23.539028085777598</v>
      </c>
      <c r="N75" s="624" t="s">
        <v>889</v>
      </c>
      <c r="O75" s="1049">
        <v>73.927281938433936</v>
      </c>
      <c r="P75" s="624" t="s">
        <v>889</v>
      </c>
      <c r="Q75" s="1049">
        <f t="shared" si="48"/>
        <v>5.5042221734161263</v>
      </c>
      <c r="R75" s="624" t="s">
        <v>889</v>
      </c>
      <c r="S75" s="1647">
        <f t="shared" si="49"/>
        <v>5.5042221734161266E-6</v>
      </c>
      <c r="T75" s="624" t="s">
        <v>889</v>
      </c>
      <c r="U75" s="1649">
        <f t="shared" si="50"/>
        <v>2.0182147969192465E-5</v>
      </c>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row>
    <row r="76" spans="1:53" ht="15.75" customHeight="1" x14ac:dyDescent="0.25">
      <c r="A76" s="3"/>
      <c r="B76" s="745" t="s">
        <v>1292</v>
      </c>
      <c r="C76" s="1526">
        <v>7</v>
      </c>
      <c r="D76" s="204"/>
      <c r="E76" s="1049">
        <v>43567.86</v>
      </c>
      <c r="F76" s="81"/>
      <c r="G76" s="1049">
        <v>32719.040251757993</v>
      </c>
      <c r="H76" s="624"/>
      <c r="I76" s="1049">
        <v>1638.2781442011596</v>
      </c>
      <c r="J76" s="81"/>
      <c r="K76" s="1049">
        <v>32.719040251757995</v>
      </c>
      <c r="L76" s="204" t="s">
        <v>885</v>
      </c>
      <c r="M76" s="1049">
        <v>32.765562884023197</v>
      </c>
      <c r="N76" s="624" t="s">
        <v>889</v>
      </c>
      <c r="O76" s="1049">
        <v>102.90437635622757</v>
      </c>
      <c r="P76" s="624" t="s">
        <v>889</v>
      </c>
      <c r="Q76" s="1049">
        <f t="shared" si="48"/>
        <v>7.6616985668863977</v>
      </c>
      <c r="R76" s="624" t="s">
        <v>889</v>
      </c>
      <c r="S76" s="1647">
        <f t="shared" si="49"/>
        <v>7.6616985668863979E-6</v>
      </c>
      <c r="T76" s="624" t="s">
        <v>889</v>
      </c>
      <c r="U76" s="1649">
        <f t="shared" si="50"/>
        <v>2.8092894745250128E-5</v>
      </c>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row>
    <row r="77" spans="1:53" ht="15.75" customHeight="1" x14ac:dyDescent="0.25">
      <c r="A77" s="3"/>
      <c r="B77" s="745" t="s">
        <v>1296</v>
      </c>
      <c r="C77" s="1509">
        <v>4</v>
      </c>
      <c r="D77" s="204"/>
      <c r="E77" s="1049">
        <v>41587.223999999995</v>
      </c>
      <c r="F77" s="81"/>
      <c r="G77" s="1049">
        <v>31231.601827927196</v>
      </c>
      <c r="H77" s="624"/>
      <c r="I77" s="1049">
        <v>1563.8004748729438</v>
      </c>
      <c r="J77" s="81"/>
      <c r="K77" s="1049">
        <v>31.231601827927197</v>
      </c>
      <c r="L77" s="204" t="s">
        <v>885</v>
      </c>
      <c r="M77" s="1049">
        <v>31.276009497458876</v>
      </c>
      <c r="N77" s="624" t="s">
        <v>889</v>
      </c>
      <c r="O77" s="1049">
        <v>98.226246368463833</v>
      </c>
      <c r="P77" s="624" t="s">
        <v>889</v>
      </c>
      <c r="Q77" s="1049">
        <f t="shared" si="48"/>
        <v>7.3133905250701705</v>
      </c>
      <c r="R77" s="624" t="s">
        <v>889</v>
      </c>
      <c r="S77" s="1647">
        <f t="shared" si="49"/>
        <v>7.3133905250701703E-6</v>
      </c>
      <c r="T77" s="624" t="s">
        <v>889</v>
      </c>
      <c r="U77" s="1649">
        <f t="shared" si="50"/>
        <v>2.6815765258590627E-5</v>
      </c>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row>
    <row r="78" spans="1:53" ht="15.75" customHeight="1" x14ac:dyDescent="0.25">
      <c r="A78" s="3"/>
      <c r="B78" s="745" t="s">
        <v>1299</v>
      </c>
      <c r="C78" s="1509">
        <v>4</v>
      </c>
      <c r="D78" s="204"/>
      <c r="E78" s="1049">
        <v>55647.9</v>
      </c>
      <c r="F78" s="81"/>
      <c r="G78" s="1049">
        <v>41791.033115370003</v>
      </c>
      <c r="H78" s="624"/>
      <c r="I78" s="1049">
        <v>2092.5227527973998</v>
      </c>
      <c r="J78" s="81"/>
      <c r="K78" s="1049">
        <v>41.791033115370006</v>
      </c>
      <c r="L78" s="204" t="s">
        <v>885</v>
      </c>
      <c r="M78" s="1049">
        <v>41.850455055947997</v>
      </c>
      <c r="N78" s="624" t="s">
        <v>889</v>
      </c>
      <c r="O78" s="1049">
        <v>131.43662426921401</v>
      </c>
      <c r="P78" s="624" t="s">
        <v>889</v>
      </c>
      <c r="Q78" s="1049">
        <f t="shared" si="48"/>
        <v>9.7860541160442054</v>
      </c>
      <c r="R78" s="624" t="s">
        <v>889</v>
      </c>
      <c r="S78" s="1647">
        <f t="shared" si="49"/>
        <v>9.7860541160442052E-6</v>
      </c>
      <c r="T78" s="624" t="s">
        <v>889</v>
      </c>
      <c r="U78" s="1649">
        <f t="shared" si="50"/>
        <v>3.5882198425495422E-5</v>
      </c>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row>
    <row r="79" spans="1:53" ht="15.75" customHeight="1" x14ac:dyDescent="0.25">
      <c r="A79" s="3"/>
      <c r="B79" s="470" t="s">
        <v>1302</v>
      </c>
      <c r="C79" s="1527"/>
      <c r="D79" s="204"/>
      <c r="E79" s="1049"/>
      <c r="F79" s="81"/>
      <c r="G79" s="1049"/>
      <c r="H79" s="624"/>
      <c r="I79" s="1049"/>
      <c r="J79" s="81"/>
      <c r="K79" s="1049" t="s">
        <v>1374</v>
      </c>
      <c r="L79" s="204"/>
      <c r="M79" s="1049"/>
      <c r="N79" s="624"/>
      <c r="O79" s="1049"/>
      <c r="P79" s="624"/>
      <c r="Q79" s="1049"/>
      <c r="R79" s="624"/>
      <c r="S79" s="1049"/>
      <c r="T79" s="624"/>
      <c r="U79" s="165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row>
    <row r="80" spans="1:53" ht="15.75" customHeight="1" x14ac:dyDescent="0.25">
      <c r="A80" s="3"/>
      <c r="B80" s="745" t="s">
        <v>1304</v>
      </c>
      <c r="C80" s="1680"/>
      <c r="D80" s="1585"/>
      <c r="E80" s="1588"/>
      <c r="F80" s="1681"/>
      <c r="G80" s="1588"/>
      <c r="H80" s="1683"/>
      <c r="I80" s="1588"/>
      <c r="J80" s="1681"/>
      <c r="K80" s="1588"/>
      <c r="L80" s="1585"/>
      <c r="M80" s="1588"/>
      <c r="N80" s="1683"/>
      <c r="O80" s="1588"/>
      <c r="P80" s="1683"/>
      <c r="Q80" s="1049"/>
      <c r="R80" s="1683"/>
      <c r="S80" s="1588"/>
      <c r="T80" s="1683"/>
      <c r="U80" s="1685"/>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row>
    <row r="81" spans="1:53" ht="15.75" customHeight="1" x14ac:dyDescent="0.25">
      <c r="A81" s="3"/>
      <c r="B81" s="745" t="s">
        <v>1307</v>
      </c>
      <c r="C81" s="1509">
        <v>2292</v>
      </c>
      <c r="D81" s="204"/>
      <c r="E81" s="1049">
        <v>1249850.52</v>
      </c>
      <c r="F81" s="81"/>
      <c r="G81" s="1049">
        <v>62492.526000000005</v>
      </c>
      <c r="H81" s="624"/>
      <c r="I81" s="1049">
        <v>1187357.9939999999</v>
      </c>
      <c r="J81" s="81"/>
      <c r="K81" s="1049">
        <v>62.492526000000005</v>
      </c>
      <c r="L81" s="204" t="s">
        <v>885</v>
      </c>
      <c r="M81" s="1049">
        <v>5936.7899699999998</v>
      </c>
      <c r="N81" s="624" t="s">
        <v>889</v>
      </c>
      <c r="O81" s="1049">
        <v>9427.4439222857145</v>
      </c>
      <c r="P81" s="624" t="s">
        <v>889</v>
      </c>
      <c r="Q81" s="1049">
        <f t="shared" ref="Q81:Q85" si="51">O81/1000*$Z$8*12/44</f>
        <v>701.91605203200004</v>
      </c>
      <c r="R81" s="624" t="s">
        <v>889</v>
      </c>
      <c r="S81" s="1647">
        <f t="shared" ref="S81:S85" si="52">Q81/10^6</f>
        <v>7.0191605203200004E-4</v>
      </c>
      <c r="T81" s="624" t="s">
        <v>889</v>
      </c>
      <c r="U81" s="1649">
        <f t="shared" ref="U81:U85" si="53">S81/(12/44)</f>
        <v>2.5736921907840004E-3</v>
      </c>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row>
    <row r="82" spans="1:53" ht="15.75" customHeight="1" x14ac:dyDescent="0.25">
      <c r="A82" s="3"/>
      <c r="B82" s="745" t="s">
        <v>1319</v>
      </c>
      <c r="C82" s="1509">
        <v>184</v>
      </c>
      <c r="D82" s="204"/>
      <c r="E82" s="1049">
        <v>74950.559999999998</v>
      </c>
      <c r="F82" s="81"/>
      <c r="G82" s="1049">
        <v>3747.5280000000002</v>
      </c>
      <c r="H82" s="624"/>
      <c r="I82" s="1049">
        <v>71203.031999999992</v>
      </c>
      <c r="J82" s="81"/>
      <c r="K82" s="1049">
        <v>3.7475280000000004</v>
      </c>
      <c r="L82" s="204" t="s">
        <v>885</v>
      </c>
      <c r="M82" s="1049">
        <v>356.01515999999998</v>
      </c>
      <c r="N82" s="624" t="s">
        <v>889</v>
      </c>
      <c r="O82" s="1049">
        <v>565.34136685714282</v>
      </c>
      <c r="P82" s="624" t="s">
        <v>889</v>
      </c>
      <c r="Q82" s="1049">
        <f t="shared" si="51"/>
        <v>42.092234495999996</v>
      </c>
      <c r="R82" s="624" t="s">
        <v>889</v>
      </c>
      <c r="S82" s="1647">
        <f t="shared" si="52"/>
        <v>4.2092234495999993E-5</v>
      </c>
      <c r="T82" s="624" t="s">
        <v>889</v>
      </c>
      <c r="U82" s="1649">
        <f t="shared" si="53"/>
        <v>1.5433819315199999E-4</v>
      </c>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row>
    <row r="83" spans="1:53" ht="15.75" customHeight="1" x14ac:dyDescent="0.25">
      <c r="A83" s="3"/>
      <c r="B83" s="745" t="s">
        <v>1322</v>
      </c>
      <c r="C83" s="1509">
        <v>12</v>
      </c>
      <c r="D83" s="204"/>
      <c r="E83" s="1049">
        <v>6543.72</v>
      </c>
      <c r="F83" s="81"/>
      <c r="G83" s="1049">
        <v>327.18600000000004</v>
      </c>
      <c r="H83" s="624"/>
      <c r="I83" s="1049">
        <v>6216.5339999999997</v>
      </c>
      <c r="J83" s="81"/>
      <c r="K83" s="1049">
        <v>0.32718600000000003</v>
      </c>
      <c r="L83" s="204" t="s">
        <v>885</v>
      </c>
      <c r="M83" s="1049">
        <v>31.08267</v>
      </c>
      <c r="N83" s="624" t="s">
        <v>889</v>
      </c>
      <c r="O83" s="1049">
        <v>49.358345142857146</v>
      </c>
      <c r="P83" s="624" t="s">
        <v>889</v>
      </c>
      <c r="Q83" s="1049">
        <f t="shared" si="51"/>
        <v>3.6749531520000005</v>
      </c>
      <c r="R83" s="624" t="s">
        <v>889</v>
      </c>
      <c r="S83" s="1647">
        <f t="shared" si="52"/>
        <v>3.6749531520000007E-6</v>
      </c>
      <c r="T83" s="624" t="s">
        <v>889</v>
      </c>
      <c r="U83" s="1649">
        <f t="shared" si="53"/>
        <v>1.3474828224000004E-5</v>
      </c>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row>
    <row r="84" spans="1:53" ht="15.75" customHeight="1" x14ac:dyDescent="0.25">
      <c r="A84" s="3"/>
      <c r="B84" s="745" t="s">
        <v>1325</v>
      </c>
      <c r="C84" s="1509">
        <v>53072.7</v>
      </c>
      <c r="D84" s="204"/>
      <c r="E84" s="1049">
        <v>19177820.145000003</v>
      </c>
      <c r="F84" s="81"/>
      <c r="G84" s="1049" t="s">
        <v>907</v>
      </c>
      <c r="H84" s="624"/>
      <c r="I84" s="1049">
        <v>19177820.145000003</v>
      </c>
      <c r="J84" s="81"/>
      <c r="K84" s="1049" t="s">
        <v>907</v>
      </c>
      <c r="L84" s="204" t="s">
        <v>885</v>
      </c>
      <c r="M84" s="1049">
        <v>383556.40290000004</v>
      </c>
      <c r="N84" s="624" t="s">
        <v>889</v>
      </c>
      <c r="O84" s="1049">
        <v>602731.4902714286</v>
      </c>
      <c r="P84" s="624" t="s">
        <v>889</v>
      </c>
      <c r="Q84" s="1049">
        <f t="shared" si="51"/>
        <v>44876.099139299993</v>
      </c>
      <c r="R84" s="624" t="s">
        <v>889</v>
      </c>
      <c r="S84" s="1647">
        <f t="shared" si="52"/>
        <v>4.4876099139299991E-2</v>
      </c>
      <c r="T84" s="624" t="s">
        <v>889</v>
      </c>
      <c r="U84" s="1649">
        <f t="shared" si="53"/>
        <v>0.16454569684409998</v>
      </c>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row>
    <row r="85" spans="1:53" ht="15.75" customHeight="1" x14ac:dyDescent="0.25">
      <c r="A85" s="3"/>
      <c r="B85" s="745" t="s">
        <v>1328</v>
      </c>
      <c r="C85" s="1509">
        <v>704</v>
      </c>
      <c r="D85" s="204"/>
      <c r="E85" s="1049">
        <v>1293022.72</v>
      </c>
      <c r="F85" s="81"/>
      <c r="G85" s="1049" t="s">
        <v>907</v>
      </c>
      <c r="H85" s="624"/>
      <c r="I85" s="1049">
        <v>1293022.72</v>
      </c>
      <c r="J85" s="81"/>
      <c r="K85" s="1049" t="s">
        <v>907</v>
      </c>
      <c r="L85" s="204" t="s">
        <v>885</v>
      </c>
      <c r="M85" s="1049">
        <v>25860.454399999999</v>
      </c>
      <c r="N85" s="624" t="s">
        <v>889</v>
      </c>
      <c r="O85" s="1049">
        <v>40637.856914285709</v>
      </c>
      <c r="P85" s="624" t="s">
        <v>889</v>
      </c>
      <c r="Q85" s="1049">
        <f t="shared" si="51"/>
        <v>3025.6731647999991</v>
      </c>
      <c r="R85" s="624" t="s">
        <v>889</v>
      </c>
      <c r="S85" s="1647">
        <f t="shared" si="52"/>
        <v>3.0256731647999992E-3</v>
      </c>
      <c r="T85" s="624" t="s">
        <v>889</v>
      </c>
      <c r="U85" s="1649">
        <f t="shared" si="53"/>
        <v>1.1094134937599998E-2</v>
      </c>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row>
    <row r="86" spans="1:53" ht="15.75" customHeight="1" x14ac:dyDescent="0.25">
      <c r="A86" s="3"/>
      <c r="B86" s="470" t="s">
        <v>702</v>
      </c>
      <c r="C86" s="1527"/>
      <c r="D86" s="204"/>
      <c r="E86" s="1049"/>
      <c r="F86" s="81"/>
      <c r="G86" s="1049"/>
      <c r="H86" s="624"/>
      <c r="I86" s="1049"/>
      <c r="J86" s="81"/>
      <c r="K86" s="1049" t="s">
        <v>1374</v>
      </c>
      <c r="L86" s="204"/>
      <c r="M86" s="1049"/>
      <c r="N86" s="624"/>
      <c r="O86" s="1049"/>
      <c r="P86" s="624"/>
      <c r="Q86" s="1049"/>
      <c r="R86" s="624"/>
      <c r="S86" s="1049"/>
      <c r="T86" s="624"/>
      <c r="U86" s="165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row>
    <row r="87" spans="1:53" ht="15.75" customHeight="1" x14ac:dyDescent="0.25">
      <c r="A87" s="3"/>
      <c r="B87" s="745" t="s">
        <v>1332</v>
      </c>
      <c r="C87" s="1509">
        <v>0</v>
      </c>
      <c r="D87" s="204"/>
      <c r="E87" s="1049">
        <v>0</v>
      </c>
      <c r="F87" s="81"/>
      <c r="G87" s="1049" t="s">
        <v>907</v>
      </c>
      <c r="H87" s="624"/>
      <c r="I87" s="1049">
        <v>0</v>
      </c>
      <c r="J87" s="81"/>
      <c r="K87" s="1049" t="s">
        <v>907</v>
      </c>
      <c r="L87" s="204" t="s">
        <v>885</v>
      </c>
      <c r="M87" s="1049">
        <v>0</v>
      </c>
      <c r="N87" s="624" t="s">
        <v>889</v>
      </c>
      <c r="O87" s="1049">
        <v>0</v>
      </c>
      <c r="P87" s="624" t="s">
        <v>889</v>
      </c>
      <c r="Q87" s="1049">
        <f t="shared" ref="Q87:Q88" si="54">O87/1000*$Z$8*12/44</f>
        <v>0</v>
      </c>
      <c r="R87" s="624" t="s">
        <v>889</v>
      </c>
      <c r="S87" s="1647">
        <f t="shared" ref="S87:S89" si="55">Q87/10^6</f>
        <v>0</v>
      </c>
      <c r="T87" s="624" t="s">
        <v>889</v>
      </c>
      <c r="U87" s="1649">
        <f t="shared" ref="U87:U89" si="56">S87/(12/44)</f>
        <v>0</v>
      </c>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row>
    <row r="88" spans="1:53" ht="15.75" customHeight="1" x14ac:dyDescent="0.25">
      <c r="A88" s="3"/>
      <c r="B88" s="745" t="s">
        <v>1333</v>
      </c>
      <c r="C88" s="1526">
        <v>24</v>
      </c>
      <c r="D88" s="204"/>
      <c r="E88" s="1049">
        <v>294336</v>
      </c>
      <c r="F88" s="81"/>
      <c r="G88" s="1049" t="s">
        <v>907</v>
      </c>
      <c r="H88" s="624"/>
      <c r="I88" s="1049">
        <v>0</v>
      </c>
      <c r="J88" s="81"/>
      <c r="K88" s="1049" t="s">
        <v>907</v>
      </c>
      <c r="L88" s="204" t="s">
        <v>885</v>
      </c>
      <c r="M88" s="1049">
        <v>0</v>
      </c>
      <c r="N88" s="624" t="s">
        <v>889</v>
      </c>
      <c r="O88" s="1049">
        <v>0</v>
      </c>
      <c r="P88" s="624" t="s">
        <v>889</v>
      </c>
      <c r="Q88" s="1049">
        <f t="shared" si="54"/>
        <v>0</v>
      </c>
      <c r="R88" s="624" t="s">
        <v>889</v>
      </c>
      <c r="S88" s="1647">
        <f t="shared" si="55"/>
        <v>0</v>
      </c>
      <c r="T88" s="624" t="s">
        <v>889</v>
      </c>
      <c r="U88" s="1649">
        <f t="shared" si="56"/>
        <v>0</v>
      </c>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row>
    <row r="89" spans="1:53" ht="15.75" customHeight="1" x14ac:dyDescent="0.25">
      <c r="A89" s="3"/>
      <c r="B89" s="1415" t="s">
        <v>1227</v>
      </c>
      <c r="C89" s="1701" t="s">
        <v>1374</v>
      </c>
      <c r="D89" s="597"/>
      <c r="E89" s="1702">
        <v>30118367.229000006</v>
      </c>
      <c r="F89" s="597"/>
      <c r="G89" s="1702">
        <v>1908275.4229409834</v>
      </c>
      <c r="H89" s="597"/>
      <c r="I89" s="1702">
        <v>24501558.333355505</v>
      </c>
      <c r="J89" s="1572"/>
      <c r="K89" s="1702">
        <v>1908.2754229409841</v>
      </c>
      <c r="L89" s="1703"/>
      <c r="M89" s="1702">
        <v>471059.50326711009</v>
      </c>
      <c r="N89" s="1572"/>
      <c r="O89" s="1702">
        <v>742687.14847622463</v>
      </c>
      <c r="P89" s="1572"/>
      <c r="Q89" s="1702">
        <f>SUM(Q68:Q88)</f>
        <v>55296.434054729805</v>
      </c>
      <c r="R89" s="1572"/>
      <c r="S89" s="1704">
        <f t="shared" si="55"/>
        <v>5.5296434054729802E-2</v>
      </c>
      <c r="T89" s="1572"/>
      <c r="U89" s="1705">
        <f t="shared" si="56"/>
        <v>0.20275359153400929</v>
      </c>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row>
    <row r="90" spans="1:53" ht="15.75" customHeight="1" x14ac:dyDescent="0.25">
      <c r="A90" s="12"/>
      <c r="B90" s="1420"/>
      <c r="C90" s="1706"/>
      <c r="D90" s="1706"/>
      <c r="E90" s="1706"/>
      <c r="F90" s="1706"/>
      <c r="G90" s="1707"/>
      <c r="H90" s="477"/>
      <c r="I90" s="1709"/>
      <c r="J90" s="477"/>
      <c r="K90" s="1710"/>
      <c r="L90" s="210"/>
      <c r="M90" s="1710"/>
      <c r="N90" s="210"/>
      <c r="O90" s="210"/>
      <c r="P90" s="210"/>
      <c r="Q90" s="210"/>
      <c r="R90" s="210"/>
      <c r="S90" s="210"/>
      <c r="T90" s="210"/>
      <c r="U90" s="215"/>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row>
    <row r="91" spans="1:53" ht="15.75" customHeight="1" x14ac:dyDescent="0.25">
      <c r="A91" s="3"/>
      <c r="B91" s="60"/>
      <c r="C91" s="864"/>
      <c r="D91" s="864"/>
      <c r="E91" s="864"/>
      <c r="F91" s="864"/>
      <c r="G91" s="542"/>
      <c r="H91" s="13"/>
      <c r="I91" s="909"/>
      <c r="J91" s="13"/>
      <c r="K91" s="908"/>
      <c r="L91" s="3"/>
      <c r="M91" s="908"/>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row>
    <row r="92" spans="1:53" ht="15.75" customHeight="1" x14ac:dyDescent="0.25">
      <c r="A92" s="3"/>
      <c r="B92" s="60"/>
      <c r="C92" s="864"/>
      <c r="D92" s="864"/>
      <c r="E92" s="864"/>
      <c r="F92" s="864"/>
      <c r="G92" s="542"/>
      <c r="H92" s="13"/>
      <c r="I92" s="909"/>
      <c r="J92" s="13"/>
      <c r="K92" s="908"/>
      <c r="L92" s="3"/>
      <c r="M92" s="908"/>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row>
    <row r="93" spans="1:53" ht="15.75" customHeight="1" x14ac:dyDescent="0.25">
      <c r="A93" s="3"/>
      <c r="B93" s="1723" t="s">
        <v>1429</v>
      </c>
      <c r="C93" s="1725"/>
      <c r="D93" s="1725"/>
      <c r="E93" s="1725"/>
      <c r="F93" s="1726"/>
      <c r="G93" s="1727"/>
      <c r="H93" s="1728"/>
      <c r="I93" s="1729"/>
      <c r="J93" s="1728"/>
      <c r="K93" s="1730"/>
      <c r="L93" s="1731"/>
      <c r="M93" s="1730"/>
      <c r="N93" s="1731"/>
      <c r="O93" s="1731"/>
      <c r="P93" s="1731"/>
      <c r="Q93" s="1731"/>
      <c r="R93" s="1731"/>
      <c r="S93" s="1731"/>
      <c r="T93" s="1731"/>
      <c r="U93" s="1731"/>
      <c r="V93" s="1731"/>
      <c r="W93" s="1731"/>
      <c r="X93" s="1731"/>
      <c r="Y93" s="1731"/>
      <c r="Z93" s="1731"/>
      <c r="AA93" s="1731"/>
      <c r="AB93" s="1731"/>
      <c r="AC93" s="1731"/>
      <c r="AD93" s="1731"/>
      <c r="AE93" s="1732"/>
      <c r="AF93" s="3"/>
      <c r="AG93" s="3"/>
      <c r="AH93" s="3"/>
      <c r="AI93" s="3"/>
      <c r="AJ93" s="3"/>
      <c r="AK93" s="3"/>
      <c r="AL93" s="3"/>
      <c r="AM93" s="3"/>
      <c r="AN93" s="3"/>
      <c r="AO93" s="3"/>
      <c r="AP93" s="3"/>
      <c r="AQ93" s="3"/>
      <c r="AR93" s="3"/>
      <c r="AS93" s="3"/>
      <c r="AT93" s="3"/>
      <c r="AU93" s="3"/>
      <c r="AV93" s="3"/>
      <c r="AW93" s="3"/>
      <c r="AX93" s="3"/>
      <c r="AY93" s="3"/>
      <c r="AZ93" s="3"/>
      <c r="BA93" s="3"/>
    </row>
    <row r="94" spans="1:53" ht="15.75" customHeight="1" x14ac:dyDescent="0.25">
      <c r="A94" s="3"/>
      <c r="B94" s="673" t="s">
        <v>1439</v>
      </c>
      <c r="C94" s="3"/>
      <c r="D94" s="3"/>
      <c r="E94" s="3"/>
      <c r="F94" s="3"/>
      <c r="G94" s="12"/>
      <c r="H94" s="12"/>
      <c r="I94" s="12"/>
      <c r="J94" s="12"/>
      <c r="K94" s="12"/>
      <c r="L94" s="12"/>
      <c r="M94" s="1111"/>
      <c r="N94" s="12"/>
      <c r="O94" s="12"/>
      <c r="P94" s="1733"/>
      <c r="Q94" s="12"/>
      <c r="R94" s="12"/>
      <c r="S94" s="12"/>
      <c r="T94" s="12"/>
      <c r="U94" s="12"/>
      <c r="V94" s="12"/>
      <c r="W94" s="12"/>
      <c r="X94" s="12"/>
      <c r="Y94" s="12"/>
      <c r="Z94" s="12"/>
      <c r="AA94" s="12"/>
      <c r="AB94" s="12"/>
      <c r="AC94" s="12"/>
      <c r="AD94" s="12"/>
      <c r="AE94" s="498"/>
      <c r="AF94" s="3"/>
      <c r="AG94" s="3"/>
      <c r="AH94" s="3"/>
      <c r="AI94" s="3"/>
      <c r="AJ94" s="3"/>
      <c r="AK94" s="3"/>
      <c r="AL94" s="3"/>
      <c r="AM94" s="3"/>
      <c r="AN94" s="3"/>
      <c r="AO94" s="3"/>
      <c r="AP94" s="3"/>
      <c r="AQ94" s="3"/>
      <c r="AR94" s="3"/>
      <c r="AS94" s="3"/>
      <c r="AT94" s="3"/>
      <c r="AU94" s="3"/>
      <c r="AV94" s="3"/>
      <c r="AW94" s="3"/>
      <c r="AX94" s="3"/>
      <c r="AY94" s="3"/>
      <c r="AZ94" s="3"/>
      <c r="BA94" s="3"/>
    </row>
    <row r="95" spans="1:53" ht="60" customHeight="1" x14ac:dyDescent="0.25">
      <c r="A95" s="3"/>
      <c r="B95" s="1735"/>
      <c r="C95" s="1736" t="s">
        <v>21</v>
      </c>
      <c r="D95" s="1736"/>
      <c r="E95" s="1736" t="s">
        <v>1452</v>
      </c>
      <c r="F95" s="1736"/>
      <c r="G95" s="1736" t="s">
        <v>1453</v>
      </c>
      <c r="H95" s="1738"/>
      <c r="I95" s="1736" t="s">
        <v>1454</v>
      </c>
      <c r="J95" s="1738"/>
      <c r="K95" s="1736" t="s">
        <v>1455</v>
      </c>
      <c r="L95" s="1736"/>
      <c r="M95" s="1736" t="s">
        <v>1456</v>
      </c>
      <c r="N95" s="1739"/>
      <c r="O95" s="1736" t="s">
        <v>1457</v>
      </c>
      <c r="P95" s="1736"/>
      <c r="Q95" s="1736" t="s">
        <v>1458</v>
      </c>
      <c r="R95" s="1738"/>
      <c r="S95" s="1736" t="s">
        <v>1459</v>
      </c>
      <c r="T95" s="1736"/>
      <c r="U95" s="1736" t="s">
        <v>1460</v>
      </c>
      <c r="V95" s="1738"/>
      <c r="W95" s="1736" t="s">
        <v>1461</v>
      </c>
      <c r="X95" s="1386"/>
      <c r="Y95" s="735"/>
      <c r="Z95" s="1741" t="s">
        <v>1462</v>
      </c>
      <c r="AA95" s="1736" t="s">
        <v>1463</v>
      </c>
      <c r="AB95" s="735"/>
      <c r="AC95" s="1743" t="s">
        <v>1464</v>
      </c>
      <c r="AD95" s="735"/>
      <c r="AE95" s="1744" t="s">
        <v>1465</v>
      </c>
      <c r="AF95" s="3"/>
      <c r="AG95" s="3"/>
      <c r="AH95" s="3"/>
      <c r="AI95" s="3"/>
      <c r="AJ95" s="3"/>
      <c r="AK95" s="3"/>
      <c r="AL95" s="3"/>
      <c r="AM95" s="3"/>
      <c r="AN95" s="3"/>
      <c r="AO95" s="3"/>
      <c r="AP95" s="3"/>
      <c r="AQ95" s="3"/>
      <c r="AR95" s="3"/>
      <c r="AS95" s="3"/>
      <c r="AT95" s="3"/>
      <c r="AU95" s="3"/>
      <c r="AV95" s="3"/>
      <c r="AW95" s="3"/>
      <c r="AX95" s="3"/>
      <c r="AY95" s="3"/>
      <c r="AZ95" s="3"/>
      <c r="BA95" s="3"/>
    </row>
    <row r="96" spans="1:53" ht="15.75" customHeight="1" x14ac:dyDescent="0.25">
      <c r="A96" s="3"/>
      <c r="B96" s="1745" t="s">
        <v>1466</v>
      </c>
      <c r="C96" s="1746" t="s">
        <v>1467</v>
      </c>
      <c r="D96" s="1014"/>
      <c r="E96" s="1747">
        <v>140</v>
      </c>
      <c r="F96" s="1748"/>
      <c r="G96" s="1749" t="s">
        <v>907</v>
      </c>
      <c r="H96" s="195"/>
      <c r="I96" s="195">
        <v>0</v>
      </c>
      <c r="J96" s="195"/>
      <c r="K96" s="1751">
        <f>E96*0.9072*1000</f>
        <v>127008</v>
      </c>
      <c r="L96" s="1752"/>
      <c r="M96" s="195">
        <v>0.85</v>
      </c>
      <c r="N96" s="195"/>
      <c r="O96" s="195">
        <v>0</v>
      </c>
      <c r="P96" s="195"/>
      <c r="Q96" s="195" t="s">
        <v>907</v>
      </c>
      <c r="R96" s="195"/>
      <c r="S96" s="1751" t="s">
        <v>907</v>
      </c>
      <c r="T96" s="467"/>
      <c r="U96" s="195">
        <v>0.03</v>
      </c>
      <c r="V96" s="195"/>
      <c r="W96" s="1751">
        <f>(K96*1000)*(1+I96)*M96*U96</f>
        <v>3238704</v>
      </c>
      <c r="X96" s="195"/>
      <c r="Y96" s="1753" t="s">
        <v>1470</v>
      </c>
      <c r="Z96" s="467">
        <v>0.01</v>
      </c>
      <c r="AA96" s="1756">
        <f>S117/1000*Z96*44/28</f>
        <v>422.23715421701729</v>
      </c>
      <c r="AB96" s="195"/>
      <c r="AC96" s="1759">
        <f t="shared" ref="AC96:AC97" si="57">AA96*$Z$8*12/44*10^-6</f>
        <v>3.1437475391248831E-2</v>
      </c>
      <c r="AD96" s="195"/>
      <c r="AE96" s="1762">
        <f t="shared" ref="AE96:AE97" si="58">AC96/(12/44)</f>
        <v>0.11527074310124573</v>
      </c>
      <c r="AF96" s="3"/>
      <c r="AG96" s="3"/>
      <c r="AH96" s="3"/>
      <c r="AI96" s="3"/>
      <c r="AJ96" s="3"/>
      <c r="AK96" s="3"/>
      <c r="AL96" s="3"/>
      <c r="AM96" s="3"/>
      <c r="AN96" s="3"/>
      <c r="AO96" s="3"/>
      <c r="AP96" s="3"/>
      <c r="AQ96" s="3"/>
      <c r="AR96" s="3"/>
      <c r="AS96" s="3"/>
      <c r="AT96" s="3"/>
      <c r="AU96" s="3"/>
      <c r="AV96" s="3"/>
      <c r="AW96" s="3"/>
      <c r="AX96" s="3"/>
      <c r="AY96" s="3"/>
      <c r="AZ96" s="3"/>
      <c r="BA96" s="3"/>
    </row>
    <row r="97" spans="1:53" ht="15.75" customHeight="1" x14ac:dyDescent="0.25">
      <c r="A97" s="3"/>
      <c r="B97" s="201" t="s">
        <v>1476</v>
      </c>
      <c r="C97" s="1764" t="s">
        <v>1477</v>
      </c>
      <c r="D97" s="1764"/>
      <c r="E97" s="1765">
        <v>46870</v>
      </c>
      <c r="F97" s="81"/>
      <c r="G97" s="1037">
        <v>2.5401147108E-2</v>
      </c>
      <c r="H97" s="81"/>
      <c r="I97" s="81">
        <v>1</v>
      </c>
      <c r="J97" s="81"/>
      <c r="K97" s="1049">
        <f t="shared" ref="K97:K103" si="59">E97*1000*G97</f>
        <v>1190551.76495196</v>
      </c>
      <c r="L97" s="1049"/>
      <c r="M97" s="81">
        <v>0.91</v>
      </c>
      <c r="N97" s="81"/>
      <c r="O97" s="81">
        <v>0.9</v>
      </c>
      <c r="P97" s="81"/>
      <c r="Q97" s="81">
        <v>5.7999999999999996E-3</v>
      </c>
      <c r="R97" s="81"/>
      <c r="S97" s="1049">
        <f t="shared" ref="S97:S111" si="60">(K97*1000)*I97*M97*O97*Q97</f>
        <v>5655358.9938747985</v>
      </c>
      <c r="T97" s="204"/>
      <c r="U97" s="81">
        <v>0.03</v>
      </c>
      <c r="V97" s="81"/>
      <c r="W97" s="1049" t="s">
        <v>907</v>
      </c>
      <c r="X97" s="81"/>
      <c r="Y97" s="1766" t="s">
        <v>1485</v>
      </c>
      <c r="Z97" s="204">
        <v>0.01</v>
      </c>
      <c r="AA97" s="1768">
        <f>W117/1000*Z97*44/28</f>
        <v>670.39496110002494</v>
      </c>
      <c r="AB97" s="81"/>
      <c r="AC97" s="1205">
        <f t="shared" si="57"/>
        <v>4.9913952103720044E-2</v>
      </c>
      <c r="AD97" s="81"/>
      <c r="AE97" s="1770">
        <f t="shared" si="58"/>
        <v>0.18301782438030684</v>
      </c>
      <c r="AF97" s="3"/>
      <c r="AG97" s="3"/>
      <c r="AH97" s="3"/>
      <c r="AI97" s="3"/>
      <c r="AJ97" s="3"/>
      <c r="AK97" s="3"/>
      <c r="AL97" s="3"/>
      <c r="AM97" s="3"/>
      <c r="AN97" s="3"/>
      <c r="AO97" s="3"/>
      <c r="AP97" s="3"/>
      <c r="AQ97" s="3"/>
      <c r="AR97" s="3"/>
      <c r="AS97" s="3"/>
      <c r="AT97" s="3"/>
      <c r="AU97" s="3"/>
      <c r="AV97" s="3"/>
      <c r="AW97" s="3"/>
      <c r="AX97" s="3"/>
      <c r="AY97" s="3"/>
      <c r="AZ97" s="3"/>
      <c r="BA97" s="3"/>
    </row>
    <row r="98" spans="1:53" ht="15.75" customHeight="1" x14ac:dyDescent="0.25">
      <c r="A98" s="3"/>
      <c r="B98" s="201" t="s">
        <v>1487</v>
      </c>
      <c r="C98" s="1764" t="s">
        <v>1477</v>
      </c>
      <c r="D98" s="1764"/>
      <c r="E98" s="1765">
        <v>12540</v>
      </c>
      <c r="F98" s="81"/>
      <c r="G98" s="1037">
        <v>2.7215442853E-2</v>
      </c>
      <c r="H98" s="81"/>
      <c r="I98" s="81">
        <v>1.3</v>
      </c>
      <c r="J98" s="81"/>
      <c r="K98" s="1049">
        <f t="shared" si="59"/>
        <v>341281.65337661997</v>
      </c>
      <c r="L98" s="1049"/>
      <c r="M98" s="81">
        <v>0.93</v>
      </c>
      <c r="N98" s="81"/>
      <c r="O98" s="81">
        <v>0.9</v>
      </c>
      <c r="P98" s="81"/>
      <c r="Q98" s="81">
        <v>6.1999999999999998E-3</v>
      </c>
      <c r="R98" s="81"/>
      <c r="S98" s="1049">
        <f t="shared" si="60"/>
        <v>2302361.1156424214</v>
      </c>
      <c r="T98" s="204"/>
      <c r="U98" s="81">
        <v>0.03</v>
      </c>
      <c r="V98" s="81"/>
      <c r="W98" s="1049" t="s">
        <v>907</v>
      </c>
      <c r="X98" s="81"/>
      <c r="Y98" s="58"/>
      <c r="Z98" s="1568"/>
      <c r="AA98" s="81"/>
      <c r="AB98" s="81"/>
      <c r="AC98" s="81"/>
      <c r="AD98" s="81"/>
      <c r="AE98" s="206"/>
      <c r="AF98" s="3"/>
      <c r="AG98" s="3"/>
      <c r="AH98" s="3"/>
      <c r="AI98" s="3"/>
      <c r="AJ98" s="3"/>
      <c r="AK98" s="3"/>
      <c r="AL98" s="3"/>
      <c r="AM98" s="3"/>
      <c r="AN98" s="3"/>
      <c r="AO98" s="3"/>
      <c r="AP98" s="3"/>
      <c r="AQ98" s="3"/>
      <c r="AR98" s="3"/>
      <c r="AS98" s="3"/>
      <c r="AT98" s="3"/>
      <c r="AU98" s="3"/>
      <c r="AV98" s="3"/>
      <c r="AW98" s="3"/>
      <c r="AX98" s="3"/>
      <c r="AY98" s="3"/>
      <c r="AZ98" s="3"/>
      <c r="BA98" s="3"/>
    </row>
    <row r="99" spans="1:53" ht="15.75" customHeight="1" x14ac:dyDescent="0.25">
      <c r="A99" s="3"/>
      <c r="B99" s="201" t="s">
        <v>1490</v>
      </c>
      <c r="C99" s="1764" t="s">
        <v>1477</v>
      </c>
      <c r="D99" s="1764"/>
      <c r="E99" s="1765">
        <v>2880</v>
      </c>
      <c r="F99" s="81"/>
      <c r="G99" s="1037">
        <v>2.1772E-2</v>
      </c>
      <c r="H99" s="81"/>
      <c r="I99" s="81">
        <v>1.2</v>
      </c>
      <c r="J99" s="81"/>
      <c r="K99" s="1049">
        <f t="shared" si="59"/>
        <v>62703.360000000001</v>
      </c>
      <c r="L99" s="1049"/>
      <c r="M99" s="81">
        <v>0.93</v>
      </c>
      <c r="N99" s="81"/>
      <c r="O99" s="81">
        <v>0.9</v>
      </c>
      <c r="P99" s="81"/>
      <c r="Q99" s="81">
        <v>7.7000000000000002E-3</v>
      </c>
      <c r="R99" s="81"/>
      <c r="S99" s="1049">
        <f t="shared" si="60"/>
        <v>484940.26183680008</v>
      </c>
      <c r="T99" s="204"/>
      <c r="U99" s="81">
        <v>0.03</v>
      </c>
      <c r="V99" s="81"/>
      <c r="W99" s="1049" t="s">
        <v>907</v>
      </c>
      <c r="X99" s="81"/>
      <c r="Y99" s="81"/>
      <c r="Z99" s="1568"/>
      <c r="AA99" s="81"/>
      <c r="AB99" s="81"/>
      <c r="AC99" s="81"/>
      <c r="AD99" s="81"/>
      <c r="AE99" s="206"/>
      <c r="AF99" s="3"/>
      <c r="AG99" s="3"/>
      <c r="AH99" s="3"/>
      <c r="AI99" s="3"/>
      <c r="AJ99" s="3"/>
      <c r="AK99" s="3"/>
      <c r="AL99" s="3"/>
      <c r="AM99" s="3"/>
      <c r="AN99" s="3"/>
      <c r="AO99" s="3"/>
      <c r="AP99" s="3"/>
      <c r="AQ99" s="3"/>
      <c r="AR99" s="3"/>
      <c r="AS99" s="3"/>
      <c r="AT99" s="3"/>
      <c r="AU99" s="3"/>
      <c r="AV99" s="3"/>
      <c r="AW99" s="3"/>
      <c r="AX99" s="3"/>
      <c r="AY99" s="3"/>
      <c r="AZ99" s="3"/>
      <c r="BA99" s="3"/>
    </row>
    <row r="100" spans="1:53" ht="15.75" customHeight="1" x14ac:dyDescent="0.25">
      <c r="A100" s="3"/>
      <c r="B100" s="201" t="s">
        <v>1491</v>
      </c>
      <c r="C100" s="1764" t="s">
        <v>1477</v>
      </c>
      <c r="D100" s="1764"/>
      <c r="E100" s="1765">
        <v>0</v>
      </c>
      <c r="F100" s="81"/>
      <c r="G100" s="1037">
        <v>2.5401169512752383E-2</v>
      </c>
      <c r="H100" s="81"/>
      <c r="I100" s="81">
        <v>1.4</v>
      </c>
      <c r="J100" s="81"/>
      <c r="K100" s="1049">
        <f t="shared" si="59"/>
        <v>0</v>
      </c>
      <c r="L100" s="1049"/>
      <c r="M100" s="81">
        <v>0.91</v>
      </c>
      <c r="N100" s="81"/>
      <c r="O100" s="81">
        <v>0.9</v>
      </c>
      <c r="P100" s="81"/>
      <c r="Q100" s="81">
        <v>1.0800000000000001E-2</v>
      </c>
      <c r="R100" s="81"/>
      <c r="S100" s="1049">
        <f t="shared" si="60"/>
        <v>0</v>
      </c>
      <c r="T100" s="204"/>
      <c r="U100" s="81">
        <v>0.03</v>
      </c>
      <c r="V100" s="81"/>
      <c r="W100" s="1049" t="s">
        <v>907</v>
      </c>
      <c r="X100" s="81"/>
      <c r="Y100" s="81"/>
      <c r="Z100" s="1568"/>
      <c r="AA100" s="81"/>
      <c r="AB100" s="81"/>
      <c r="AC100" s="81"/>
      <c r="AD100" s="81"/>
      <c r="AE100" s="206"/>
      <c r="AF100" s="3"/>
      <c r="AG100" s="3"/>
      <c r="AH100" s="3"/>
      <c r="AI100" s="3"/>
      <c r="AJ100" s="3"/>
      <c r="AK100" s="3"/>
      <c r="AL100" s="3"/>
      <c r="AM100" s="3"/>
      <c r="AN100" s="3"/>
      <c r="AO100" s="3"/>
      <c r="AP100" s="3"/>
      <c r="AQ100" s="3"/>
      <c r="AR100" s="3"/>
      <c r="AS100" s="3"/>
      <c r="AT100" s="3"/>
      <c r="AU100" s="3"/>
      <c r="AV100" s="3"/>
      <c r="AW100" s="3"/>
      <c r="AX100" s="3"/>
      <c r="AY100" s="3"/>
      <c r="AZ100" s="3"/>
      <c r="BA100" s="3"/>
    </row>
    <row r="101" spans="1:53" ht="15.75" customHeight="1" x14ac:dyDescent="0.25">
      <c r="A101" s="3"/>
      <c r="B101" s="201" t="s">
        <v>1493</v>
      </c>
      <c r="C101" s="1764" t="s">
        <v>1477</v>
      </c>
      <c r="D101" s="1764"/>
      <c r="E101" s="1765">
        <v>0</v>
      </c>
      <c r="F101" s="81"/>
      <c r="G101" s="1037">
        <v>1.4514959222223263E-2</v>
      </c>
      <c r="H101" s="81"/>
      <c r="I101" s="81">
        <v>1.3</v>
      </c>
      <c r="J101" s="81"/>
      <c r="K101" s="1049">
        <f t="shared" si="59"/>
        <v>0</v>
      </c>
      <c r="L101" s="1049"/>
      <c r="M101" s="81">
        <v>0.92</v>
      </c>
      <c r="N101" s="81"/>
      <c r="O101" s="81">
        <v>0.9</v>
      </c>
      <c r="P101" s="81"/>
      <c r="Q101" s="81">
        <v>7.0000000000000001E-3</v>
      </c>
      <c r="R101" s="81"/>
      <c r="S101" s="1049">
        <f t="shared" si="60"/>
        <v>0</v>
      </c>
      <c r="T101" s="204"/>
      <c r="U101" s="81">
        <v>0.03</v>
      </c>
      <c r="V101" s="81"/>
      <c r="W101" s="1049" t="s">
        <v>907</v>
      </c>
      <c r="X101" s="81"/>
      <c r="Y101" s="81"/>
      <c r="Z101" s="1568"/>
      <c r="AA101" s="81"/>
      <c r="AB101" s="81"/>
      <c r="AC101" s="81"/>
      <c r="AD101" s="81"/>
      <c r="AE101" s="206"/>
      <c r="AF101" s="3"/>
      <c r="AG101" s="3"/>
      <c r="AH101" s="3"/>
      <c r="AI101" s="3"/>
      <c r="AJ101" s="3"/>
      <c r="AK101" s="3"/>
      <c r="AL101" s="3"/>
      <c r="AM101" s="3"/>
      <c r="AN101" s="3"/>
      <c r="AO101" s="3"/>
      <c r="AP101" s="3"/>
      <c r="AQ101" s="3"/>
      <c r="AR101" s="3"/>
      <c r="AS101" s="3"/>
      <c r="AT101" s="3"/>
      <c r="AU101" s="3"/>
      <c r="AV101" s="3"/>
      <c r="AW101" s="3"/>
      <c r="AX101" s="3"/>
      <c r="AY101" s="3"/>
      <c r="AZ101" s="3"/>
      <c r="BA101" s="3"/>
    </row>
    <row r="102" spans="1:53" ht="15.75" customHeight="1" x14ac:dyDescent="0.25">
      <c r="A102" s="3"/>
      <c r="B102" s="201" t="s">
        <v>1496</v>
      </c>
      <c r="C102" s="1764" t="s">
        <v>1477</v>
      </c>
      <c r="D102" s="1764"/>
      <c r="E102" s="1765">
        <v>0</v>
      </c>
      <c r="F102" s="81"/>
      <c r="G102" s="1037">
        <v>2.5401046494036766E-2</v>
      </c>
      <c r="H102" s="81"/>
      <c r="I102" s="81">
        <v>1.6</v>
      </c>
      <c r="J102" s="81"/>
      <c r="K102" s="1049">
        <f t="shared" si="59"/>
        <v>0</v>
      </c>
      <c r="L102" s="1049"/>
      <c r="M102" s="81">
        <v>0.9</v>
      </c>
      <c r="N102" s="81"/>
      <c r="O102" s="81">
        <v>0.9</v>
      </c>
      <c r="P102" s="81"/>
      <c r="Q102" s="81">
        <v>4.7999999999999996E-3</v>
      </c>
      <c r="R102" s="81"/>
      <c r="S102" s="1049">
        <f t="shared" si="60"/>
        <v>0</v>
      </c>
      <c r="T102" s="204"/>
      <c r="U102" s="81">
        <v>0.03</v>
      </c>
      <c r="V102" s="81"/>
      <c r="W102" s="1049" t="s">
        <v>907</v>
      </c>
      <c r="X102" s="81"/>
      <c r="Y102" s="81"/>
      <c r="Z102" s="1568"/>
      <c r="AA102" s="81"/>
      <c r="AB102" s="81"/>
      <c r="AC102" s="81"/>
      <c r="AD102" s="81"/>
      <c r="AE102" s="206"/>
      <c r="AF102" s="3"/>
      <c r="AG102" s="3"/>
      <c r="AH102" s="3"/>
      <c r="AI102" s="3"/>
      <c r="AJ102" s="3"/>
      <c r="AK102" s="3"/>
      <c r="AL102" s="3"/>
      <c r="AM102" s="3"/>
      <c r="AN102" s="3"/>
      <c r="AO102" s="3"/>
      <c r="AP102" s="3"/>
      <c r="AQ102" s="3"/>
      <c r="AR102" s="3"/>
      <c r="AS102" s="3"/>
      <c r="AT102" s="3"/>
      <c r="AU102" s="3"/>
      <c r="AV102" s="3"/>
      <c r="AW102" s="3"/>
      <c r="AX102" s="3"/>
      <c r="AY102" s="3"/>
      <c r="AZ102" s="3"/>
      <c r="BA102" s="3"/>
    </row>
    <row r="103" spans="1:53" ht="15.75" customHeight="1" x14ac:dyDescent="0.25">
      <c r="A103" s="3"/>
      <c r="B103" s="201" t="s">
        <v>1497</v>
      </c>
      <c r="C103" s="1764" t="s">
        <v>1477</v>
      </c>
      <c r="D103" s="1764"/>
      <c r="E103" s="1777">
        <v>0</v>
      </c>
      <c r="F103" s="81"/>
      <c r="G103" s="1037">
        <v>2.7215E-2</v>
      </c>
      <c r="H103" s="81"/>
      <c r="I103" s="81">
        <v>1.4</v>
      </c>
      <c r="J103" s="81"/>
      <c r="K103" s="1049">
        <f t="shared" si="59"/>
        <v>0</v>
      </c>
      <c r="L103" s="204"/>
      <c r="M103" s="81">
        <v>0.89</v>
      </c>
      <c r="N103" s="81"/>
      <c r="O103" s="81">
        <v>0.89</v>
      </c>
      <c r="P103" s="81"/>
      <c r="Q103" s="81">
        <v>7.0000000000000001E-3</v>
      </c>
      <c r="R103" s="81"/>
      <c r="S103" s="1049">
        <f t="shared" si="60"/>
        <v>0</v>
      </c>
      <c r="T103" s="204"/>
      <c r="U103" s="81">
        <v>0.03</v>
      </c>
      <c r="V103" s="81"/>
      <c r="W103" s="1049" t="s">
        <v>907</v>
      </c>
      <c r="X103" s="81"/>
      <c r="Y103" s="81"/>
      <c r="Z103" s="900"/>
      <c r="AA103" s="81"/>
      <c r="AB103" s="81"/>
      <c r="AC103" s="81"/>
      <c r="AD103" s="81"/>
      <c r="AE103" s="206"/>
      <c r="AF103" s="3"/>
      <c r="AG103" s="3"/>
      <c r="AH103" s="3"/>
      <c r="AI103" s="3"/>
      <c r="AJ103" s="3"/>
      <c r="AK103" s="3"/>
      <c r="AL103" s="3"/>
      <c r="AM103" s="3"/>
      <c r="AN103" s="3"/>
      <c r="AO103" s="3"/>
      <c r="AP103" s="3"/>
      <c r="AQ103" s="3"/>
      <c r="AR103" s="3"/>
      <c r="AS103" s="3"/>
      <c r="AT103" s="3"/>
      <c r="AU103" s="3"/>
      <c r="AV103" s="3"/>
      <c r="AW103" s="3"/>
      <c r="AX103" s="3"/>
      <c r="AY103" s="3"/>
      <c r="AZ103" s="3"/>
      <c r="BA103" s="3"/>
    </row>
    <row r="104" spans="1:53" ht="30" customHeight="1" x14ac:dyDescent="0.25">
      <c r="A104" s="3"/>
      <c r="B104" s="201" t="s">
        <v>1500</v>
      </c>
      <c r="C104" s="1764" t="s">
        <v>1501</v>
      </c>
      <c r="D104" s="1764"/>
      <c r="E104" s="1765">
        <v>0</v>
      </c>
      <c r="F104" s="81"/>
      <c r="G104" s="1037" t="s">
        <v>907</v>
      </c>
      <c r="H104" s="81"/>
      <c r="I104" s="81">
        <v>1.4</v>
      </c>
      <c r="J104" s="81"/>
      <c r="K104" s="1049">
        <f>(E104*0.454)*100</f>
        <v>0</v>
      </c>
      <c r="L104" s="1049"/>
      <c r="M104" s="81">
        <v>0.91</v>
      </c>
      <c r="N104" s="81"/>
      <c r="O104" s="81">
        <v>1</v>
      </c>
      <c r="P104" s="81"/>
      <c r="Q104" s="81">
        <v>7.1999999999999998E-3</v>
      </c>
      <c r="R104" s="81"/>
      <c r="S104" s="1049">
        <f t="shared" si="60"/>
        <v>0</v>
      </c>
      <c r="T104" s="204"/>
      <c r="U104" s="81">
        <v>0.03</v>
      </c>
      <c r="V104" s="81"/>
      <c r="W104" s="1049" t="s">
        <v>907</v>
      </c>
      <c r="X104" s="81"/>
      <c r="Y104" s="81"/>
      <c r="Z104" s="1568"/>
      <c r="AA104" s="81"/>
      <c r="AB104" s="81"/>
      <c r="AC104" s="81"/>
      <c r="AD104" s="81"/>
      <c r="AE104" s="206"/>
      <c r="AF104" s="3"/>
      <c r="AG104" s="3"/>
      <c r="AH104" s="3"/>
      <c r="AI104" s="3"/>
      <c r="AJ104" s="3"/>
      <c r="AK104" s="3"/>
      <c r="AL104" s="3"/>
      <c r="AM104" s="3"/>
      <c r="AN104" s="3"/>
      <c r="AO104" s="3"/>
      <c r="AP104" s="3"/>
      <c r="AQ104" s="3"/>
      <c r="AR104" s="3"/>
      <c r="AS104" s="3"/>
      <c r="AT104" s="3"/>
      <c r="AU104" s="3"/>
      <c r="AV104" s="3"/>
      <c r="AW104" s="3"/>
      <c r="AX104" s="3"/>
      <c r="AY104" s="3"/>
      <c r="AZ104" s="3"/>
      <c r="BA104" s="3"/>
    </row>
    <row r="105" spans="1:53" ht="15.75" customHeight="1" x14ac:dyDescent="0.25">
      <c r="A105" s="3"/>
      <c r="B105" s="201" t="s">
        <v>1507</v>
      </c>
      <c r="C105" s="1764" t="s">
        <v>1477</v>
      </c>
      <c r="D105" s="1764"/>
      <c r="E105" s="1765">
        <v>17903</v>
      </c>
      <c r="F105" s="81"/>
      <c r="G105" s="1037">
        <v>2.7215692074999999E-2</v>
      </c>
      <c r="H105" s="81"/>
      <c r="I105" s="81">
        <v>2.1</v>
      </c>
      <c r="J105" s="81"/>
      <c r="K105" s="1049">
        <f>E105*1000*G105</f>
        <v>487242.53521872498</v>
      </c>
      <c r="L105" s="1049"/>
      <c r="M105" s="81">
        <v>0.87</v>
      </c>
      <c r="N105" s="81"/>
      <c r="O105" s="81">
        <v>0.9</v>
      </c>
      <c r="P105" s="81"/>
      <c r="Q105" s="81">
        <v>2.3E-2</v>
      </c>
      <c r="R105" s="81"/>
      <c r="S105" s="1049">
        <f t="shared" si="60"/>
        <v>18426976.715183441</v>
      </c>
      <c r="T105" s="204"/>
      <c r="U105" s="81">
        <v>0.03</v>
      </c>
      <c r="V105" s="81"/>
      <c r="W105" s="1049">
        <f t="shared" ref="W105:W116" si="61">(K105*1000)*(1+I105)*M105*U105</f>
        <v>39422793.524547033</v>
      </c>
      <c r="X105" s="81"/>
      <c r="Y105" s="81"/>
      <c r="Z105" s="1568"/>
      <c r="AA105" s="81"/>
      <c r="AB105" s="81"/>
      <c r="AC105" s="81"/>
      <c r="AD105" s="81"/>
      <c r="AE105" s="206"/>
      <c r="AF105" s="3"/>
      <c r="AG105" s="3"/>
      <c r="AH105" s="3"/>
      <c r="AI105" s="3"/>
      <c r="AJ105" s="3"/>
      <c r="AK105" s="3"/>
      <c r="AL105" s="3"/>
      <c r="AM105" s="3"/>
      <c r="AN105" s="3"/>
      <c r="AO105" s="3"/>
      <c r="AP105" s="3"/>
      <c r="AQ105" s="3"/>
      <c r="AR105" s="3"/>
      <c r="AS105" s="3"/>
      <c r="AT105" s="3"/>
      <c r="AU105" s="3"/>
      <c r="AV105" s="3"/>
      <c r="AW105" s="3"/>
      <c r="AX105" s="3"/>
      <c r="AY105" s="3"/>
      <c r="AZ105" s="3"/>
      <c r="BA105" s="3"/>
    </row>
    <row r="106" spans="1:53" ht="15.75" customHeight="1" x14ac:dyDescent="0.25">
      <c r="A106" s="3"/>
      <c r="B106" s="201" t="s">
        <v>1520</v>
      </c>
      <c r="C106" s="1764" t="s">
        <v>1521</v>
      </c>
      <c r="D106" s="1764"/>
      <c r="E106" s="1765">
        <v>0</v>
      </c>
      <c r="F106" s="81"/>
      <c r="G106" s="1037" t="s">
        <v>907</v>
      </c>
      <c r="H106" s="81"/>
      <c r="I106" s="81">
        <v>1</v>
      </c>
      <c r="J106" s="81"/>
      <c r="K106" s="1049">
        <f>(E106*1000/2000*0.9072)</f>
        <v>0</v>
      </c>
      <c r="L106" s="1049"/>
      <c r="M106" s="81">
        <v>0.86</v>
      </c>
      <c r="N106" s="81"/>
      <c r="O106" s="81">
        <v>0.9</v>
      </c>
      <c r="P106" s="81"/>
      <c r="Q106" s="81">
        <v>1.06E-2</v>
      </c>
      <c r="R106" s="81"/>
      <c r="S106" s="1049">
        <f t="shared" si="60"/>
        <v>0</v>
      </c>
      <c r="T106" s="204"/>
      <c r="U106" s="81">
        <v>0.03</v>
      </c>
      <c r="V106" s="81"/>
      <c r="W106" s="1049">
        <f t="shared" si="61"/>
        <v>0</v>
      </c>
      <c r="X106" s="81"/>
      <c r="Y106" s="81"/>
      <c r="Z106" s="1568"/>
      <c r="AA106" s="81"/>
      <c r="AB106" s="81"/>
      <c r="AC106" s="81"/>
      <c r="AD106" s="81"/>
      <c r="AE106" s="206"/>
      <c r="AF106" s="3"/>
      <c r="AG106" s="3"/>
      <c r="AH106" s="3"/>
      <c r="AI106" s="3"/>
      <c r="AJ106" s="3"/>
      <c r="AK106" s="3"/>
      <c r="AL106" s="3"/>
      <c r="AM106" s="3"/>
      <c r="AN106" s="3"/>
      <c r="AO106" s="3"/>
      <c r="AP106" s="3"/>
      <c r="AQ106" s="3"/>
      <c r="AR106" s="3"/>
      <c r="AS106" s="3"/>
      <c r="AT106" s="3"/>
      <c r="AU106" s="3"/>
      <c r="AV106" s="3"/>
      <c r="AW106" s="3"/>
      <c r="AX106" s="3"/>
      <c r="AY106" s="3"/>
      <c r="AZ106" s="3"/>
      <c r="BA106" s="3"/>
    </row>
    <row r="107" spans="1:53" ht="30" customHeight="1" x14ac:dyDescent="0.25">
      <c r="A107" s="3"/>
      <c r="B107" s="201" t="s">
        <v>1539</v>
      </c>
      <c r="C107" s="1764" t="s">
        <v>1501</v>
      </c>
      <c r="D107" s="1764"/>
      <c r="E107" s="1765">
        <v>0</v>
      </c>
      <c r="F107" s="81"/>
      <c r="G107" s="1037" t="s">
        <v>907</v>
      </c>
      <c r="H107" s="81"/>
      <c r="I107" s="81">
        <v>2.1</v>
      </c>
      <c r="J107" s="81"/>
      <c r="K107" s="1049">
        <f t="shared" ref="K107:K111" si="62">(E107*0.454)*100</f>
        <v>0</v>
      </c>
      <c r="L107" s="1049"/>
      <c r="M107" s="81">
        <v>0.87</v>
      </c>
      <c r="N107" s="81"/>
      <c r="O107" s="81">
        <v>1.55</v>
      </c>
      <c r="P107" s="81"/>
      <c r="Q107" s="81">
        <v>1.6799999999999999E-2</v>
      </c>
      <c r="R107" s="81"/>
      <c r="S107" s="1049">
        <f t="shared" si="60"/>
        <v>0</v>
      </c>
      <c r="T107" s="204"/>
      <c r="U107" s="81">
        <v>0.03</v>
      </c>
      <c r="V107" s="81"/>
      <c r="W107" s="1049">
        <f t="shared" si="61"/>
        <v>0</v>
      </c>
      <c r="X107" s="81"/>
      <c r="Y107" s="81"/>
      <c r="Z107" s="1568"/>
      <c r="AA107" s="81"/>
      <c r="AB107" s="81"/>
      <c r="AC107" s="81"/>
      <c r="AD107" s="81"/>
      <c r="AE107" s="206"/>
      <c r="AF107" s="3"/>
      <c r="AG107" s="3"/>
      <c r="AH107" s="3"/>
      <c r="AI107" s="3"/>
      <c r="AJ107" s="3"/>
      <c r="AK107" s="3"/>
      <c r="AL107" s="3"/>
      <c r="AM107" s="3"/>
      <c r="AN107" s="3"/>
      <c r="AO107" s="3"/>
      <c r="AP107" s="3"/>
      <c r="AQ107" s="3"/>
      <c r="AR107" s="3"/>
      <c r="AS107" s="3"/>
      <c r="AT107" s="3"/>
      <c r="AU107" s="3"/>
      <c r="AV107" s="3"/>
      <c r="AW107" s="3"/>
      <c r="AX107" s="3"/>
      <c r="AY107" s="3"/>
      <c r="AZ107" s="3"/>
      <c r="BA107" s="3"/>
    </row>
    <row r="108" spans="1:53" ht="30" customHeight="1" x14ac:dyDescent="0.25">
      <c r="A108" s="3"/>
      <c r="B108" s="201" t="s">
        <v>1540</v>
      </c>
      <c r="C108" s="1764" t="s">
        <v>1501</v>
      </c>
      <c r="D108" s="1764"/>
      <c r="E108" s="1765">
        <v>0</v>
      </c>
      <c r="F108" s="81"/>
      <c r="G108" s="1037" t="s">
        <v>907</v>
      </c>
      <c r="H108" s="81"/>
      <c r="I108" s="81">
        <v>1.5</v>
      </c>
      <c r="J108" s="81"/>
      <c r="K108" s="1049">
        <f t="shared" si="62"/>
        <v>0</v>
      </c>
      <c r="L108" s="1049"/>
      <c r="M108" s="81">
        <v>0.87</v>
      </c>
      <c r="N108" s="81"/>
      <c r="O108" s="81">
        <v>0.9</v>
      </c>
      <c r="P108" s="81"/>
      <c r="Q108" s="81">
        <v>1.6799999999999999E-2</v>
      </c>
      <c r="R108" s="81"/>
      <c r="S108" s="1049">
        <f t="shared" si="60"/>
        <v>0</v>
      </c>
      <c r="T108" s="204"/>
      <c r="U108" s="81">
        <v>0.03</v>
      </c>
      <c r="V108" s="81"/>
      <c r="W108" s="1049">
        <f t="shared" si="61"/>
        <v>0</v>
      </c>
      <c r="X108" s="81"/>
      <c r="Y108" s="81"/>
      <c r="Z108" s="1568"/>
      <c r="AA108" s="81"/>
      <c r="AB108" s="81"/>
      <c r="AC108" s="81"/>
      <c r="AD108" s="81"/>
      <c r="AE108" s="206"/>
      <c r="AF108" s="3"/>
      <c r="AG108" s="3"/>
      <c r="AH108" s="3"/>
      <c r="AI108" s="3"/>
      <c r="AJ108" s="3"/>
      <c r="AK108" s="3"/>
      <c r="AL108" s="3"/>
      <c r="AM108" s="3"/>
      <c r="AN108" s="3"/>
      <c r="AO108" s="3"/>
      <c r="AP108" s="3"/>
      <c r="AQ108" s="3"/>
      <c r="AR108" s="3"/>
      <c r="AS108" s="3"/>
      <c r="AT108" s="3"/>
      <c r="AU108" s="3"/>
      <c r="AV108" s="3"/>
      <c r="AW108" s="3"/>
      <c r="AX108" s="3"/>
      <c r="AY108" s="3"/>
      <c r="AZ108" s="3"/>
      <c r="BA108" s="3"/>
    </row>
    <row r="109" spans="1:53" ht="30" customHeight="1" x14ac:dyDescent="0.25">
      <c r="A109" s="3"/>
      <c r="B109" s="1796" t="s">
        <v>1541</v>
      </c>
      <c r="C109" s="1764" t="s">
        <v>1501</v>
      </c>
      <c r="D109" s="1764"/>
      <c r="E109" s="1765">
        <v>0</v>
      </c>
      <c r="F109" s="81"/>
      <c r="G109" s="1037" t="s">
        <v>907</v>
      </c>
      <c r="H109" s="81"/>
      <c r="I109" s="81">
        <v>1.5</v>
      </c>
      <c r="J109" s="81"/>
      <c r="K109" s="1049">
        <f t="shared" si="62"/>
        <v>0</v>
      </c>
      <c r="L109" s="1049"/>
      <c r="M109" s="81">
        <v>0.87</v>
      </c>
      <c r="N109" s="81"/>
      <c r="O109" s="81">
        <v>0.9</v>
      </c>
      <c r="P109" s="81"/>
      <c r="Q109" s="81">
        <v>1.6799999999999999E-2</v>
      </c>
      <c r="R109" s="81"/>
      <c r="S109" s="1049">
        <f t="shared" si="60"/>
        <v>0</v>
      </c>
      <c r="T109" s="204"/>
      <c r="U109" s="81">
        <v>0.03</v>
      </c>
      <c r="V109" s="81"/>
      <c r="W109" s="1049">
        <f t="shared" si="61"/>
        <v>0</v>
      </c>
      <c r="X109" s="81"/>
      <c r="Y109" s="81"/>
      <c r="Z109" s="1568"/>
      <c r="AA109" s="81"/>
      <c r="AB109" s="81"/>
      <c r="AC109" s="81"/>
      <c r="AD109" s="81"/>
      <c r="AE109" s="206"/>
      <c r="AF109" s="3"/>
      <c r="AG109" s="3"/>
      <c r="AH109" s="3"/>
      <c r="AI109" s="3"/>
      <c r="AJ109" s="3"/>
      <c r="AK109" s="3"/>
      <c r="AL109" s="3"/>
      <c r="AM109" s="3"/>
      <c r="AN109" s="3"/>
      <c r="AO109" s="3"/>
      <c r="AP109" s="3"/>
      <c r="AQ109" s="3"/>
      <c r="AR109" s="3"/>
      <c r="AS109" s="3"/>
      <c r="AT109" s="3"/>
      <c r="AU109" s="3"/>
      <c r="AV109" s="3"/>
      <c r="AW109" s="3"/>
      <c r="AX109" s="3"/>
      <c r="AY109" s="3"/>
      <c r="AZ109" s="3"/>
      <c r="BA109" s="3"/>
    </row>
    <row r="110" spans="1:53" ht="30" customHeight="1" x14ac:dyDescent="0.25">
      <c r="A110" s="3"/>
      <c r="B110" s="1796" t="s">
        <v>1542</v>
      </c>
      <c r="C110" s="1764" t="s">
        <v>1501</v>
      </c>
      <c r="D110" s="1764"/>
      <c r="E110" s="1765">
        <v>0</v>
      </c>
      <c r="F110" s="81"/>
      <c r="G110" s="1037" t="s">
        <v>907</v>
      </c>
      <c r="H110" s="81"/>
      <c r="I110" s="81">
        <v>2.1</v>
      </c>
      <c r="J110" s="81"/>
      <c r="K110" s="1049">
        <f t="shared" si="62"/>
        <v>0</v>
      </c>
      <c r="L110" s="1049"/>
      <c r="M110" s="81">
        <v>0.87</v>
      </c>
      <c r="N110" s="81"/>
      <c r="O110" s="81">
        <v>1.55</v>
      </c>
      <c r="P110" s="81"/>
      <c r="Q110" s="81">
        <v>1.6799999999999999E-2</v>
      </c>
      <c r="R110" s="81"/>
      <c r="S110" s="1049">
        <f t="shared" si="60"/>
        <v>0</v>
      </c>
      <c r="T110" s="204"/>
      <c r="U110" s="81">
        <v>0.03</v>
      </c>
      <c r="V110" s="81"/>
      <c r="W110" s="1049">
        <f t="shared" si="61"/>
        <v>0</v>
      </c>
      <c r="X110" s="81"/>
      <c r="Y110" s="1797"/>
      <c r="Z110" s="1568"/>
      <c r="AA110" s="81"/>
      <c r="AB110" s="81"/>
      <c r="AC110" s="81"/>
      <c r="AD110" s="81"/>
      <c r="AE110" s="206"/>
      <c r="AF110" s="3"/>
      <c r="AG110" s="3"/>
      <c r="AH110" s="3"/>
      <c r="AI110" s="3"/>
      <c r="AJ110" s="3"/>
      <c r="AK110" s="3"/>
      <c r="AL110" s="3"/>
      <c r="AM110" s="3"/>
      <c r="AN110" s="3"/>
      <c r="AO110" s="3"/>
      <c r="AP110" s="3"/>
      <c r="AQ110" s="3"/>
      <c r="AR110" s="3"/>
      <c r="AS110" s="3"/>
      <c r="AT110" s="3"/>
      <c r="AU110" s="3"/>
      <c r="AV110" s="3"/>
      <c r="AW110" s="3"/>
      <c r="AX110" s="3"/>
      <c r="AY110" s="3"/>
      <c r="AZ110" s="3"/>
      <c r="BA110" s="3"/>
    </row>
    <row r="111" spans="1:53" ht="30" customHeight="1" x14ac:dyDescent="0.25">
      <c r="A111" s="3"/>
      <c r="B111" s="1796" t="s">
        <v>1546</v>
      </c>
      <c r="C111" s="1764" t="s">
        <v>1501</v>
      </c>
      <c r="D111" s="1764"/>
      <c r="E111" s="1765">
        <v>0</v>
      </c>
      <c r="F111" s="81"/>
      <c r="G111" s="1037" t="s">
        <v>907</v>
      </c>
      <c r="H111" s="81"/>
      <c r="I111" s="81">
        <v>1.5</v>
      </c>
      <c r="J111" s="81"/>
      <c r="K111" s="1049">
        <f t="shared" si="62"/>
        <v>0</v>
      </c>
      <c r="L111" s="1049"/>
      <c r="M111" s="81">
        <v>0.87</v>
      </c>
      <c r="N111" s="81"/>
      <c r="O111" s="81">
        <v>0.9</v>
      </c>
      <c r="P111" s="81"/>
      <c r="Q111" s="81">
        <v>1.6799999999999999E-2</v>
      </c>
      <c r="R111" s="81"/>
      <c r="S111" s="1049">
        <f t="shared" si="60"/>
        <v>0</v>
      </c>
      <c r="T111" s="204"/>
      <c r="U111" s="81">
        <v>0.03</v>
      </c>
      <c r="V111" s="81"/>
      <c r="W111" s="1049">
        <f t="shared" si="61"/>
        <v>0</v>
      </c>
      <c r="X111" s="81"/>
      <c r="Y111" s="1797"/>
      <c r="Z111" s="1568"/>
      <c r="AA111" s="81"/>
      <c r="AB111" s="81"/>
      <c r="AC111" s="81"/>
      <c r="AD111" s="81"/>
      <c r="AE111" s="206"/>
      <c r="AF111" s="3"/>
      <c r="AG111" s="3"/>
      <c r="AH111" s="3"/>
      <c r="AI111" s="3"/>
      <c r="AJ111" s="3"/>
      <c r="AK111" s="3"/>
      <c r="AL111" s="3"/>
      <c r="AM111" s="3"/>
      <c r="AN111" s="3"/>
      <c r="AO111" s="3"/>
      <c r="AP111" s="3"/>
      <c r="AQ111" s="3"/>
      <c r="AR111" s="3"/>
      <c r="AS111" s="3"/>
      <c r="AT111" s="3"/>
      <c r="AU111" s="3"/>
      <c r="AV111" s="3"/>
      <c r="AW111" s="3"/>
      <c r="AX111" s="3"/>
      <c r="AY111" s="3"/>
      <c r="AZ111" s="3"/>
      <c r="BA111" s="3"/>
    </row>
    <row r="112" spans="1:53" ht="15.75" customHeight="1" x14ac:dyDescent="0.25">
      <c r="A112" s="3"/>
      <c r="B112" s="1796" t="s">
        <v>1547</v>
      </c>
      <c r="C112" s="1764" t="s">
        <v>1089</v>
      </c>
      <c r="D112" s="1764"/>
      <c r="E112" s="1777"/>
      <c r="F112" s="81"/>
      <c r="G112" s="1037" t="s">
        <v>907</v>
      </c>
      <c r="H112" s="81"/>
      <c r="I112" s="81"/>
      <c r="J112" s="81"/>
      <c r="K112" s="1049">
        <f t="shared" ref="K112:K116" si="63">E112</f>
        <v>0</v>
      </c>
      <c r="L112" s="204"/>
      <c r="M112" s="81"/>
      <c r="N112" s="81"/>
      <c r="O112" s="81"/>
      <c r="P112" s="81"/>
      <c r="Q112" s="81"/>
      <c r="R112" s="81"/>
      <c r="S112" s="1049" t="s">
        <v>907</v>
      </c>
      <c r="T112" s="204"/>
      <c r="U112" s="81">
        <v>0.03</v>
      </c>
      <c r="V112" s="81"/>
      <c r="W112" s="1049">
        <f t="shared" si="61"/>
        <v>0</v>
      </c>
      <c r="X112" s="81"/>
      <c r="Y112" s="1797"/>
      <c r="Z112" s="1568"/>
      <c r="AA112" s="81"/>
      <c r="AB112" s="81"/>
      <c r="AC112" s="81"/>
      <c r="AD112" s="81"/>
      <c r="AE112" s="206"/>
      <c r="AF112" s="3"/>
      <c r="AG112" s="3"/>
      <c r="AH112" s="3"/>
      <c r="AI112" s="3"/>
      <c r="AJ112" s="3"/>
      <c r="AK112" s="3"/>
      <c r="AL112" s="3"/>
      <c r="AM112" s="3"/>
      <c r="AN112" s="3"/>
      <c r="AO112" s="3"/>
      <c r="AP112" s="3"/>
      <c r="AQ112" s="3"/>
      <c r="AR112" s="3"/>
      <c r="AS112" s="3"/>
      <c r="AT112" s="3"/>
      <c r="AU112" s="3"/>
      <c r="AV112" s="3"/>
      <c r="AW112" s="3"/>
      <c r="AX112" s="3"/>
      <c r="AY112" s="3"/>
      <c r="AZ112" s="3"/>
      <c r="BA112" s="3"/>
    </row>
    <row r="113" spans="1:53" ht="15.75" customHeight="1" x14ac:dyDescent="0.25">
      <c r="A113" s="3"/>
      <c r="B113" s="1796" t="s">
        <v>1549</v>
      </c>
      <c r="C113" s="1764" t="s">
        <v>1089</v>
      </c>
      <c r="D113" s="1764"/>
      <c r="E113" s="1777"/>
      <c r="F113" s="81"/>
      <c r="G113" s="1037" t="s">
        <v>907</v>
      </c>
      <c r="H113" s="81"/>
      <c r="I113" s="81"/>
      <c r="J113" s="81"/>
      <c r="K113" s="1049">
        <f t="shared" si="63"/>
        <v>0</v>
      </c>
      <c r="L113" s="204"/>
      <c r="M113" s="81"/>
      <c r="N113" s="81"/>
      <c r="O113" s="81"/>
      <c r="P113" s="81"/>
      <c r="Q113" s="81"/>
      <c r="R113" s="81"/>
      <c r="S113" s="1049" t="s">
        <v>907</v>
      </c>
      <c r="T113" s="204"/>
      <c r="U113" s="81">
        <v>0.03</v>
      </c>
      <c r="V113" s="81"/>
      <c r="W113" s="1049">
        <f t="shared" si="61"/>
        <v>0</v>
      </c>
      <c r="X113" s="81"/>
      <c r="Y113" s="1797"/>
      <c r="Z113" s="1568"/>
      <c r="AA113" s="81"/>
      <c r="AB113" s="81"/>
      <c r="AC113" s="81"/>
      <c r="AD113" s="81"/>
      <c r="AE113" s="206"/>
      <c r="AF113" s="3"/>
      <c r="AG113" s="3"/>
      <c r="AH113" s="3"/>
      <c r="AI113" s="3"/>
      <c r="AJ113" s="3"/>
      <c r="AK113" s="3"/>
      <c r="AL113" s="3"/>
      <c r="AM113" s="3"/>
      <c r="AN113" s="3"/>
      <c r="AO113" s="3"/>
      <c r="AP113" s="3"/>
      <c r="AQ113" s="3"/>
      <c r="AR113" s="3"/>
      <c r="AS113" s="3"/>
      <c r="AT113" s="3"/>
      <c r="AU113" s="3"/>
      <c r="AV113" s="3"/>
      <c r="AW113" s="3"/>
      <c r="AX113" s="3"/>
      <c r="AY113" s="3"/>
      <c r="AZ113" s="3"/>
      <c r="BA113" s="3"/>
    </row>
    <row r="114" spans="1:53" ht="15.75" customHeight="1" x14ac:dyDescent="0.25">
      <c r="A114" s="3"/>
      <c r="B114" s="1796" t="s">
        <v>1551</v>
      </c>
      <c r="C114" s="1764" t="s">
        <v>1089</v>
      </c>
      <c r="D114" s="1764"/>
      <c r="E114" s="1777"/>
      <c r="F114" s="81"/>
      <c r="G114" s="1037" t="s">
        <v>907</v>
      </c>
      <c r="H114" s="81"/>
      <c r="I114" s="81"/>
      <c r="J114" s="81"/>
      <c r="K114" s="1049">
        <f t="shared" si="63"/>
        <v>0</v>
      </c>
      <c r="L114" s="204"/>
      <c r="M114" s="81"/>
      <c r="N114" s="81"/>
      <c r="O114" s="81"/>
      <c r="P114" s="81"/>
      <c r="Q114" s="81"/>
      <c r="R114" s="81"/>
      <c r="S114" s="1049" t="s">
        <v>907</v>
      </c>
      <c r="T114" s="204"/>
      <c r="U114" s="81">
        <v>0.03</v>
      </c>
      <c r="V114" s="81"/>
      <c r="W114" s="1049">
        <f t="shared" si="61"/>
        <v>0</v>
      </c>
      <c r="X114" s="81"/>
      <c r="Y114" s="1797"/>
      <c r="Z114" s="1568"/>
      <c r="AA114" s="81"/>
      <c r="AB114" s="81"/>
      <c r="AC114" s="81"/>
      <c r="AD114" s="81"/>
      <c r="AE114" s="206"/>
      <c r="AF114" s="3"/>
      <c r="AG114" s="3"/>
      <c r="AH114" s="3"/>
      <c r="AI114" s="3"/>
      <c r="AJ114" s="3"/>
      <c r="AK114" s="3"/>
      <c r="AL114" s="3"/>
      <c r="AM114" s="3"/>
      <c r="AN114" s="3"/>
      <c r="AO114" s="3"/>
      <c r="AP114" s="3"/>
      <c r="AQ114" s="3"/>
      <c r="AR114" s="3"/>
      <c r="AS114" s="3"/>
      <c r="AT114" s="3"/>
      <c r="AU114" s="3"/>
      <c r="AV114" s="3"/>
      <c r="AW114" s="3"/>
      <c r="AX114" s="3"/>
      <c r="AY114" s="3"/>
      <c r="AZ114" s="3"/>
      <c r="BA114" s="3"/>
    </row>
    <row r="115" spans="1:53" ht="15.75" customHeight="1" x14ac:dyDescent="0.25">
      <c r="A115" s="3"/>
      <c r="B115" s="1796" t="s">
        <v>1554</v>
      </c>
      <c r="C115" s="1764" t="s">
        <v>1089</v>
      </c>
      <c r="D115" s="1764"/>
      <c r="E115" s="1777"/>
      <c r="F115" s="81"/>
      <c r="G115" s="1037" t="s">
        <v>907</v>
      </c>
      <c r="H115" s="81"/>
      <c r="I115" s="81"/>
      <c r="J115" s="81"/>
      <c r="K115" s="1049">
        <f t="shared" si="63"/>
        <v>0</v>
      </c>
      <c r="L115" s="204"/>
      <c r="M115" s="81"/>
      <c r="N115" s="81"/>
      <c r="O115" s="81"/>
      <c r="P115" s="81"/>
      <c r="Q115" s="81"/>
      <c r="R115" s="81"/>
      <c r="S115" s="1049" t="s">
        <v>907</v>
      </c>
      <c r="T115" s="204"/>
      <c r="U115" s="81">
        <v>0.03</v>
      </c>
      <c r="V115" s="81"/>
      <c r="W115" s="1049">
        <f t="shared" si="61"/>
        <v>0</v>
      </c>
      <c r="X115" s="81"/>
      <c r="Y115" s="1797"/>
      <c r="Z115" s="1568"/>
      <c r="AA115" s="81"/>
      <c r="AB115" s="81"/>
      <c r="AC115" s="81"/>
      <c r="AD115" s="81"/>
      <c r="AE115" s="206"/>
      <c r="AF115" s="3"/>
      <c r="AG115" s="3"/>
      <c r="AH115" s="3"/>
      <c r="AI115" s="3"/>
      <c r="AJ115" s="3"/>
      <c r="AK115" s="3"/>
      <c r="AL115" s="3"/>
      <c r="AM115" s="3"/>
      <c r="AN115" s="3"/>
      <c r="AO115" s="3"/>
      <c r="AP115" s="3"/>
      <c r="AQ115" s="3"/>
      <c r="AR115" s="3"/>
      <c r="AS115" s="3"/>
      <c r="AT115" s="3"/>
      <c r="AU115" s="3"/>
      <c r="AV115" s="3"/>
      <c r="AW115" s="3"/>
      <c r="AX115" s="3"/>
      <c r="AY115" s="3"/>
      <c r="AZ115" s="3"/>
      <c r="BA115" s="3"/>
    </row>
    <row r="116" spans="1:53" ht="15.75" customHeight="1" x14ac:dyDescent="0.25">
      <c r="A116" s="3"/>
      <c r="B116" s="1796" t="s">
        <v>1555</v>
      </c>
      <c r="C116" s="1764" t="s">
        <v>1089</v>
      </c>
      <c r="D116" s="1764"/>
      <c r="E116" s="1777"/>
      <c r="F116" s="81"/>
      <c r="G116" s="1037" t="s">
        <v>907</v>
      </c>
      <c r="H116" s="81"/>
      <c r="I116" s="81"/>
      <c r="J116" s="81"/>
      <c r="K116" s="1049">
        <f t="shared" si="63"/>
        <v>0</v>
      </c>
      <c r="L116" s="204"/>
      <c r="M116" s="81"/>
      <c r="N116" s="81"/>
      <c r="O116" s="81"/>
      <c r="P116" s="81"/>
      <c r="Q116" s="81"/>
      <c r="R116" s="81"/>
      <c r="S116" s="1049" t="s">
        <v>907</v>
      </c>
      <c r="T116" s="204"/>
      <c r="U116" s="81">
        <v>0.03</v>
      </c>
      <c r="V116" s="81"/>
      <c r="W116" s="1049">
        <f t="shared" si="61"/>
        <v>0</v>
      </c>
      <c r="X116" s="81"/>
      <c r="Y116" s="1797"/>
      <c r="Z116" s="1568"/>
      <c r="AA116" s="81"/>
      <c r="AB116" s="81"/>
      <c r="AC116" s="81"/>
      <c r="AD116" s="81"/>
      <c r="AE116" s="206"/>
      <c r="AF116" s="3"/>
      <c r="AG116" s="3"/>
      <c r="AH116" s="3"/>
      <c r="AI116" s="3"/>
      <c r="AJ116" s="3"/>
      <c r="AK116" s="3"/>
      <c r="AL116" s="3"/>
      <c r="AM116" s="3"/>
      <c r="AN116" s="3"/>
      <c r="AO116" s="3"/>
      <c r="AP116" s="3"/>
      <c r="AQ116" s="3"/>
      <c r="AR116" s="3"/>
      <c r="AS116" s="3"/>
      <c r="AT116" s="3"/>
      <c r="AU116" s="3"/>
      <c r="AV116" s="3"/>
      <c r="AW116" s="3"/>
      <c r="AX116" s="3"/>
      <c r="AY116" s="3"/>
      <c r="AZ116" s="3"/>
      <c r="BA116" s="3"/>
    </row>
    <row r="117" spans="1:53" ht="15.75" customHeight="1" x14ac:dyDescent="0.25">
      <c r="A117" s="3"/>
      <c r="B117" s="1528" t="s">
        <v>1227</v>
      </c>
      <c r="C117" s="1808"/>
      <c r="D117" s="1808"/>
      <c r="E117" s="1534"/>
      <c r="F117" s="1534"/>
      <c r="G117" s="1534"/>
      <c r="H117" s="1534"/>
      <c r="I117" s="1534"/>
      <c r="J117" s="1534"/>
      <c r="K117" s="1811">
        <f>SUM(K96:K116)</f>
        <v>2208787.3135473048</v>
      </c>
      <c r="L117" s="1811"/>
      <c r="M117" s="1533"/>
      <c r="N117" s="1534"/>
      <c r="O117" s="1534"/>
      <c r="P117" s="1534"/>
      <c r="Q117" s="1534"/>
      <c r="R117" s="1534"/>
      <c r="S117" s="1811">
        <f>SUM(S96:S111)</f>
        <v>26869637.086537462</v>
      </c>
      <c r="T117" s="1813"/>
      <c r="U117" s="1534"/>
      <c r="V117" s="1534"/>
      <c r="W117" s="1815">
        <f>SUM(W96:W116)</f>
        <v>42661497.524547033</v>
      </c>
      <c r="X117" s="1534"/>
      <c r="Y117" s="1534"/>
      <c r="Z117" s="1816"/>
      <c r="AA117" s="1534"/>
      <c r="AB117" s="1534"/>
      <c r="AC117" s="1534"/>
      <c r="AD117" s="1534"/>
      <c r="AE117" s="1818"/>
      <c r="AF117" s="3"/>
      <c r="AG117" s="3"/>
      <c r="AH117" s="3"/>
      <c r="AI117" s="3"/>
      <c r="AJ117" s="3"/>
      <c r="AK117" s="3"/>
      <c r="AL117" s="3"/>
      <c r="AM117" s="3"/>
      <c r="AN117" s="3"/>
      <c r="AO117" s="3"/>
      <c r="AP117" s="3"/>
      <c r="AQ117" s="3"/>
      <c r="AR117" s="3"/>
      <c r="AS117" s="3"/>
      <c r="AT117" s="3"/>
      <c r="AU117" s="3"/>
      <c r="AV117" s="3"/>
      <c r="AW117" s="3"/>
      <c r="AX117" s="3"/>
      <c r="AY117" s="3"/>
      <c r="AZ117" s="3"/>
      <c r="BA117" s="3"/>
    </row>
    <row r="118" spans="1:53" ht="15.75" customHeight="1" x14ac:dyDescent="0.25">
      <c r="A118" s="3"/>
      <c r="B118" s="60"/>
      <c r="C118" s="60"/>
      <c r="D118" s="60"/>
      <c r="E118" s="3"/>
      <c r="F118" s="3"/>
      <c r="G118" s="3"/>
      <c r="H118" s="3"/>
      <c r="I118" s="3"/>
      <c r="J118" s="3"/>
      <c r="K118" s="1819"/>
      <c r="L118" s="1819"/>
      <c r="M118" s="908"/>
      <c r="N118" s="3"/>
      <c r="O118" s="3"/>
      <c r="P118" s="3"/>
      <c r="Q118" s="3"/>
      <c r="R118" s="3"/>
      <c r="S118" s="1819"/>
      <c r="T118" s="1427"/>
      <c r="U118" s="3"/>
      <c r="V118" s="3"/>
      <c r="W118" s="1820"/>
      <c r="X118" s="3"/>
      <c r="Y118" s="3"/>
      <c r="Z118" s="1821"/>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row>
    <row r="119" spans="1:53" ht="15.75" customHeight="1" x14ac:dyDescent="0.25">
      <c r="A119" s="3"/>
      <c r="B119" s="60"/>
      <c r="C119" s="60"/>
      <c r="D119" s="60"/>
      <c r="E119" s="3"/>
      <c r="F119" s="3"/>
      <c r="G119" s="3"/>
      <c r="H119" s="3"/>
      <c r="I119" s="3"/>
      <c r="J119" s="3"/>
      <c r="K119" s="1819"/>
      <c r="L119" s="1819"/>
      <c r="M119" s="908"/>
      <c r="N119" s="3"/>
      <c r="O119" s="3"/>
      <c r="P119" s="3"/>
      <c r="Q119" s="3"/>
      <c r="R119" s="3"/>
      <c r="S119" s="1819"/>
      <c r="T119" s="1427"/>
      <c r="U119" s="3"/>
      <c r="V119" s="3"/>
      <c r="W119" s="1820"/>
      <c r="X119" s="3"/>
      <c r="Y119" s="3"/>
      <c r="Z119" s="1821"/>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row>
    <row r="120" spans="1:53" ht="15.75" customHeight="1" x14ac:dyDescent="0.25">
      <c r="A120" s="3"/>
      <c r="B120" s="1536"/>
      <c r="C120" s="1136"/>
      <c r="D120" s="1136"/>
      <c r="E120" s="1136"/>
      <c r="F120" s="1136"/>
      <c r="G120" s="1537"/>
      <c r="H120" s="1067"/>
      <c r="I120" s="1538"/>
      <c r="J120" s="1067"/>
      <c r="K120" s="1539"/>
      <c r="L120" s="12"/>
      <c r="M120" s="1539"/>
      <c r="N120" s="12"/>
      <c r="O120" s="12"/>
      <c r="P120" s="12"/>
      <c r="Q120" s="12"/>
      <c r="R120" s="12"/>
      <c r="S120" s="12"/>
      <c r="T120" s="12"/>
      <c r="U120" s="12"/>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row>
    <row r="121" spans="1:53" ht="15.75" customHeight="1" x14ac:dyDescent="0.25">
      <c r="A121" s="30"/>
      <c r="B121" s="1723" t="s">
        <v>1561</v>
      </c>
      <c r="C121" s="1725"/>
      <c r="D121" s="1725"/>
      <c r="E121" s="1725"/>
      <c r="F121" s="1726"/>
      <c r="G121" s="1727"/>
      <c r="H121" s="1728"/>
      <c r="I121" s="1729"/>
      <c r="J121" s="1728"/>
      <c r="K121" s="1730"/>
      <c r="L121" s="1731"/>
      <c r="M121" s="1730"/>
      <c r="N121" s="1731"/>
      <c r="O121" s="1731"/>
      <c r="P121" s="1731"/>
      <c r="Q121" s="1731"/>
      <c r="R121" s="1731"/>
      <c r="S121" s="1731"/>
      <c r="T121" s="1731"/>
      <c r="U121" s="1731"/>
      <c r="V121" s="1731"/>
      <c r="W121" s="1731"/>
      <c r="X121" s="1731"/>
      <c r="Y121" s="1732"/>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row>
    <row r="122" spans="1:53" ht="15.75" customHeight="1" x14ac:dyDescent="0.25">
      <c r="A122" s="3"/>
      <c r="B122" s="1827" t="s">
        <v>1562</v>
      </c>
      <c r="C122" s="1828">
        <v>2011</v>
      </c>
      <c r="D122" s="170"/>
      <c r="E122" s="170"/>
      <c r="F122" s="170"/>
      <c r="G122" s="170"/>
      <c r="H122" s="170"/>
      <c r="I122" s="170"/>
      <c r="J122" s="170"/>
      <c r="K122" s="170"/>
      <c r="L122" s="170"/>
      <c r="M122" s="170"/>
      <c r="N122" s="3"/>
      <c r="O122" s="3"/>
      <c r="P122" s="3"/>
      <c r="Q122" s="3"/>
      <c r="R122" s="3"/>
      <c r="S122" s="3"/>
      <c r="T122" s="3"/>
      <c r="U122" s="3"/>
      <c r="V122" s="12"/>
      <c r="W122" s="12"/>
      <c r="X122" s="12"/>
      <c r="Y122" s="498"/>
      <c r="Z122" s="3"/>
      <c r="AA122" s="3"/>
      <c r="AB122" s="3"/>
      <c r="AC122" s="3"/>
      <c r="AD122" s="3"/>
      <c r="AE122" s="864"/>
      <c r="AF122" s="3"/>
      <c r="AG122" s="3"/>
      <c r="AH122" s="3"/>
      <c r="AI122" s="3"/>
      <c r="AJ122" s="3"/>
      <c r="AK122" s="3"/>
      <c r="AL122" s="3"/>
      <c r="AM122" s="3"/>
      <c r="AN122" s="3"/>
      <c r="AO122" s="3"/>
      <c r="AP122" s="3"/>
      <c r="AQ122" s="3"/>
      <c r="AR122" s="3"/>
      <c r="AS122" s="3"/>
      <c r="AT122" s="3"/>
      <c r="AU122" s="3"/>
      <c r="AV122" s="3"/>
      <c r="AW122" s="3"/>
      <c r="AX122" s="3"/>
      <c r="AY122" s="3"/>
      <c r="AZ122" s="3"/>
      <c r="BA122" s="3"/>
    </row>
    <row r="123" spans="1:53" ht="45" customHeight="1" x14ac:dyDescent="0.2">
      <c r="A123" s="1429"/>
      <c r="B123" s="1831" t="s">
        <v>1563</v>
      </c>
      <c r="C123" s="1832" t="s">
        <v>1564</v>
      </c>
      <c r="D123" s="1832"/>
      <c r="E123" s="1833" t="s">
        <v>1565</v>
      </c>
      <c r="F123" s="1834"/>
      <c r="G123" s="1835" t="s">
        <v>1566</v>
      </c>
      <c r="H123" s="1837"/>
      <c r="I123" s="1838" t="s">
        <v>1569</v>
      </c>
      <c r="J123" s="1837"/>
      <c r="K123" s="1832" t="s">
        <v>1570</v>
      </c>
      <c r="L123" s="1832"/>
      <c r="M123" s="1832" t="s">
        <v>1571</v>
      </c>
      <c r="N123" s="1832"/>
      <c r="O123" s="1835" t="s">
        <v>1572</v>
      </c>
      <c r="P123" s="1832"/>
      <c r="Q123" s="1835" t="s">
        <v>1573</v>
      </c>
      <c r="R123" s="1839"/>
      <c r="S123" s="1840" t="s">
        <v>1574</v>
      </c>
      <c r="T123" s="1839"/>
      <c r="U123" s="1840" t="s">
        <v>1575</v>
      </c>
      <c r="V123" s="1839"/>
      <c r="W123" s="1835" t="s">
        <v>1576</v>
      </c>
      <c r="X123" s="1837"/>
      <c r="Y123" s="1841" t="s">
        <v>1577</v>
      </c>
      <c r="Z123" s="1429"/>
      <c r="AA123" s="1429"/>
      <c r="AB123" s="1429"/>
      <c r="AC123" s="1429"/>
      <c r="AD123" s="1429"/>
      <c r="AE123" s="1429"/>
      <c r="AF123" s="1429"/>
      <c r="AG123" s="1429"/>
      <c r="AH123" s="1429"/>
      <c r="AI123" s="1429"/>
      <c r="AJ123" s="1429"/>
      <c r="AK123" s="1429"/>
      <c r="AL123" s="1429"/>
      <c r="AM123" s="1429"/>
      <c r="AN123" s="1429"/>
      <c r="AO123" s="1429"/>
      <c r="AP123" s="1429"/>
      <c r="AQ123" s="1429"/>
      <c r="AR123" s="1429"/>
      <c r="AS123" s="1429"/>
      <c r="AT123" s="1429"/>
      <c r="AU123" s="1429"/>
      <c r="AV123" s="1429"/>
      <c r="AW123" s="1429"/>
      <c r="AX123" s="1429"/>
      <c r="AY123" s="1429"/>
      <c r="AZ123" s="1429"/>
      <c r="BA123" s="1429"/>
    </row>
    <row r="124" spans="1:53" ht="15.75" customHeight="1" x14ac:dyDescent="0.25">
      <c r="A124" s="3"/>
      <c r="B124" s="1842" t="s">
        <v>1578</v>
      </c>
      <c r="C124" s="1843">
        <f>40660.39*907.2</f>
        <v>36887105.807999998</v>
      </c>
      <c r="D124" s="624"/>
      <c r="E124" s="1844">
        <f>$C140*0.35+$C124*0.65</f>
        <v>33945254.431199998</v>
      </c>
      <c r="F124" s="1845"/>
      <c r="G124" s="1846">
        <v>0.1</v>
      </c>
      <c r="H124" s="81"/>
      <c r="I124" s="81"/>
      <c r="J124" s="81"/>
      <c r="K124" s="1847">
        <f>($E124*(1-G124))</f>
        <v>30550728.988079999</v>
      </c>
      <c r="L124" s="1847"/>
      <c r="M124" s="1847">
        <f>($E124*G124)</f>
        <v>3394525.44312</v>
      </c>
      <c r="N124" s="1847"/>
      <c r="O124" s="1090">
        <f>(K124+K125)/1000*0.01*44/28</f>
        <v>493.6067891555428</v>
      </c>
      <c r="P124" s="1847"/>
      <c r="Q124" s="1090">
        <f>(M124+M125)/1000*0.01*44/28</f>
        <v>56.723518941885722</v>
      </c>
      <c r="R124" s="1848"/>
      <c r="S124" s="1849">
        <f>O124*$Z$8*12/44*10^-6</f>
        <v>3.6751269119853588E-2</v>
      </c>
      <c r="T124" s="1850"/>
      <c r="U124" s="1849">
        <f>Q124*$Z$8*12/44*10^-6</f>
        <v>4.2233238194004001E-3</v>
      </c>
      <c r="V124" s="1848"/>
      <c r="W124" s="1851">
        <f>S124/(12/44)</f>
        <v>0.13475465343946316</v>
      </c>
      <c r="X124" s="597"/>
      <c r="Y124" s="1770">
        <f>U124/(12/44)</f>
        <v>1.5485520671134801E-2</v>
      </c>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row>
    <row r="125" spans="1:53" ht="15.75" customHeight="1" x14ac:dyDescent="0.25">
      <c r="A125" s="3"/>
      <c r="B125" s="1842" t="s">
        <v>1582</v>
      </c>
      <c r="C125" s="1049">
        <f>E125</f>
        <v>26724473</v>
      </c>
      <c r="D125" s="1049"/>
      <c r="E125" s="1844">
        <f>SUM(E126:E132)</f>
        <v>26724473</v>
      </c>
      <c r="F125" s="1852"/>
      <c r="G125" s="1853">
        <v>0.2</v>
      </c>
      <c r="H125" s="210"/>
      <c r="I125" s="210">
        <v>4.1000000000000002E-2</v>
      </c>
      <c r="J125" s="210"/>
      <c r="K125" s="1854">
        <f>$E134*I125*(1-G125)</f>
        <v>860612.14000000013</v>
      </c>
      <c r="L125" s="1854"/>
      <c r="M125" s="1854">
        <f>$E134*G125*(I125)</f>
        <v>215153.035</v>
      </c>
      <c r="N125" s="1854"/>
      <c r="O125" s="1854"/>
      <c r="P125" s="1854"/>
      <c r="Q125" s="1854"/>
      <c r="R125" s="1855"/>
      <c r="S125" s="1855"/>
      <c r="T125" s="1855"/>
      <c r="U125" s="1855"/>
      <c r="V125" s="1855"/>
      <c r="W125" s="1855"/>
      <c r="X125" s="210"/>
      <c r="Y125" s="215"/>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row>
    <row r="126" spans="1:53" ht="15.75" customHeight="1" x14ac:dyDescent="0.25">
      <c r="A126" s="3"/>
      <c r="B126" s="745" t="s">
        <v>1586</v>
      </c>
      <c r="C126" s="1843"/>
      <c r="D126" s="624"/>
      <c r="E126" s="1844">
        <f t="shared" ref="E126:E127" si="64">$C126*0.65+$C142*0.35</f>
        <v>0</v>
      </c>
      <c r="F126" s="170"/>
      <c r="G126" s="905"/>
      <c r="H126" s="170"/>
      <c r="I126" s="3"/>
      <c r="J126" s="3"/>
      <c r="K126" s="905"/>
      <c r="L126" s="905"/>
      <c r="M126" s="905"/>
      <c r="N126" s="905"/>
      <c r="O126" s="905"/>
      <c r="P126" s="864"/>
      <c r="Q126" s="864"/>
      <c r="R126" s="864"/>
      <c r="S126" s="864"/>
      <c r="T126" s="864"/>
      <c r="U126" s="864"/>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row>
    <row r="127" spans="1:53" ht="15.75" customHeight="1" x14ac:dyDescent="0.25">
      <c r="A127" s="3"/>
      <c r="B127" s="745" t="s">
        <v>1587</v>
      </c>
      <c r="C127" s="1843"/>
      <c r="D127" s="624"/>
      <c r="E127" s="1844">
        <f t="shared" si="64"/>
        <v>0</v>
      </c>
      <c r="F127" s="170"/>
      <c r="G127" s="170"/>
      <c r="H127" s="170"/>
      <c r="I127" s="905"/>
      <c r="J127" s="905"/>
      <c r="K127" s="905"/>
      <c r="L127" s="905"/>
      <c r="M127" s="905"/>
      <c r="N127" s="864"/>
      <c r="O127" s="864"/>
      <c r="P127" s="864"/>
      <c r="Q127" s="864"/>
      <c r="R127" s="864"/>
      <c r="S127" s="864"/>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row>
    <row r="128" spans="1:53" ht="15.75" customHeight="1" x14ac:dyDescent="0.25">
      <c r="A128" s="3"/>
      <c r="B128" s="745" t="s">
        <v>1590</v>
      </c>
      <c r="C128" s="1843">
        <v>486298</v>
      </c>
      <c r="D128" s="624"/>
      <c r="E128" s="1844">
        <f t="shared" ref="E128:E129" si="65">C128</f>
        <v>486298</v>
      </c>
      <c r="F128" s="170"/>
      <c r="G128" s="170"/>
      <c r="H128" s="170"/>
      <c r="I128" s="905"/>
      <c r="J128" s="905"/>
      <c r="K128" s="905"/>
      <c r="L128" s="905"/>
      <c r="M128" s="905"/>
      <c r="N128" s="864"/>
      <c r="O128" s="864"/>
      <c r="P128" s="864"/>
      <c r="Q128" s="864"/>
      <c r="R128" s="864"/>
      <c r="S128" s="864"/>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row>
    <row r="129" spans="1:81" ht="15.75" customHeight="1" x14ac:dyDescent="0.25">
      <c r="A129" s="3"/>
      <c r="B129" s="745" t="s">
        <v>1591</v>
      </c>
      <c r="C129" s="1843">
        <v>25853131</v>
      </c>
      <c r="D129" s="624"/>
      <c r="E129" s="1844">
        <f t="shared" si="65"/>
        <v>25853131</v>
      </c>
      <c r="F129" s="170"/>
      <c r="G129" s="170"/>
      <c r="H129" s="170"/>
      <c r="I129" s="905"/>
      <c r="J129" s="905"/>
      <c r="K129" s="905"/>
      <c r="L129" s="905"/>
      <c r="M129" s="905"/>
      <c r="N129" s="864"/>
      <c r="O129" s="864"/>
      <c r="P129" s="864"/>
      <c r="Q129" s="864"/>
      <c r="R129" s="864"/>
      <c r="S129" s="864"/>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row>
    <row r="130" spans="1:81" ht="15.75" customHeight="1" x14ac:dyDescent="0.25">
      <c r="A130" s="3"/>
      <c r="B130" s="745" t="s">
        <v>1592</v>
      </c>
      <c r="C130" s="1843"/>
      <c r="D130" s="624"/>
      <c r="E130" s="1844">
        <f t="shared" ref="E130:E131" si="66">$C130*0.65+$C146*0.35</f>
        <v>0</v>
      </c>
      <c r="F130" s="170"/>
      <c r="G130" s="170"/>
      <c r="H130" s="170"/>
      <c r="I130" s="905"/>
      <c r="J130" s="905"/>
      <c r="K130" s="905"/>
      <c r="L130" s="905"/>
      <c r="M130" s="905"/>
      <c r="N130" s="864"/>
      <c r="O130" s="864"/>
      <c r="P130" s="864"/>
      <c r="Q130" s="864"/>
      <c r="R130" s="864"/>
      <c r="S130" s="864"/>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row>
    <row r="131" spans="1:81" ht="15.75" customHeight="1" x14ac:dyDescent="0.25">
      <c r="A131" s="3"/>
      <c r="B131" s="745" t="s">
        <v>1595</v>
      </c>
      <c r="C131" s="1843"/>
      <c r="D131" s="624"/>
      <c r="E131" s="1844">
        <f t="shared" si="66"/>
        <v>0</v>
      </c>
      <c r="F131" s="170"/>
      <c r="G131" s="170"/>
      <c r="H131" s="170"/>
      <c r="I131" s="905"/>
      <c r="J131" s="905"/>
      <c r="K131" s="905"/>
      <c r="L131" s="905"/>
      <c r="M131" s="905"/>
      <c r="N131" s="864"/>
      <c r="O131" s="864"/>
      <c r="P131" s="864"/>
      <c r="Q131" s="864"/>
      <c r="R131" s="864"/>
      <c r="S131" s="864"/>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row>
    <row r="132" spans="1:81" ht="15.75" customHeight="1" x14ac:dyDescent="0.25">
      <c r="A132" s="3"/>
      <c r="B132" s="745" t="s">
        <v>1596</v>
      </c>
      <c r="C132" s="1843">
        <v>385044</v>
      </c>
      <c r="D132" s="624"/>
      <c r="E132" s="1844">
        <f>C132</f>
        <v>385044</v>
      </c>
      <c r="F132" s="170"/>
      <c r="G132" s="170"/>
      <c r="H132" s="170"/>
      <c r="I132" s="905"/>
      <c r="J132" s="1856"/>
      <c r="K132" s="905"/>
      <c r="L132" s="905"/>
      <c r="M132" s="905"/>
      <c r="N132" s="864"/>
      <c r="O132" s="864"/>
      <c r="P132" s="864"/>
      <c r="Q132" s="864"/>
      <c r="R132" s="864"/>
      <c r="S132" s="864"/>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row>
    <row r="133" spans="1:81" ht="15.75" customHeight="1" x14ac:dyDescent="0.25">
      <c r="A133" s="3"/>
      <c r="B133" s="1857" t="s">
        <v>1597</v>
      </c>
      <c r="C133" s="1483">
        <f>C128/C125</f>
        <v>1.81967292675893E-2</v>
      </c>
      <c r="D133" s="624"/>
      <c r="E133" s="1858">
        <f>IF(E125=0,0,E128/E125)</f>
        <v>1.81967292675893E-2</v>
      </c>
      <c r="F133" s="170"/>
      <c r="G133" s="170"/>
      <c r="H133" s="170"/>
      <c r="I133" s="170"/>
      <c r="J133" s="170"/>
      <c r="K133" s="170"/>
      <c r="L133" s="170"/>
      <c r="M133" s="170"/>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row>
    <row r="134" spans="1:81" ht="15.75" customHeight="1" x14ac:dyDescent="0.25">
      <c r="A134" s="3"/>
      <c r="B134" s="1857" t="s">
        <v>1599</v>
      </c>
      <c r="C134" s="624">
        <f>C125*(1-C133)</f>
        <v>26238175</v>
      </c>
      <c r="D134" s="624"/>
      <c r="E134" s="1859">
        <f>E125*(1-E133)</f>
        <v>26238175</v>
      </c>
      <c r="F134" s="170"/>
      <c r="G134" s="170"/>
      <c r="H134" s="170"/>
      <c r="I134" s="170"/>
      <c r="J134" s="170"/>
      <c r="K134" s="170"/>
      <c r="L134" s="170"/>
      <c r="M134" s="170"/>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row>
    <row r="135" spans="1:81" ht="15.75" customHeight="1" x14ac:dyDescent="0.25">
      <c r="A135" s="3"/>
      <c r="B135" s="1857" t="s">
        <v>1601</v>
      </c>
      <c r="C135" s="624">
        <f>C125*C133</f>
        <v>486298</v>
      </c>
      <c r="D135" s="624"/>
      <c r="E135" s="752">
        <f>E125*E133</f>
        <v>486298</v>
      </c>
      <c r="F135" s="170"/>
      <c r="G135" s="170"/>
      <c r="H135" s="170"/>
      <c r="I135" s="170"/>
      <c r="J135" s="170"/>
      <c r="K135" s="170"/>
      <c r="L135" s="170"/>
      <c r="M135" s="170"/>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row>
    <row r="136" spans="1:81" ht="15.75" customHeight="1" x14ac:dyDescent="0.25">
      <c r="A136" s="3"/>
      <c r="B136" s="201"/>
      <c r="C136" s="624"/>
      <c r="D136" s="624"/>
      <c r="E136" s="752"/>
      <c r="F136" s="170"/>
      <c r="G136" s="170"/>
      <c r="H136" s="170"/>
      <c r="I136" s="170"/>
      <c r="J136" s="170"/>
      <c r="K136" s="170"/>
      <c r="L136" s="170"/>
      <c r="M136" s="170"/>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row>
    <row r="137" spans="1:81" ht="15.75" customHeight="1" x14ac:dyDescent="0.25">
      <c r="A137" s="3"/>
      <c r="B137" s="774"/>
      <c r="C137" s="775"/>
      <c r="D137" s="81"/>
      <c r="E137" s="206"/>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row>
    <row r="138" spans="1:81" ht="15.75" customHeight="1" x14ac:dyDescent="0.25">
      <c r="A138" s="3"/>
      <c r="B138" s="1860" t="s">
        <v>1562</v>
      </c>
      <c r="C138" s="1861">
        <v>2012</v>
      </c>
      <c r="D138" s="1862"/>
      <c r="E138" s="1863"/>
      <c r="F138" s="864"/>
      <c r="G138" s="864"/>
      <c r="H138" s="864"/>
      <c r="I138" s="864"/>
      <c r="J138" s="864"/>
      <c r="K138" s="864"/>
      <c r="L138" s="864"/>
      <c r="M138" s="864"/>
      <c r="N138" s="864"/>
      <c r="O138" s="864"/>
      <c r="P138" s="864"/>
      <c r="Q138" s="864"/>
      <c r="R138" s="864"/>
      <c r="S138" s="864"/>
      <c r="T138" s="864"/>
      <c r="U138" s="864"/>
      <c r="V138" s="864"/>
      <c r="W138" s="864"/>
      <c r="X138" s="864"/>
      <c r="Y138" s="864"/>
      <c r="Z138" s="864"/>
      <c r="AA138" s="864"/>
      <c r="AB138" s="864"/>
      <c r="AC138" s="864"/>
      <c r="AD138" s="864"/>
      <c r="AE138" s="864"/>
      <c r="AF138" s="3"/>
      <c r="AG138" s="3"/>
      <c r="AH138" s="3"/>
      <c r="AI138" s="3"/>
      <c r="AJ138" s="3"/>
      <c r="AK138" s="3"/>
      <c r="AL138" s="3"/>
      <c r="AM138" s="3"/>
      <c r="AN138" s="3"/>
      <c r="AO138" s="3"/>
      <c r="AP138" s="3"/>
      <c r="AQ138" s="3"/>
      <c r="AR138" s="3"/>
      <c r="AS138" s="3"/>
      <c r="AT138" s="3"/>
      <c r="AU138" s="3"/>
      <c r="AV138" s="3"/>
      <c r="AW138" s="3"/>
      <c r="AX138" s="3"/>
      <c r="AY138" s="3"/>
      <c r="AZ138" s="3"/>
      <c r="BA138" s="3"/>
    </row>
    <row r="139" spans="1:81" ht="30" customHeight="1" x14ac:dyDescent="0.25">
      <c r="A139" s="1429"/>
      <c r="B139" s="1864" t="s">
        <v>1563</v>
      </c>
      <c r="C139" s="1865" t="s">
        <v>1604</v>
      </c>
      <c r="D139" s="1866"/>
      <c r="E139" s="1867"/>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row>
    <row r="140" spans="1:81" ht="15.75" customHeight="1" x14ac:dyDescent="0.25">
      <c r="A140" s="3"/>
      <c r="B140" s="1842" t="s">
        <v>1578</v>
      </c>
      <c r="C140" s="1843">
        <f>31395.3*907.2</f>
        <v>28481816.16</v>
      </c>
      <c r="D140" s="624"/>
      <c r="E140" s="752"/>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row>
    <row r="141" spans="1:81" ht="15.75" customHeight="1" x14ac:dyDescent="0.25">
      <c r="A141" s="3"/>
      <c r="B141" s="1842" t="s">
        <v>1582</v>
      </c>
      <c r="C141" s="1049"/>
      <c r="D141" s="1049"/>
      <c r="E141" s="165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row>
    <row r="142" spans="1:81" ht="15.75" customHeight="1" x14ac:dyDescent="0.25">
      <c r="A142" s="3"/>
      <c r="B142" s="745" t="s">
        <v>1586</v>
      </c>
      <c r="C142" s="1843"/>
      <c r="D142" s="624"/>
      <c r="E142" s="752"/>
      <c r="F142" s="170"/>
      <c r="G142" s="170"/>
      <c r="H142" s="905"/>
      <c r="I142" s="905"/>
      <c r="J142" s="905"/>
      <c r="K142" s="905"/>
      <c r="L142" s="905"/>
      <c r="M142" s="864"/>
      <c r="N142" s="864"/>
      <c r="O142" s="864"/>
      <c r="P142" s="864"/>
      <c r="Q142" s="864"/>
      <c r="R142" s="864"/>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row>
    <row r="143" spans="1:81" ht="15.75" customHeight="1" x14ac:dyDescent="0.25">
      <c r="A143" s="3"/>
      <c r="B143" s="745" t="s">
        <v>1587</v>
      </c>
      <c r="C143" s="1843"/>
      <c r="D143" s="624"/>
      <c r="E143" s="752"/>
      <c r="F143" s="170"/>
      <c r="G143" s="170"/>
      <c r="H143" s="905"/>
      <c r="I143" s="905"/>
      <c r="J143" s="905"/>
      <c r="K143" s="905"/>
      <c r="L143" s="905"/>
      <c r="M143" s="864"/>
      <c r="N143" s="864"/>
      <c r="O143" s="864"/>
      <c r="P143" s="864"/>
      <c r="Q143" s="864"/>
      <c r="R143" s="864"/>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row>
    <row r="144" spans="1:81" ht="15.75" customHeight="1" x14ac:dyDescent="0.25">
      <c r="A144" s="3"/>
      <c r="B144" s="745" t="s">
        <v>1590</v>
      </c>
      <c r="C144" s="1843"/>
      <c r="D144" s="624"/>
      <c r="E144" s="752"/>
      <c r="F144" s="170"/>
      <c r="G144" s="170"/>
      <c r="H144" s="905"/>
      <c r="I144" s="905"/>
      <c r="J144" s="905"/>
      <c r="K144" s="905"/>
      <c r="L144" s="905"/>
      <c r="M144" s="864"/>
      <c r="N144" s="864"/>
      <c r="O144" s="864"/>
      <c r="P144" s="864"/>
      <c r="Q144" s="864"/>
      <c r="R144" s="864"/>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c r="BG144" s="3"/>
      <c r="BH144" s="3"/>
      <c r="BI144" s="3"/>
      <c r="BJ144" s="3"/>
      <c r="BK144" s="3"/>
      <c r="BL144" s="3"/>
      <c r="BM144" s="3"/>
      <c r="BN144" s="3"/>
      <c r="BO144" s="3"/>
      <c r="BP144" s="3"/>
      <c r="BQ144" s="3"/>
      <c r="BR144" s="3"/>
      <c r="BS144" s="3"/>
      <c r="BT144" s="3"/>
      <c r="BU144" s="3"/>
      <c r="BV144" s="3"/>
      <c r="BW144" s="3"/>
      <c r="BX144" s="3"/>
      <c r="BY144" s="3"/>
      <c r="BZ144" s="3"/>
      <c r="CA144" s="3"/>
      <c r="CB144" s="3"/>
      <c r="CC144" s="3"/>
    </row>
    <row r="145" spans="1:81" ht="15.75" customHeight="1" x14ac:dyDescent="0.25">
      <c r="A145" s="3"/>
      <c r="B145" s="745" t="s">
        <v>1591</v>
      </c>
      <c r="C145" s="1843"/>
      <c r="D145" s="624"/>
      <c r="E145" s="752"/>
      <c r="F145" s="170"/>
      <c r="G145" s="170"/>
      <c r="H145" s="905"/>
      <c r="I145" s="905"/>
      <c r="J145" s="905"/>
      <c r="K145" s="905"/>
      <c r="L145" s="905"/>
      <c r="M145" s="864"/>
      <c r="N145" s="864"/>
      <c r="O145" s="864"/>
      <c r="P145" s="864"/>
      <c r="Q145" s="864"/>
      <c r="R145" s="864"/>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c r="BG145" s="3"/>
      <c r="BH145" s="3"/>
      <c r="BI145" s="3"/>
      <c r="BJ145" s="3"/>
      <c r="BK145" s="3"/>
      <c r="BL145" s="3"/>
      <c r="BM145" s="3"/>
      <c r="BN145" s="3"/>
      <c r="BO145" s="3"/>
      <c r="BP145" s="3"/>
      <c r="BQ145" s="3"/>
      <c r="BR145" s="3"/>
      <c r="BS145" s="3"/>
      <c r="BT145" s="3"/>
      <c r="BU145" s="3"/>
      <c r="BV145" s="3"/>
      <c r="BW145" s="3"/>
      <c r="BX145" s="3"/>
      <c r="BY145" s="3"/>
      <c r="BZ145" s="3"/>
      <c r="CA145" s="3"/>
      <c r="CB145" s="3"/>
      <c r="CC145" s="3"/>
    </row>
    <row r="146" spans="1:81" ht="15.75" customHeight="1" x14ac:dyDescent="0.25">
      <c r="A146" s="3"/>
      <c r="B146" s="745" t="s">
        <v>1592</v>
      </c>
      <c r="C146" s="1843"/>
      <c r="D146" s="624"/>
      <c r="E146" s="752"/>
      <c r="F146" s="170"/>
      <c r="G146" s="170"/>
      <c r="H146" s="905"/>
      <c r="I146" s="905"/>
      <c r="J146" s="905"/>
      <c r="K146" s="905"/>
      <c r="L146" s="905"/>
      <c r="M146" s="864"/>
      <c r="N146" s="864"/>
      <c r="O146" s="864"/>
      <c r="P146" s="864"/>
      <c r="Q146" s="864"/>
      <c r="R146" s="864"/>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c r="BG146" s="3"/>
      <c r="BH146" s="3"/>
      <c r="BI146" s="3"/>
      <c r="BJ146" s="3"/>
      <c r="BK146" s="3"/>
      <c r="BL146" s="3"/>
      <c r="BM146" s="3"/>
      <c r="BN146" s="3"/>
      <c r="BO146" s="3"/>
      <c r="BP146" s="3"/>
      <c r="BQ146" s="3"/>
      <c r="BR146" s="3"/>
      <c r="BS146" s="3"/>
      <c r="BT146" s="3"/>
      <c r="BU146" s="3"/>
      <c r="BV146" s="3"/>
      <c r="BW146" s="3"/>
      <c r="BX146" s="3"/>
      <c r="BY146" s="3"/>
      <c r="BZ146" s="3"/>
      <c r="CA146" s="3"/>
      <c r="CB146" s="3"/>
      <c r="CC146" s="3"/>
    </row>
    <row r="147" spans="1:81" ht="15.75" customHeight="1" x14ac:dyDescent="0.25">
      <c r="A147" s="3"/>
      <c r="B147" s="745" t="s">
        <v>1595</v>
      </c>
      <c r="C147" s="1843"/>
      <c r="D147" s="624"/>
      <c r="E147" s="752"/>
      <c r="F147" s="170"/>
      <c r="G147" s="170"/>
      <c r="H147" s="905"/>
      <c r="I147" s="905"/>
      <c r="J147" s="905"/>
      <c r="K147" s="905"/>
      <c r="L147" s="905"/>
      <c r="M147" s="864"/>
      <c r="N147" s="864"/>
      <c r="O147" s="864"/>
      <c r="P147" s="864"/>
      <c r="Q147" s="864"/>
      <c r="R147" s="864"/>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c r="BG147" s="3"/>
      <c r="BH147" s="3"/>
      <c r="BI147" s="3"/>
      <c r="BJ147" s="3"/>
      <c r="BK147" s="3"/>
      <c r="BL147" s="3"/>
      <c r="BM147" s="3"/>
      <c r="BN147" s="3"/>
      <c r="BO147" s="3"/>
      <c r="BP147" s="3"/>
      <c r="BQ147" s="3"/>
      <c r="BR147" s="3"/>
      <c r="BS147" s="3"/>
      <c r="BT147" s="3"/>
      <c r="BU147" s="3"/>
      <c r="BV147" s="3"/>
      <c r="BW147" s="3"/>
      <c r="BX147" s="3"/>
      <c r="BY147" s="3"/>
      <c r="BZ147" s="3"/>
      <c r="CA147" s="3"/>
      <c r="CB147" s="3"/>
      <c r="CC147" s="3"/>
    </row>
    <row r="148" spans="1:81" ht="15.75" customHeight="1" x14ac:dyDescent="0.25">
      <c r="A148" s="3"/>
      <c r="B148" s="745" t="s">
        <v>1596</v>
      </c>
      <c r="C148" s="1843"/>
      <c r="D148" s="624"/>
      <c r="E148" s="752"/>
      <c r="F148" s="170"/>
      <c r="G148" s="170"/>
      <c r="H148" s="905"/>
      <c r="I148" s="1856"/>
      <c r="J148" s="905"/>
      <c r="K148" s="905"/>
      <c r="L148" s="905"/>
      <c r="M148" s="864"/>
      <c r="N148" s="864"/>
      <c r="O148" s="864"/>
      <c r="P148" s="864"/>
      <c r="Q148" s="864"/>
      <c r="R148" s="864"/>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c r="BG148" s="3"/>
      <c r="BH148" s="3"/>
      <c r="BI148" s="3"/>
      <c r="BJ148" s="3"/>
      <c r="BK148" s="3"/>
      <c r="BL148" s="3"/>
      <c r="BM148" s="3"/>
      <c r="BN148" s="3"/>
      <c r="BO148" s="3"/>
      <c r="BP148" s="3"/>
      <c r="BQ148" s="3"/>
      <c r="BR148" s="3"/>
      <c r="BS148" s="3"/>
      <c r="BT148" s="3"/>
      <c r="BU148" s="3"/>
      <c r="BV148" s="3"/>
      <c r="BW148" s="3"/>
      <c r="BX148" s="3"/>
      <c r="BY148" s="3"/>
      <c r="BZ148" s="3"/>
      <c r="CA148" s="3"/>
      <c r="CB148" s="3"/>
      <c r="CC148" s="3"/>
    </row>
    <row r="149" spans="1:81" ht="15.75" customHeight="1" x14ac:dyDescent="0.25">
      <c r="A149" s="3"/>
      <c r="B149" s="1857" t="s">
        <v>1597</v>
      </c>
      <c r="C149" s="1483"/>
      <c r="D149" s="624"/>
      <c r="E149" s="752"/>
      <c r="F149" s="170"/>
      <c r="G149" s="170"/>
      <c r="H149" s="170"/>
      <c r="I149" s="170"/>
      <c r="J149" s="170"/>
      <c r="K149" s="170"/>
      <c r="L149" s="170"/>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c r="BG149" s="3"/>
      <c r="BH149" s="3"/>
      <c r="BI149" s="3"/>
      <c r="BJ149" s="3"/>
      <c r="BK149" s="3"/>
      <c r="BL149" s="3"/>
      <c r="BM149" s="3"/>
      <c r="BN149" s="3"/>
      <c r="BO149" s="3"/>
      <c r="BP149" s="3"/>
      <c r="BQ149" s="3"/>
      <c r="BR149" s="3"/>
      <c r="BS149" s="3"/>
      <c r="BT149" s="3"/>
      <c r="BU149" s="3"/>
      <c r="BV149" s="3"/>
      <c r="BW149" s="3"/>
      <c r="BX149" s="3"/>
      <c r="BY149" s="3"/>
      <c r="BZ149" s="3"/>
      <c r="CA149" s="3"/>
      <c r="CB149" s="3"/>
      <c r="CC149" s="3"/>
    </row>
    <row r="150" spans="1:81" ht="15.75" customHeight="1" x14ac:dyDescent="0.25">
      <c r="A150" s="3"/>
      <c r="B150" s="1857" t="s">
        <v>1599</v>
      </c>
      <c r="C150" s="624"/>
      <c r="D150" s="624"/>
      <c r="E150" s="752"/>
      <c r="F150" s="170"/>
      <c r="G150" s="170"/>
      <c r="H150" s="170"/>
      <c r="I150" s="170"/>
      <c r="J150" s="170"/>
      <c r="K150" s="170"/>
      <c r="L150" s="170"/>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c r="BG150" s="3"/>
      <c r="BH150" s="3"/>
      <c r="BI150" s="3"/>
      <c r="BJ150" s="3"/>
      <c r="BK150" s="3"/>
      <c r="BL150" s="3"/>
      <c r="BM150" s="3"/>
      <c r="BN150" s="3"/>
      <c r="BO150" s="3"/>
      <c r="BP150" s="3"/>
      <c r="BQ150" s="3"/>
      <c r="BR150" s="3"/>
      <c r="BS150" s="3"/>
      <c r="BT150" s="3"/>
      <c r="BU150" s="3"/>
      <c r="BV150" s="3"/>
      <c r="BW150" s="3"/>
      <c r="BX150" s="3"/>
      <c r="BY150" s="3"/>
      <c r="BZ150" s="3"/>
      <c r="CA150" s="3"/>
      <c r="CB150" s="3"/>
      <c r="CC150" s="3"/>
    </row>
    <row r="151" spans="1:81" ht="15.75" customHeight="1" x14ac:dyDescent="0.25">
      <c r="A151" s="3"/>
      <c r="B151" s="1873" t="s">
        <v>1601</v>
      </c>
      <c r="C151" s="212"/>
      <c r="D151" s="212"/>
      <c r="E151" s="762"/>
      <c r="F151" s="170"/>
      <c r="G151" s="170"/>
      <c r="H151" s="170"/>
      <c r="I151" s="170"/>
      <c r="J151" s="170"/>
      <c r="K151" s="170"/>
      <c r="L151" s="170"/>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c r="BG151" s="3"/>
      <c r="BH151" s="3"/>
      <c r="BI151" s="3"/>
      <c r="BJ151" s="3"/>
      <c r="BK151" s="3"/>
      <c r="BL151" s="3"/>
      <c r="BM151" s="3"/>
      <c r="BN151" s="3"/>
      <c r="BO151" s="3"/>
      <c r="BP151" s="3"/>
      <c r="BQ151" s="3"/>
      <c r="BR151" s="3"/>
      <c r="BS151" s="3"/>
      <c r="BT151" s="3"/>
      <c r="BU151" s="3"/>
      <c r="BV151" s="3"/>
      <c r="BW151" s="3"/>
      <c r="BX151" s="3"/>
      <c r="BY151" s="3"/>
      <c r="BZ151" s="3"/>
      <c r="CA151" s="3"/>
      <c r="CB151" s="3"/>
      <c r="CC151" s="3"/>
    </row>
    <row r="152" spans="1:81" ht="15.75" customHeight="1" x14ac:dyDescent="0.25">
      <c r="A152" s="3"/>
      <c r="B152" s="1536"/>
      <c r="C152" s="1136"/>
      <c r="D152" s="1136"/>
      <c r="E152" s="1136"/>
      <c r="F152" s="1136"/>
      <c r="G152" s="1537"/>
      <c r="H152" s="1067"/>
      <c r="I152" s="1538"/>
      <c r="J152" s="1067"/>
      <c r="K152" s="1539"/>
      <c r="L152" s="12"/>
      <c r="M152" s="1539"/>
      <c r="N152" s="12"/>
      <c r="O152" s="12"/>
      <c r="P152" s="12"/>
      <c r="Q152" s="12"/>
      <c r="R152" s="12"/>
      <c r="S152" s="12"/>
      <c r="T152" s="12"/>
      <c r="U152" s="12"/>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c r="BG152" s="3"/>
      <c r="BH152" s="3"/>
      <c r="BI152" s="3"/>
      <c r="BJ152" s="3"/>
      <c r="BK152" s="3"/>
      <c r="BL152" s="3"/>
      <c r="BM152" s="3"/>
      <c r="BN152" s="3"/>
      <c r="BO152" s="3"/>
      <c r="BP152" s="3"/>
      <c r="BQ152" s="3"/>
      <c r="BR152" s="3"/>
      <c r="BS152" s="3"/>
      <c r="BT152" s="3"/>
      <c r="BU152" s="3"/>
      <c r="BV152" s="3"/>
      <c r="BW152" s="3"/>
      <c r="BX152" s="3"/>
      <c r="BY152" s="3"/>
      <c r="BZ152" s="3"/>
      <c r="CA152" s="3"/>
      <c r="CB152" s="3"/>
      <c r="CC152" s="3"/>
    </row>
    <row r="153" spans="1:81" ht="15.75" customHeight="1" x14ac:dyDescent="0.25">
      <c r="A153" s="30"/>
      <c r="B153" s="1877" t="s">
        <v>1610</v>
      </c>
      <c r="C153" s="1878"/>
      <c r="D153" s="1878"/>
      <c r="E153" s="1878"/>
      <c r="F153" s="1878"/>
      <c r="G153" s="1880"/>
      <c r="H153" s="1728"/>
      <c r="I153" s="1729"/>
      <c r="J153" s="1728"/>
      <c r="K153" s="1730"/>
      <c r="L153" s="1731"/>
      <c r="M153" s="1730"/>
      <c r="N153" s="1731"/>
      <c r="O153" s="1731"/>
      <c r="P153" s="1731"/>
      <c r="Q153" s="1731"/>
      <c r="R153" s="1731"/>
      <c r="S153" s="1731"/>
      <c r="T153" s="1731"/>
      <c r="U153" s="1731"/>
      <c r="V153" s="1731"/>
      <c r="W153" s="1731"/>
      <c r="X153" s="1731"/>
      <c r="Y153" s="1731"/>
      <c r="Z153" s="1731"/>
      <c r="AA153" s="1732"/>
      <c r="AB153" s="3"/>
      <c r="AC153" s="3"/>
      <c r="AD153" s="3"/>
      <c r="AE153" s="3"/>
      <c r="AF153" s="3"/>
      <c r="AG153" s="3"/>
      <c r="AH153" s="60" t="s">
        <v>1612</v>
      </c>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c r="BG153" s="3"/>
      <c r="BH153" s="3"/>
      <c r="BI153" s="3"/>
      <c r="BJ153" s="3"/>
      <c r="BK153" s="3"/>
      <c r="BL153" s="3"/>
      <c r="BM153" s="3"/>
      <c r="BN153" s="3"/>
      <c r="BO153" s="3"/>
      <c r="BP153" s="3"/>
      <c r="BQ153" s="3"/>
      <c r="BR153" s="3"/>
      <c r="BS153" s="3"/>
      <c r="BT153" s="3"/>
      <c r="BU153" s="3"/>
      <c r="BV153" s="3"/>
      <c r="BW153" s="3"/>
      <c r="BX153" s="3"/>
      <c r="BY153" s="3"/>
      <c r="BZ153" s="3"/>
      <c r="CA153" s="3"/>
      <c r="CB153" s="3"/>
      <c r="CC153" s="3"/>
    </row>
    <row r="154" spans="1:81" ht="15.75" customHeight="1" x14ac:dyDescent="0.25">
      <c r="A154" s="3"/>
      <c r="B154" s="1883"/>
      <c r="C154" s="610"/>
      <c r="D154" s="982"/>
      <c r="E154" s="608"/>
      <c r="F154" s="608"/>
      <c r="G154" s="608"/>
      <c r="H154" s="608"/>
      <c r="I154" s="982"/>
      <c r="J154" s="982"/>
      <c r="K154" s="1884"/>
      <c r="L154" s="1885"/>
      <c r="M154" s="1886" t="s">
        <v>1613</v>
      </c>
      <c r="N154" s="1886"/>
      <c r="O154" s="1887"/>
      <c r="P154" s="1888"/>
      <c r="Q154" s="1889"/>
      <c r="R154" s="735"/>
      <c r="S154" s="1739" t="s">
        <v>1614</v>
      </c>
      <c r="T154" s="1739"/>
      <c r="U154" s="1739"/>
      <c r="V154" s="735"/>
      <c r="W154" s="1891"/>
      <c r="X154" s="608"/>
      <c r="Y154" s="608"/>
      <c r="Z154" s="608"/>
      <c r="AA154" s="1892"/>
      <c r="AB154" s="3"/>
      <c r="AC154" s="3"/>
      <c r="AD154" s="3"/>
      <c r="AE154" s="3"/>
      <c r="AF154" s="3"/>
      <c r="AG154" s="3"/>
      <c r="AH154" s="1893" t="s">
        <v>1616</v>
      </c>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c r="BG154" s="3"/>
      <c r="BH154" s="3"/>
      <c r="BI154" s="3"/>
      <c r="BJ154" s="3"/>
      <c r="BK154" s="3"/>
      <c r="BL154" s="3"/>
      <c r="BM154" s="3"/>
      <c r="BN154" s="3"/>
      <c r="BO154" s="3"/>
      <c r="BP154" s="3"/>
      <c r="BQ154" s="3"/>
      <c r="BR154" s="3"/>
      <c r="BS154" s="3"/>
      <c r="BT154" s="3"/>
      <c r="BU154" s="3"/>
      <c r="BV154" s="3"/>
      <c r="BW154" s="3"/>
      <c r="BX154" s="3"/>
      <c r="BY154" s="3"/>
      <c r="BZ154" s="3"/>
      <c r="CA154" s="3"/>
      <c r="CB154" s="3"/>
      <c r="CC154" s="3"/>
    </row>
    <row r="155" spans="1:81" ht="12.75" customHeight="1" x14ac:dyDescent="0.25">
      <c r="A155" s="3"/>
      <c r="B155" s="1895"/>
      <c r="C155" s="1896" t="s">
        <v>1617</v>
      </c>
      <c r="D155" s="1897"/>
      <c r="E155" s="1897" t="s">
        <v>1618</v>
      </c>
      <c r="F155" s="94"/>
      <c r="G155" s="1897" t="s">
        <v>1619</v>
      </c>
      <c r="H155" s="94"/>
      <c r="I155" s="1897" t="s">
        <v>1620</v>
      </c>
      <c r="J155" s="1899"/>
      <c r="K155" s="1900" t="s">
        <v>1621</v>
      </c>
      <c r="L155" s="1901"/>
      <c r="M155" s="1736" t="s">
        <v>1622</v>
      </c>
      <c r="N155" s="1736"/>
      <c r="O155" s="1744" t="s">
        <v>1623</v>
      </c>
      <c r="P155" s="1174"/>
      <c r="Q155" s="1900" t="s">
        <v>1625</v>
      </c>
      <c r="R155" s="1901"/>
      <c r="S155" s="1736" t="s">
        <v>1626</v>
      </c>
      <c r="T155" s="1736"/>
      <c r="U155" s="1736" t="s">
        <v>1627</v>
      </c>
      <c r="V155" s="1901"/>
      <c r="W155" s="1744" t="s">
        <v>1628</v>
      </c>
      <c r="X155" s="1902"/>
      <c r="Y155" s="1903"/>
      <c r="Z155" s="94"/>
      <c r="AA155" s="1905"/>
      <c r="AB155" s="3"/>
      <c r="AC155" s="3"/>
      <c r="AD155" s="3"/>
      <c r="AE155" s="3"/>
      <c r="AF155" s="3"/>
      <c r="AG155" s="3"/>
      <c r="AH155" s="2363" t="s">
        <v>1631</v>
      </c>
      <c r="AI155" s="2364"/>
      <c r="AJ155" s="2364"/>
      <c r="AK155" s="2364"/>
      <c r="AL155" s="2364"/>
      <c r="AM155" s="2364"/>
      <c r="AN155" s="2364"/>
      <c r="AO155" s="3"/>
      <c r="AP155" s="2363" t="s">
        <v>1634</v>
      </c>
      <c r="AQ155" s="2364"/>
      <c r="AR155" s="2364"/>
      <c r="AS155" s="2364"/>
      <c r="AT155" s="3"/>
      <c r="AU155" s="2363" t="s">
        <v>1639</v>
      </c>
      <c r="AV155" s="2364"/>
      <c r="AW155" s="3"/>
      <c r="AX155" s="2363" t="s">
        <v>1640</v>
      </c>
      <c r="AY155" s="2364"/>
      <c r="AZ155" s="3"/>
      <c r="BA155" s="2316" t="s">
        <v>1225</v>
      </c>
      <c r="BB155" s="2317"/>
      <c r="BC155" s="2317"/>
      <c r="BD155" s="2317"/>
      <c r="BE155" s="2317"/>
      <c r="BF155" s="2317"/>
      <c r="BG155" s="3"/>
      <c r="BH155" s="2316" t="s">
        <v>1304</v>
      </c>
      <c r="BI155" s="2317"/>
      <c r="BJ155" s="2317"/>
      <c r="BK155" s="2317"/>
      <c r="BL155" s="2317"/>
      <c r="BM155" s="3"/>
      <c r="BN155" s="2365" t="s">
        <v>1325</v>
      </c>
      <c r="BO155" s="2364"/>
      <c r="BP155" s="1906"/>
      <c r="BQ155" s="2366" t="s">
        <v>1328</v>
      </c>
      <c r="BR155" s="2317"/>
      <c r="BS155" s="2317"/>
      <c r="BT155" s="3"/>
      <c r="BU155" s="2365" t="s">
        <v>1223</v>
      </c>
      <c r="BV155" s="2364"/>
      <c r="BW155" s="2364"/>
      <c r="BX155" s="1906"/>
      <c r="BY155" s="2365" t="s">
        <v>1224</v>
      </c>
      <c r="BZ155" s="2364"/>
      <c r="CA155" s="3"/>
      <c r="CB155" s="2358" t="s">
        <v>1226</v>
      </c>
      <c r="CC155" s="2359"/>
    </row>
    <row r="156" spans="1:81" ht="75" customHeight="1" x14ac:dyDescent="0.25">
      <c r="A156" s="3"/>
      <c r="B156" s="466" t="s">
        <v>1204</v>
      </c>
      <c r="C156" s="1752"/>
      <c r="D156" s="1909"/>
      <c r="E156" s="195"/>
      <c r="F156" s="195"/>
      <c r="G156" s="195"/>
      <c r="H156" s="195"/>
      <c r="I156" s="1014"/>
      <c r="J156" s="1910"/>
      <c r="K156" s="1014"/>
      <c r="L156" s="1910"/>
      <c r="M156" s="1911"/>
      <c r="N156" s="1911"/>
      <c r="O156" s="1910"/>
      <c r="P156" s="1910"/>
      <c r="Q156" s="1912"/>
      <c r="R156" s="1912"/>
      <c r="S156" s="1913"/>
      <c r="T156" s="1913"/>
      <c r="U156" s="1915"/>
      <c r="V156" s="1916"/>
      <c r="W156" s="1376"/>
      <c r="X156" s="81"/>
      <c r="Y156" s="81"/>
      <c r="Z156" s="81"/>
      <c r="AA156" s="206"/>
      <c r="AB156" s="3"/>
      <c r="AC156" s="3"/>
      <c r="AD156" s="3"/>
      <c r="AE156" s="3"/>
      <c r="AF156" s="3"/>
      <c r="AG156" s="3"/>
      <c r="AH156" s="1918" t="s">
        <v>1644</v>
      </c>
      <c r="AI156" s="1919" t="s">
        <v>1645</v>
      </c>
      <c r="AJ156" s="1919" t="s">
        <v>1646</v>
      </c>
      <c r="AK156" s="1919" t="s">
        <v>1647</v>
      </c>
      <c r="AL156" s="1919" t="s">
        <v>1648</v>
      </c>
      <c r="AM156" s="1919" t="s">
        <v>1649</v>
      </c>
      <c r="AN156" s="1921" t="s">
        <v>1650</v>
      </c>
      <c r="AO156" s="3"/>
      <c r="AP156" s="1922" t="s">
        <v>1644</v>
      </c>
      <c r="AQ156" s="1919" t="s">
        <v>1651</v>
      </c>
      <c r="AR156" s="1919" t="s">
        <v>1652</v>
      </c>
      <c r="AS156" s="1921" t="s">
        <v>1647</v>
      </c>
      <c r="AT156" s="3"/>
      <c r="AU156" s="1922" t="s">
        <v>1653</v>
      </c>
      <c r="AV156" s="1921" t="s">
        <v>1654</v>
      </c>
      <c r="AW156" s="3"/>
      <c r="AX156" s="1922" t="s">
        <v>1653</v>
      </c>
      <c r="AY156" s="1921" t="s">
        <v>1649</v>
      </c>
      <c r="AZ156" s="3"/>
      <c r="BA156" s="1923" t="s">
        <v>1644</v>
      </c>
      <c r="BB156" s="1919" t="s">
        <v>1649</v>
      </c>
      <c r="BC156" s="1919" t="s">
        <v>1648</v>
      </c>
      <c r="BD156" s="1919" t="s">
        <v>1646</v>
      </c>
      <c r="BE156" s="1919" t="s">
        <v>1645</v>
      </c>
      <c r="BF156" s="1921" t="s">
        <v>1650</v>
      </c>
      <c r="BG156" s="60"/>
      <c r="BH156" s="1923" t="s">
        <v>1644</v>
      </c>
      <c r="BI156" s="1919" t="s">
        <v>1648</v>
      </c>
      <c r="BJ156" s="1919" t="s">
        <v>1646</v>
      </c>
      <c r="BK156" s="1919" t="s">
        <v>1645</v>
      </c>
      <c r="BL156" s="1921" t="s">
        <v>1655</v>
      </c>
      <c r="BM156" s="60"/>
      <c r="BN156" s="1922" t="s">
        <v>1656</v>
      </c>
      <c r="BO156" s="1921" t="s">
        <v>1657</v>
      </c>
      <c r="BP156" s="1924"/>
      <c r="BQ156" s="1922" t="s">
        <v>1656</v>
      </c>
      <c r="BR156" s="1925" t="s">
        <v>1657</v>
      </c>
      <c r="BS156" s="1926" t="s">
        <v>1658</v>
      </c>
      <c r="BT156" s="3"/>
      <c r="BU156" s="1918" t="s">
        <v>1644</v>
      </c>
      <c r="BV156" s="1927" t="s">
        <v>1659</v>
      </c>
      <c r="BW156" s="1928" t="s">
        <v>1660</v>
      </c>
      <c r="BX156" s="1929"/>
      <c r="BY156" s="1930" t="s">
        <v>1653</v>
      </c>
      <c r="BZ156" s="1931" t="s">
        <v>1662</v>
      </c>
      <c r="CA156" s="3"/>
      <c r="CB156" s="1922" t="s">
        <v>1653</v>
      </c>
      <c r="CC156" s="1926" t="s">
        <v>1662</v>
      </c>
    </row>
    <row r="157" spans="1:81" ht="15.75" customHeight="1" x14ac:dyDescent="0.25">
      <c r="A157" s="3"/>
      <c r="B157" s="1933" t="s">
        <v>1205</v>
      </c>
      <c r="C157" s="1509">
        <v>53</v>
      </c>
      <c r="D157" s="204"/>
      <c r="E157" s="81">
        <v>680</v>
      </c>
      <c r="F157" s="81"/>
      <c r="G157" s="81">
        <v>0.44</v>
      </c>
      <c r="H157" s="81"/>
      <c r="I157" s="1049">
        <f t="shared" ref="I157:I158" si="67">C157*E157*G157*365</f>
        <v>5788024</v>
      </c>
      <c r="J157" s="204"/>
      <c r="K157" s="1049">
        <f t="shared" ref="K157:K158" si="68">(I157*0.2*0.01)/1000</f>
        <v>11.576048</v>
      </c>
      <c r="L157" s="81"/>
      <c r="M157" s="624">
        <f>C157*(AI157+AJ157+AL157+AN157)*E157*G157*365</f>
        <v>2837470.2705451539</v>
      </c>
      <c r="N157" s="81"/>
      <c r="O157" s="624">
        <f>C157*(AM157)*E157*G157*365</f>
        <v>381780.39119424886</v>
      </c>
      <c r="P157" s="624"/>
      <c r="Q157" s="624">
        <f>C157*(AK157)*E157*G157*365</f>
        <v>2568773.3382605966</v>
      </c>
      <c r="R157" s="624"/>
      <c r="S157" s="1034">
        <f t="shared" ref="S157:S158" si="69">((M157+Q157)*(1-0.2)*0.0125)/1000</f>
        <v>54.062436088057503</v>
      </c>
      <c r="T157" s="624"/>
      <c r="U157" s="752">
        <f t="shared" ref="U157:U158" si="70">(O157*0.02)/1000</f>
        <v>7.6356078238849774</v>
      </c>
      <c r="V157" s="201"/>
      <c r="W157" s="1048">
        <f>K125</f>
        <v>860612.14000000013</v>
      </c>
      <c r="X157" s="81" t="s">
        <v>1666</v>
      </c>
      <c r="Y157" s="81"/>
      <c r="Z157" s="81"/>
      <c r="AA157" s="206"/>
      <c r="AB157" s="3"/>
      <c r="AC157" s="3"/>
      <c r="AD157" s="3"/>
      <c r="AE157" s="3"/>
      <c r="AF157" s="3"/>
      <c r="AG157" s="3"/>
      <c r="AH157" s="1937" t="s">
        <v>1667</v>
      </c>
      <c r="AI157" s="1938">
        <v>7.6488535055593554E-2</v>
      </c>
      <c r="AJ157" s="1938">
        <v>0.15472472257238745</v>
      </c>
      <c r="AK157" s="1938">
        <v>0.44380834258126728</v>
      </c>
      <c r="AL157" s="1938">
        <v>0.22861605738914034</v>
      </c>
      <c r="AM157" s="1938">
        <v>6.5960402236453913E-2</v>
      </c>
      <c r="AN157" s="1940">
        <v>3.0401940165157418E-2</v>
      </c>
      <c r="AO157" s="3"/>
      <c r="AP157" s="1937" t="s">
        <v>1667</v>
      </c>
      <c r="AQ157" s="1938">
        <f>1-SUM(AR157:AS157)</f>
        <v>0.49023125518227884</v>
      </c>
      <c r="AR157" s="1938">
        <v>6.5960402236453913E-2</v>
      </c>
      <c r="AS157" s="1940">
        <v>0.44380834258126728</v>
      </c>
      <c r="AT157" s="3"/>
      <c r="AU157" s="1937" t="s">
        <v>1667</v>
      </c>
      <c r="AV157" s="1941">
        <v>1</v>
      </c>
      <c r="AW157" s="3"/>
      <c r="AX157" s="1937" t="s">
        <v>1667</v>
      </c>
      <c r="AY157" s="1941">
        <v>1</v>
      </c>
      <c r="AZ157" s="3"/>
      <c r="BA157" s="1937" t="s">
        <v>1667</v>
      </c>
      <c r="BB157" s="1942">
        <v>0.21140679400000001</v>
      </c>
      <c r="BC157" s="1938">
        <v>3.7602905999999998E-2</v>
      </c>
      <c r="BD157" s="1938">
        <v>0.214504853</v>
      </c>
      <c r="BE157" s="1938">
        <v>0.15671048400000001</v>
      </c>
      <c r="BF157" s="1940">
        <v>0.37977496300000002</v>
      </c>
      <c r="BG157" s="3"/>
      <c r="BH157" s="1943" t="s">
        <v>1667</v>
      </c>
      <c r="BI157" s="1938">
        <v>0</v>
      </c>
      <c r="BJ157" s="1938">
        <v>0</v>
      </c>
      <c r="BK157" s="1938">
        <v>0.05</v>
      </c>
      <c r="BL157" s="1940">
        <v>0.95</v>
      </c>
      <c r="BM157" s="3"/>
      <c r="BN157" s="318" t="s">
        <v>1672</v>
      </c>
      <c r="BO157" s="1945">
        <v>1</v>
      </c>
      <c r="BP157" s="3"/>
      <c r="BQ157" s="916" t="s">
        <v>1672</v>
      </c>
      <c r="BR157" s="1946">
        <v>0.9</v>
      </c>
      <c r="BS157" s="1948">
        <v>0.1</v>
      </c>
      <c r="BT157" s="3"/>
      <c r="BU157" s="916" t="s">
        <v>1672</v>
      </c>
      <c r="BV157" s="886">
        <v>0</v>
      </c>
      <c r="BW157" s="1945">
        <v>1</v>
      </c>
      <c r="BX157" s="3"/>
      <c r="BY157" s="318" t="s">
        <v>1672</v>
      </c>
      <c r="BZ157" s="1945">
        <v>1</v>
      </c>
      <c r="CA157" s="3"/>
      <c r="CB157" s="916" t="s">
        <v>1672</v>
      </c>
      <c r="CC157" s="1945">
        <v>1</v>
      </c>
    </row>
    <row r="158" spans="1:81" ht="15.75" customHeight="1" x14ac:dyDescent="0.25">
      <c r="A158" s="3"/>
      <c r="B158" s="745" t="s">
        <v>1212</v>
      </c>
      <c r="C158" s="1509">
        <v>28</v>
      </c>
      <c r="D158" s="204"/>
      <c r="E158" s="81">
        <v>476</v>
      </c>
      <c r="F158" s="81"/>
      <c r="G158" s="81">
        <v>0.31</v>
      </c>
      <c r="H158" s="81"/>
      <c r="I158" s="1049">
        <f t="shared" si="67"/>
        <v>1508063.2000000002</v>
      </c>
      <c r="J158" s="204"/>
      <c r="K158" s="1049">
        <f t="shared" si="68"/>
        <v>3.0161264000000005</v>
      </c>
      <c r="L158" s="81"/>
      <c r="M158" s="624">
        <f>C158*(AQ157)*E158*G158*365</f>
        <v>739299.71543020394</v>
      </c>
      <c r="N158" s="81"/>
      <c r="O158" s="624">
        <f>C158*(AR157)*E158*G158*365</f>
        <v>99472.45526999385</v>
      </c>
      <c r="P158" s="81"/>
      <c r="Q158" s="624">
        <f>C158*(AK157)*E158*G158*365</f>
        <v>669291.02929980226</v>
      </c>
      <c r="R158" s="624"/>
      <c r="S158" s="1034">
        <f t="shared" si="69"/>
        <v>14.085907447300064</v>
      </c>
      <c r="T158" s="624"/>
      <c r="U158" s="752">
        <f t="shared" si="70"/>
        <v>1.9894491053998771</v>
      </c>
      <c r="V158" s="201"/>
      <c r="W158" s="1950">
        <f>K124</f>
        <v>30550728.988079999</v>
      </c>
      <c r="X158" s="775" t="s">
        <v>1680</v>
      </c>
      <c r="Y158" s="633"/>
      <c r="Z158" s="775"/>
      <c r="AA158" s="1406"/>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c r="BG158" s="3"/>
      <c r="BH158" s="3"/>
      <c r="BI158" s="3"/>
      <c r="BJ158" s="3"/>
      <c r="BK158" s="3"/>
      <c r="BL158" s="3"/>
      <c r="BM158" s="3"/>
      <c r="BN158" s="3"/>
      <c r="BO158" s="3"/>
      <c r="BP158" s="3"/>
      <c r="BQ158" s="3"/>
      <c r="BR158" s="3"/>
      <c r="BS158" s="3"/>
      <c r="BT158" s="3"/>
      <c r="BU158" s="3"/>
      <c r="BV158" s="3"/>
      <c r="BW158" s="3"/>
      <c r="BX158" s="3"/>
      <c r="BY158" s="3"/>
      <c r="BZ158" s="3"/>
      <c r="CA158" s="3"/>
      <c r="CB158" s="3"/>
      <c r="CC158" s="3"/>
    </row>
    <row r="159" spans="1:81" ht="15.75" customHeight="1" x14ac:dyDescent="0.25">
      <c r="A159" s="3"/>
      <c r="B159" s="470" t="s">
        <v>1215</v>
      </c>
      <c r="C159" s="1952"/>
      <c r="D159" s="204"/>
      <c r="E159" s="81"/>
      <c r="F159" s="81"/>
      <c r="G159" s="81"/>
      <c r="H159" s="81"/>
      <c r="I159" s="1049"/>
      <c r="J159" s="204"/>
      <c r="K159" s="1049"/>
      <c r="L159" s="81"/>
      <c r="M159" s="624"/>
      <c r="N159" s="81"/>
      <c r="O159" s="81"/>
      <c r="P159" s="81"/>
      <c r="Q159" s="81"/>
      <c r="R159" s="624"/>
      <c r="S159" s="1034"/>
      <c r="T159" s="81"/>
      <c r="U159" s="206"/>
      <c r="V159" s="201"/>
      <c r="W159" s="1953">
        <f>SUM(W157:W158)/1000*0.3</f>
        <v>9423.402338423999</v>
      </c>
      <c r="X159" s="1738" t="s">
        <v>1689</v>
      </c>
      <c r="Y159" s="735"/>
      <c r="Z159" s="735"/>
      <c r="AA159" s="1891"/>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c r="BG159" s="3"/>
      <c r="BH159" s="3"/>
      <c r="BI159" s="3"/>
      <c r="BJ159" s="3"/>
      <c r="BK159" s="3"/>
      <c r="BL159" s="3"/>
      <c r="BM159" s="3"/>
      <c r="BN159" s="3"/>
      <c r="BO159" s="3"/>
      <c r="BP159" s="3"/>
      <c r="BQ159" s="3"/>
      <c r="BR159" s="3"/>
      <c r="BS159" s="3"/>
      <c r="BT159" s="3"/>
      <c r="BU159" s="3"/>
      <c r="BV159" s="3"/>
      <c r="BW159" s="3"/>
      <c r="BX159" s="3"/>
      <c r="BY159" s="3"/>
      <c r="BZ159" s="3"/>
      <c r="CA159" s="3"/>
      <c r="CB159" s="3"/>
      <c r="CC159" s="3"/>
    </row>
    <row r="160" spans="1:81" ht="15.75" customHeight="1" x14ac:dyDescent="0.25">
      <c r="A160" s="3"/>
      <c r="B160" s="745" t="s">
        <v>1220</v>
      </c>
      <c r="C160" s="1526">
        <v>3.9119999999999999</v>
      </c>
      <c r="D160" s="204"/>
      <c r="E160" s="81">
        <v>420</v>
      </c>
      <c r="F160" s="81"/>
      <c r="G160" s="81">
        <v>0.3</v>
      </c>
      <c r="H160" s="81"/>
      <c r="I160" s="1049">
        <f t="shared" ref="I160:I166" si="71">C160*E160*G160*365</f>
        <v>179912.88</v>
      </c>
      <c r="J160" s="204"/>
      <c r="K160" s="1049">
        <f t="shared" ref="K160:K166" si="72">(I160*0.2*0.01)/1000</f>
        <v>0.35982575999999999</v>
      </c>
      <c r="L160" s="81"/>
      <c r="M160" s="624">
        <f>C160*(AV157)*E160*G160*365</f>
        <v>179912.88</v>
      </c>
      <c r="N160" s="81"/>
      <c r="O160" s="204" t="s">
        <v>907</v>
      </c>
      <c r="P160" s="1955"/>
      <c r="Q160" s="204" t="s">
        <v>907</v>
      </c>
      <c r="R160" s="624"/>
      <c r="S160" s="1034">
        <f t="shared" ref="S160:S161" si="73">((M160)*(1-0.2)*0.0125)/1000</f>
        <v>1.7991288000000001</v>
      </c>
      <c r="T160" s="624"/>
      <c r="U160" s="1863" t="s">
        <v>907</v>
      </c>
      <c r="V160" s="1019"/>
      <c r="W160" s="1957"/>
      <c r="X160" s="1376"/>
      <c r="Y160" s="1376"/>
      <c r="Z160" s="1376"/>
      <c r="AA160" s="1958"/>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c r="BG160" s="3"/>
      <c r="BH160" s="3"/>
      <c r="BI160" s="3"/>
      <c r="BJ160" s="3"/>
      <c r="BK160" s="3"/>
      <c r="BL160" s="3"/>
      <c r="BM160" s="3"/>
      <c r="BN160" s="3"/>
      <c r="BO160" s="3"/>
      <c r="BP160" s="3"/>
      <c r="BQ160" s="3"/>
      <c r="BR160" s="3"/>
      <c r="BS160" s="3"/>
      <c r="BT160" s="3"/>
      <c r="BU160" s="3"/>
      <c r="BV160" s="3"/>
      <c r="BW160" s="3"/>
      <c r="BX160" s="3"/>
      <c r="BY160" s="3"/>
      <c r="BZ160" s="3"/>
      <c r="CA160" s="3"/>
      <c r="CB160" s="3"/>
      <c r="CC160" s="3"/>
    </row>
    <row r="161" spans="1:81" ht="15.75" customHeight="1" x14ac:dyDescent="0.25">
      <c r="A161" s="3"/>
      <c r="B161" s="745" t="s">
        <v>1221</v>
      </c>
      <c r="C161" s="1526">
        <v>7.3949999999999996</v>
      </c>
      <c r="D161" s="204"/>
      <c r="E161" s="81">
        <v>420</v>
      </c>
      <c r="F161" s="81"/>
      <c r="G161" s="81">
        <v>0.3</v>
      </c>
      <c r="H161" s="81"/>
      <c r="I161" s="1049">
        <f t="shared" si="71"/>
        <v>340096.04999999993</v>
      </c>
      <c r="J161" s="204"/>
      <c r="K161" s="1049">
        <f t="shared" si="72"/>
        <v>0.68019209999999997</v>
      </c>
      <c r="L161" s="81"/>
      <c r="M161" s="624">
        <f>C161*AV157*E161*G161*365</f>
        <v>340096.04999999993</v>
      </c>
      <c r="N161" s="81"/>
      <c r="O161" s="204" t="s">
        <v>907</v>
      </c>
      <c r="P161" s="1955"/>
      <c r="Q161" s="204" t="s">
        <v>907</v>
      </c>
      <c r="R161" s="624"/>
      <c r="S161" s="1034">
        <f t="shared" si="73"/>
        <v>3.4009604999999996</v>
      </c>
      <c r="T161" s="624"/>
      <c r="U161" s="1863" t="s">
        <v>907</v>
      </c>
      <c r="V161" s="1019"/>
      <c r="W161" s="1950">
        <f>I185</f>
        <v>38992393.959000006</v>
      </c>
      <c r="X161" s="775" t="s">
        <v>1700</v>
      </c>
      <c r="Y161" s="633"/>
      <c r="Z161" s="775"/>
      <c r="AA161" s="1406"/>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c r="BG161" s="3"/>
      <c r="BH161" s="3"/>
      <c r="BI161" s="3"/>
      <c r="BJ161" s="3"/>
      <c r="BK161" s="3"/>
      <c r="BL161" s="3"/>
      <c r="BM161" s="3"/>
      <c r="BN161" s="3"/>
      <c r="BO161" s="3"/>
      <c r="BP161" s="3"/>
      <c r="BQ161" s="3"/>
      <c r="BR161" s="3"/>
      <c r="BS161" s="3"/>
      <c r="BT161" s="3"/>
      <c r="BU161" s="3"/>
      <c r="BV161" s="3"/>
      <c r="BW161" s="3"/>
      <c r="BX161" s="3"/>
      <c r="BY161" s="3"/>
      <c r="BZ161" s="3"/>
      <c r="CA161" s="3"/>
      <c r="CB161" s="3"/>
      <c r="CC161" s="3"/>
    </row>
    <row r="162" spans="1:81" ht="15.75" customHeight="1" x14ac:dyDescent="0.25">
      <c r="A162" s="3"/>
      <c r="B162" s="745" t="s">
        <v>1222</v>
      </c>
      <c r="C162" s="1509">
        <v>4</v>
      </c>
      <c r="D162" s="204"/>
      <c r="E162" s="81">
        <v>750</v>
      </c>
      <c r="F162" s="81"/>
      <c r="G162" s="81">
        <v>0.31</v>
      </c>
      <c r="H162" s="81"/>
      <c r="I162" s="1049">
        <f t="shared" si="71"/>
        <v>339450</v>
      </c>
      <c r="J162" s="204"/>
      <c r="K162" s="1049">
        <f t="shared" si="72"/>
        <v>0.67889999999999995</v>
      </c>
      <c r="L162" s="81"/>
      <c r="M162" s="1049" t="s">
        <v>907</v>
      </c>
      <c r="N162" s="81"/>
      <c r="O162" s="1048">
        <f t="shared" ref="O162:O166" si="74">C162*(AY$157)*E162*G162*365</f>
        <v>339450</v>
      </c>
      <c r="P162" s="1955"/>
      <c r="Q162" s="204" t="s">
        <v>907</v>
      </c>
      <c r="R162" s="624"/>
      <c r="S162" s="1049" t="s">
        <v>907</v>
      </c>
      <c r="T162" s="624"/>
      <c r="U162" s="752">
        <f t="shared" ref="U162:U166" si="75">(O162*0.02)/1000</f>
        <v>6.7889999999999997</v>
      </c>
      <c r="V162" s="201"/>
      <c r="W162" s="1953">
        <f>(W161*(1-0)*0.3)/1000</f>
        <v>11697.718187700002</v>
      </c>
      <c r="X162" s="1738" t="s">
        <v>1706</v>
      </c>
      <c r="Y162" s="735"/>
      <c r="Z162" s="735"/>
      <c r="AA162" s="1891"/>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c r="BG162" s="3"/>
      <c r="BH162" s="3"/>
      <c r="BI162" s="3"/>
      <c r="BJ162" s="3"/>
      <c r="BK162" s="3"/>
      <c r="BL162" s="3"/>
      <c r="BM162" s="3"/>
      <c r="BN162" s="3"/>
      <c r="BO162" s="3"/>
      <c r="BP162" s="3"/>
      <c r="BQ162" s="3"/>
      <c r="BR162" s="3"/>
      <c r="BS162" s="3"/>
      <c r="BT162" s="3"/>
      <c r="BU162" s="3"/>
      <c r="BV162" s="3"/>
      <c r="BW162" s="3"/>
      <c r="BX162" s="3"/>
      <c r="BY162" s="3"/>
      <c r="BZ162" s="3"/>
      <c r="CA162" s="3"/>
      <c r="CB162" s="3"/>
      <c r="CC162" s="3"/>
    </row>
    <row r="163" spans="1:81" ht="15.75" customHeight="1" x14ac:dyDescent="0.25">
      <c r="A163" s="3"/>
      <c r="B163" s="745" t="s">
        <v>1254</v>
      </c>
      <c r="C163" s="1509">
        <v>36.1</v>
      </c>
      <c r="D163" s="204"/>
      <c r="E163" s="81">
        <v>118</v>
      </c>
      <c r="F163" s="81"/>
      <c r="G163" s="81">
        <v>0.3</v>
      </c>
      <c r="H163" s="81"/>
      <c r="I163" s="1049">
        <f t="shared" si="71"/>
        <v>466448.10000000003</v>
      </c>
      <c r="J163" s="204"/>
      <c r="K163" s="1049">
        <f t="shared" si="72"/>
        <v>0.93289620000000018</v>
      </c>
      <c r="L163" s="81"/>
      <c r="M163" s="1049" t="s">
        <v>907</v>
      </c>
      <c r="N163" s="81"/>
      <c r="O163" s="1048">
        <f t="shared" si="74"/>
        <v>466448.10000000003</v>
      </c>
      <c r="P163" s="1955"/>
      <c r="Q163" s="204" t="s">
        <v>907</v>
      </c>
      <c r="R163" s="624"/>
      <c r="S163" s="1049" t="s">
        <v>907</v>
      </c>
      <c r="T163" s="624"/>
      <c r="U163" s="752">
        <f t="shared" si="75"/>
        <v>9.3289620000000006</v>
      </c>
      <c r="V163" s="201"/>
      <c r="W163" s="1965"/>
      <c r="X163" s="73"/>
      <c r="Y163" s="112"/>
      <c r="Z163" s="73"/>
      <c r="AA163" s="1966"/>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c r="BG163" s="3"/>
      <c r="BH163" s="3"/>
      <c r="BI163" s="3"/>
      <c r="BJ163" s="3"/>
      <c r="BK163" s="3"/>
      <c r="BL163" s="3"/>
      <c r="BM163" s="3"/>
      <c r="BN163" s="3"/>
      <c r="BO163" s="3"/>
      <c r="BP163" s="3"/>
      <c r="BQ163" s="3"/>
      <c r="BR163" s="3"/>
      <c r="BS163" s="3"/>
      <c r="BT163" s="3"/>
      <c r="BU163" s="3"/>
      <c r="BV163" s="3"/>
      <c r="BW163" s="3"/>
      <c r="BX163" s="3"/>
      <c r="BY163" s="3"/>
      <c r="BZ163" s="3"/>
      <c r="CA163" s="3"/>
      <c r="CB163" s="3"/>
      <c r="CC163" s="3"/>
    </row>
    <row r="164" spans="1:81" ht="15.75" customHeight="1" x14ac:dyDescent="0.25">
      <c r="A164" s="3"/>
      <c r="B164" s="745" t="s">
        <v>1216</v>
      </c>
      <c r="C164" s="1509">
        <v>42</v>
      </c>
      <c r="D164" s="204"/>
      <c r="E164" s="81">
        <v>533</v>
      </c>
      <c r="F164" s="81"/>
      <c r="G164" s="81">
        <v>0.33</v>
      </c>
      <c r="H164" s="81"/>
      <c r="I164" s="1049">
        <f t="shared" si="71"/>
        <v>2696393.7</v>
      </c>
      <c r="J164" s="204"/>
      <c r="K164" s="1049">
        <f t="shared" si="72"/>
        <v>5.3927874000000013</v>
      </c>
      <c r="L164" s="81"/>
      <c r="M164" s="1049" t="s">
        <v>907</v>
      </c>
      <c r="N164" s="81"/>
      <c r="O164" s="1048">
        <f t="shared" si="74"/>
        <v>2696393.7</v>
      </c>
      <c r="P164" s="1955"/>
      <c r="Q164" s="204" t="s">
        <v>907</v>
      </c>
      <c r="R164" s="624"/>
      <c r="S164" s="1049" t="s">
        <v>907</v>
      </c>
      <c r="T164" s="624"/>
      <c r="U164" s="752">
        <f t="shared" si="75"/>
        <v>53.927874000000003</v>
      </c>
      <c r="V164" s="201"/>
      <c r="W164" s="1953">
        <f>SUM(W159,W162)*0.0075</f>
        <v>158.40840394593002</v>
      </c>
      <c r="X164" s="1738" t="s">
        <v>1715</v>
      </c>
      <c r="Y164" s="735"/>
      <c r="Z164" s="735"/>
      <c r="AA164" s="1891"/>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c r="BG164" s="3"/>
      <c r="BH164" s="3"/>
      <c r="BI164" s="3"/>
      <c r="BJ164" s="3"/>
      <c r="BK164" s="3"/>
      <c r="BL164" s="3"/>
      <c r="BM164" s="3"/>
      <c r="BN164" s="3"/>
      <c r="BO164" s="3"/>
      <c r="BP164" s="3"/>
      <c r="BQ164" s="3"/>
      <c r="BR164" s="3"/>
      <c r="BS164" s="3"/>
      <c r="BT164" s="3"/>
      <c r="BU164" s="3"/>
      <c r="BV164" s="3"/>
      <c r="BW164" s="3"/>
      <c r="BX164" s="3"/>
      <c r="BY164" s="3"/>
      <c r="BZ164" s="3"/>
      <c r="CA164" s="3"/>
      <c r="CB164" s="3"/>
      <c r="CC164" s="3"/>
    </row>
    <row r="165" spans="1:81" ht="15.75" customHeight="1" x14ac:dyDescent="0.25">
      <c r="A165" s="3"/>
      <c r="B165" s="745" t="s">
        <v>1219</v>
      </c>
      <c r="C165" s="1509">
        <v>15</v>
      </c>
      <c r="D165" s="204"/>
      <c r="E165" s="81">
        <v>318</v>
      </c>
      <c r="F165" s="81"/>
      <c r="G165" s="81">
        <v>0.31</v>
      </c>
      <c r="H165" s="81"/>
      <c r="I165" s="1049">
        <f t="shared" si="71"/>
        <v>539725.5</v>
      </c>
      <c r="J165" s="204"/>
      <c r="K165" s="1049">
        <f t="shared" si="72"/>
        <v>1.0794509999999999</v>
      </c>
      <c r="L165" s="81"/>
      <c r="M165" s="1049" t="s">
        <v>907</v>
      </c>
      <c r="N165" s="81"/>
      <c r="O165" s="1048">
        <f t="shared" si="74"/>
        <v>539725.5</v>
      </c>
      <c r="P165" s="1955"/>
      <c r="Q165" s="204" t="s">
        <v>907</v>
      </c>
      <c r="R165" s="624"/>
      <c r="S165" s="1049" t="s">
        <v>907</v>
      </c>
      <c r="T165" s="624"/>
      <c r="U165" s="752">
        <f t="shared" si="75"/>
        <v>10.794510000000001</v>
      </c>
      <c r="V165" s="201"/>
      <c r="W165" s="1967"/>
      <c r="X165" s="133"/>
      <c r="Y165" s="133"/>
      <c r="Z165" s="133"/>
      <c r="AA165" s="1462"/>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c r="BG165" s="3"/>
      <c r="BH165" s="3"/>
      <c r="BI165" s="3"/>
      <c r="BJ165" s="3"/>
      <c r="BK165" s="3"/>
      <c r="BL165" s="3"/>
      <c r="BM165" s="3"/>
      <c r="BN165" s="3"/>
      <c r="BO165" s="3"/>
      <c r="BP165" s="3"/>
      <c r="BQ165" s="3"/>
      <c r="BR165" s="3"/>
      <c r="BS165" s="3"/>
      <c r="BT165" s="3"/>
      <c r="BU165" s="3"/>
      <c r="BV165" s="3"/>
      <c r="BW165" s="3"/>
      <c r="BX165" s="3"/>
      <c r="BY165" s="3"/>
      <c r="BZ165" s="3"/>
      <c r="CA165" s="3"/>
      <c r="CB165" s="3"/>
      <c r="CC165" s="3"/>
    </row>
    <row r="166" spans="1:81" ht="15.75" customHeight="1" x14ac:dyDescent="0.25">
      <c r="A166" s="3"/>
      <c r="B166" s="745" t="s">
        <v>1717</v>
      </c>
      <c r="C166" s="1968">
        <v>17</v>
      </c>
      <c r="D166" s="204"/>
      <c r="E166" s="81">
        <v>420</v>
      </c>
      <c r="F166" s="81"/>
      <c r="G166" s="81">
        <v>0.31</v>
      </c>
      <c r="H166" s="81"/>
      <c r="I166" s="1049">
        <f t="shared" si="71"/>
        <v>807891</v>
      </c>
      <c r="J166" s="204"/>
      <c r="K166" s="1049">
        <f t="shared" si="72"/>
        <v>1.6157820000000001</v>
      </c>
      <c r="L166" s="81"/>
      <c r="M166" s="1049" t="s">
        <v>907</v>
      </c>
      <c r="N166" s="81"/>
      <c r="O166" s="1048">
        <f t="shared" si="74"/>
        <v>807891</v>
      </c>
      <c r="P166" s="1955"/>
      <c r="Q166" s="204" t="s">
        <v>907</v>
      </c>
      <c r="R166" s="624"/>
      <c r="S166" s="1049" t="s">
        <v>907</v>
      </c>
      <c r="T166" s="624"/>
      <c r="U166" s="752">
        <f t="shared" si="75"/>
        <v>16.157820000000001</v>
      </c>
      <c r="V166" s="30"/>
      <c r="W166" s="1969"/>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c r="BG166" s="3"/>
      <c r="BH166" s="3"/>
      <c r="BI166" s="3"/>
      <c r="BJ166" s="3"/>
      <c r="BK166" s="3"/>
      <c r="BL166" s="3"/>
      <c r="BM166" s="3"/>
      <c r="BN166" s="3"/>
      <c r="BO166" s="3"/>
      <c r="BP166" s="3"/>
      <c r="BQ166" s="3"/>
      <c r="BR166" s="3"/>
      <c r="BS166" s="3"/>
      <c r="BT166" s="3"/>
      <c r="BU166" s="3"/>
      <c r="BV166" s="3"/>
      <c r="BW166" s="3"/>
      <c r="BX166" s="3"/>
      <c r="BY166" s="3"/>
      <c r="BZ166" s="3"/>
      <c r="CA166" s="3"/>
      <c r="CB166" s="3"/>
      <c r="CC166" s="3"/>
    </row>
    <row r="167" spans="1:81" ht="15.75" customHeight="1" x14ac:dyDescent="0.25">
      <c r="A167" s="3"/>
      <c r="B167" s="470" t="s">
        <v>1225</v>
      </c>
      <c r="C167" s="1952"/>
      <c r="D167" s="204"/>
      <c r="E167" s="81"/>
      <c r="F167" s="81"/>
      <c r="G167" s="81"/>
      <c r="H167" s="81"/>
      <c r="I167" s="1049"/>
      <c r="J167" s="204"/>
      <c r="K167" s="1049"/>
      <c r="L167" s="81"/>
      <c r="M167" s="81"/>
      <c r="N167" s="81"/>
      <c r="O167" s="81"/>
      <c r="P167" s="81"/>
      <c r="Q167" s="81"/>
      <c r="R167" s="624"/>
      <c r="S167" s="204"/>
      <c r="T167" s="81"/>
      <c r="U167" s="206"/>
      <c r="V167" s="30"/>
      <c r="W167" s="1969"/>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c r="BG167" s="3"/>
      <c r="BH167" s="3"/>
      <c r="BI167" s="3"/>
      <c r="BJ167" s="3"/>
      <c r="BK167" s="3"/>
      <c r="BL167" s="3"/>
      <c r="BM167" s="3"/>
      <c r="BN167" s="3"/>
      <c r="BO167" s="3"/>
      <c r="BP167" s="3"/>
      <c r="BQ167" s="3"/>
      <c r="BR167" s="3"/>
      <c r="BS167" s="3"/>
      <c r="BT167" s="3"/>
      <c r="BU167" s="3"/>
      <c r="BV167" s="3"/>
      <c r="BW167" s="3"/>
      <c r="BX167" s="3"/>
      <c r="BY167" s="3"/>
      <c r="BZ167" s="3"/>
      <c r="CA167" s="3"/>
      <c r="CB167" s="3"/>
      <c r="CC167" s="3"/>
    </row>
    <row r="168" spans="1:81" ht="15.75" customHeight="1" x14ac:dyDescent="0.25">
      <c r="A168" s="3"/>
      <c r="B168" s="745" t="s">
        <v>1275</v>
      </c>
      <c r="C168" s="1509">
        <v>2</v>
      </c>
      <c r="D168" s="204"/>
      <c r="E168" s="81">
        <v>198</v>
      </c>
      <c r="F168" s="81"/>
      <c r="G168" s="81">
        <v>0.23499999999999999</v>
      </c>
      <c r="H168" s="81"/>
      <c r="I168" s="1049">
        <f t="shared" ref="I168:I172" si="76">C168*E168*G168*365</f>
        <v>33966.899999999994</v>
      </c>
      <c r="J168" s="204"/>
      <c r="K168" s="1049">
        <f t="shared" ref="K168:K172" si="77">(I168*0.2*0.01)/1000</f>
        <v>6.7933799999999989E-2</v>
      </c>
      <c r="L168" s="81"/>
      <c r="M168" s="624">
        <f>C168*(BC157+BD157+BE157+BF157)*E168*G168*365</f>
        <v>26786.066568881401</v>
      </c>
      <c r="N168" s="81"/>
      <c r="O168" s="624">
        <f t="shared" ref="O168:O172" si="78">C168*(BB$157)*E168*G168*365</f>
        <v>7180.8334311185999</v>
      </c>
      <c r="P168" s="81"/>
      <c r="Q168" s="204" t="s">
        <v>907</v>
      </c>
      <c r="R168" s="624"/>
      <c r="S168" s="1034">
        <f t="shared" ref="S168:S172" si="79">((M168)*(1-0.2)*0.0125)/1000</f>
        <v>0.26786066568881406</v>
      </c>
      <c r="T168" s="624"/>
      <c r="U168" s="752">
        <f t="shared" ref="U168:U172" si="80">(O168*0.02)/1000</f>
        <v>0.14361666862237199</v>
      </c>
      <c r="V168" s="1970"/>
      <c r="W168" s="1969"/>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c r="BG168" s="3"/>
      <c r="BH168" s="3"/>
      <c r="BI168" s="3"/>
      <c r="BJ168" s="3"/>
      <c r="BK168" s="3"/>
      <c r="BL168" s="3"/>
      <c r="BM168" s="3"/>
      <c r="BN168" s="3"/>
      <c r="BO168" s="3"/>
      <c r="BP168" s="3"/>
      <c r="BQ168" s="3"/>
      <c r="BR168" s="3"/>
      <c r="BS168" s="3"/>
      <c r="BT168" s="3"/>
      <c r="BU168" s="3"/>
      <c r="BV168" s="3"/>
      <c r="BW168" s="3"/>
      <c r="BX168" s="3"/>
      <c r="BY168" s="3"/>
      <c r="BZ168" s="3"/>
      <c r="CA168" s="3"/>
      <c r="CB168" s="3"/>
      <c r="CC168" s="3"/>
    </row>
    <row r="169" spans="1:81" ht="15.75" customHeight="1" x14ac:dyDescent="0.25">
      <c r="A169" s="3"/>
      <c r="B169" s="745" t="s">
        <v>1287</v>
      </c>
      <c r="C169" s="1509">
        <v>9</v>
      </c>
      <c r="D169" s="204"/>
      <c r="E169" s="81">
        <v>15.88</v>
      </c>
      <c r="F169" s="81"/>
      <c r="G169" s="81">
        <v>0.6</v>
      </c>
      <c r="H169" s="81"/>
      <c r="I169" s="1049">
        <f t="shared" si="76"/>
        <v>31299.480000000003</v>
      </c>
      <c r="J169" s="204"/>
      <c r="K169" s="1049">
        <f t="shared" si="77"/>
        <v>6.2598960000000009E-2</v>
      </c>
      <c r="L169" s="81"/>
      <c r="M169" s="624">
        <f>C169*(BC157+BD157+BE157+BF157)*E169*G169*365</f>
        <v>24682.557279332883</v>
      </c>
      <c r="N169" s="81"/>
      <c r="O169" s="624">
        <f t="shared" si="78"/>
        <v>6616.9227206671203</v>
      </c>
      <c r="P169" s="81"/>
      <c r="Q169" s="204" t="s">
        <v>907</v>
      </c>
      <c r="R169" s="624"/>
      <c r="S169" s="1034">
        <f t="shared" si="79"/>
        <v>0.2468255727933289</v>
      </c>
      <c r="T169" s="624"/>
      <c r="U169" s="752">
        <f t="shared" si="80"/>
        <v>0.13233845441334241</v>
      </c>
      <c r="V169" s="1971"/>
      <c r="W169" s="1969"/>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c r="BG169" s="3"/>
      <c r="BH169" s="3"/>
      <c r="BI169" s="3"/>
      <c r="BJ169" s="3"/>
      <c r="BK169" s="3"/>
      <c r="BL169" s="3"/>
      <c r="BM169" s="3"/>
      <c r="BN169" s="3"/>
      <c r="BO169" s="3"/>
      <c r="BP169" s="3"/>
      <c r="BQ169" s="3"/>
      <c r="BR169" s="3"/>
      <c r="BS169" s="3"/>
      <c r="BT169" s="3"/>
      <c r="BU169" s="3"/>
      <c r="BV169" s="3"/>
      <c r="BW169" s="3"/>
      <c r="BX169" s="3"/>
      <c r="BY169" s="3"/>
      <c r="BZ169" s="3"/>
      <c r="CA169" s="3"/>
      <c r="CB169" s="3"/>
      <c r="CC169" s="3"/>
    </row>
    <row r="170" spans="1:81" ht="15.75" customHeight="1" x14ac:dyDescent="0.25">
      <c r="A170" s="3"/>
      <c r="B170" s="745" t="s">
        <v>1292</v>
      </c>
      <c r="C170" s="1526">
        <v>7</v>
      </c>
      <c r="D170" s="204"/>
      <c r="E170" s="81">
        <v>40.6</v>
      </c>
      <c r="F170" s="81"/>
      <c r="G170" s="81">
        <v>0.42</v>
      </c>
      <c r="H170" s="81"/>
      <c r="I170" s="1049">
        <f t="shared" si="76"/>
        <v>43567.859999999993</v>
      </c>
      <c r="J170" s="204"/>
      <c r="K170" s="1049">
        <f t="shared" si="77"/>
        <v>8.7135719999999972E-2</v>
      </c>
      <c r="L170" s="81"/>
      <c r="M170" s="624">
        <f>C170*(BC157+BD157+BE157+BF157)*E170*G170*365</f>
        <v>34357.318395959162</v>
      </c>
      <c r="N170" s="81"/>
      <c r="O170" s="624">
        <f t="shared" si="78"/>
        <v>9210.54160404084</v>
      </c>
      <c r="P170" s="81"/>
      <c r="Q170" s="204" t="s">
        <v>907</v>
      </c>
      <c r="R170" s="624"/>
      <c r="S170" s="1034">
        <f t="shared" si="79"/>
        <v>0.34357318395959169</v>
      </c>
      <c r="T170" s="624"/>
      <c r="U170" s="752">
        <f t="shared" si="80"/>
        <v>0.18421083208081679</v>
      </c>
      <c r="V170" s="1970"/>
      <c r="W170" s="1969"/>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c r="BG170" s="3"/>
      <c r="BH170" s="3"/>
      <c r="BI170" s="3"/>
      <c r="BJ170" s="3"/>
      <c r="BK170" s="3"/>
      <c r="BL170" s="3"/>
      <c r="BM170" s="3"/>
      <c r="BN170" s="3"/>
      <c r="BO170" s="3"/>
      <c r="BP170" s="3"/>
      <c r="BQ170" s="3"/>
      <c r="BR170" s="3"/>
      <c r="BS170" s="3"/>
      <c r="BT170" s="3"/>
      <c r="BU170" s="3"/>
      <c r="BV170" s="3"/>
      <c r="BW170" s="3"/>
      <c r="BX170" s="3"/>
      <c r="BY170" s="3"/>
      <c r="BZ170" s="3"/>
      <c r="CA170" s="3"/>
      <c r="CB170" s="3"/>
      <c r="CC170" s="3"/>
    </row>
    <row r="171" spans="1:81" ht="15.75" customHeight="1" x14ac:dyDescent="0.25">
      <c r="A171" s="3"/>
      <c r="B171" s="745" t="s">
        <v>1296</v>
      </c>
      <c r="C171" s="1509">
        <v>4</v>
      </c>
      <c r="D171" s="204"/>
      <c r="E171" s="81">
        <v>67.819999999999993</v>
      </c>
      <c r="F171" s="81"/>
      <c r="G171" s="81">
        <v>0.42</v>
      </c>
      <c r="H171" s="81"/>
      <c r="I171" s="1049">
        <f t="shared" si="76"/>
        <v>41587.223999999995</v>
      </c>
      <c r="J171" s="204"/>
      <c r="K171" s="1049">
        <f t="shared" si="77"/>
        <v>8.3174447999999998E-2</v>
      </c>
      <c r="L171" s="81"/>
      <c r="M171" s="624">
        <f>C171*(BC157+BD157+BE157+BF157)*E171*G171*365</f>
        <v>32795.402302800147</v>
      </c>
      <c r="N171" s="81"/>
      <c r="O171" s="624">
        <f t="shared" si="78"/>
        <v>8791.8216971998554</v>
      </c>
      <c r="P171" s="81"/>
      <c r="Q171" s="204" t="s">
        <v>907</v>
      </c>
      <c r="R171" s="624"/>
      <c r="S171" s="1034">
        <f t="shared" si="79"/>
        <v>0.32795402302800153</v>
      </c>
      <c r="T171" s="624"/>
      <c r="U171" s="752">
        <f t="shared" si="80"/>
        <v>0.17583643394399712</v>
      </c>
      <c r="V171" s="30"/>
      <c r="W171" s="1969"/>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c r="BG171" s="3"/>
      <c r="BH171" s="3"/>
      <c r="BI171" s="3"/>
      <c r="BJ171" s="3"/>
      <c r="BK171" s="3"/>
      <c r="BL171" s="3"/>
      <c r="BM171" s="3"/>
      <c r="BN171" s="3"/>
      <c r="BO171" s="3"/>
      <c r="BP171" s="3"/>
      <c r="BQ171" s="3"/>
      <c r="BR171" s="3"/>
      <c r="BS171" s="3"/>
      <c r="BT171" s="3"/>
      <c r="BU171" s="3"/>
      <c r="BV171" s="3"/>
      <c r="BW171" s="3"/>
      <c r="BX171" s="3"/>
      <c r="BY171" s="3"/>
      <c r="BZ171" s="3"/>
      <c r="CA171" s="3"/>
      <c r="CB171" s="3"/>
      <c r="CC171" s="3"/>
    </row>
    <row r="172" spans="1:81" ht="15.75" customHeight="1" x14ac:dyDescent="0.25">
      <c r="A172" s="3"/>
      <c r="B172" s="745" t="s">
        <v>1299</v>
      </c>
      <c r="C172" s="1509">
        <v>4</v>
      </c>
      <c r="D172" s="204"/>
      <c r="E172" s="81">
        <v>90.75</v>
      </c>
      <c r="F172" s="81"/>
      <c r="G172" s="81">
        <v>0.42</v>
      </c>
      <c r="H172" s="81"/>
      <c r="I172" s="1049">
        <f t="shared" si="76"/>
        <v>55647.9</v>
      </c>
      <c r="J172" s="204"/>
      <c r="K172" s="1049">
        <f t="shared" si="77"/>
        <v>0.11129580000000001</v>
      </c>
      <c r="L172" s="81"/>
      <c r="M172" s="624">
        <f>C172*(BC157+BD157+BE157+BF157)*E172*G172*365</f>
        <v>43883.555868167401</v>
      </c>
      <c r="N172" s="81"/>
      <c r="O172" s="624">
        <f t="shared" si="78"/>
        <v>11764.3441318326</v>
      </c>
      <c r="P172" s="81"/>
      <c r="Q172" s="204" t="s">
        <v>907</v>
      </c>
      <c r="R172" s="624"/>
      <c r="S172" s="1034">
        <f t="shared" si="79"/>
        <v>0.43883555868167406</v>
      </c>
      <c r="T172" s="624"/>
      <c r="U172" s="752">
        <f t="shared" si="80"/>
        <v>0.23528688263665201</v>
      </c>
      <c r="V172" s="30"/>
      <c r="W172" s="1969"/>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c r="BG172" s="3"/>
      <c r="BH172" s="3"/>
      <c r="BI172" s="3"/>
      <c r="BJ172" s="3"/>
      <c r="BK172" s="3"/>
      <c r="BL172" s="3"/>
      <c r="BM172" s="3"/>
      <c r="BN172" s="3"/>
      <c r="BO172" s="3"/>
      <c r="BP172" s="3"/>
      <c r="BQ172" s="3"/>
      <c r="BR172" s="3"/>
      <c r="BS172" s="3"/>
      <c r="BT172" s="3"/>
      <c r="BU172" s="3"/>
      <c r="BV172" s="3"/>
      <c r="BW172" s="3"/>
      <c r="BX172" s="3"/>
      <c r="BY172" s="3"/>
      <c r="BZ172" s="3"/>
      <c r="CA172" s="3"/>
      <c r="CB172" s="3"/>
      <c r="CC172" s="3"/>
    </row>
    <row r="173" spans="1:81" ht="15.75" customHeight="1" x14ac:dyDescent="0.25">
      <c r="A173" s="3"/>
      <c r="B173" s="470" t="s">
        <v>1302</v>
      </c>
      <c r="C173" s="1952"/>
      <c r="D173" s="204"/>
      <c r="E173" s="81"/>
      <c r="F173" s="81"/>
      <c r="G173" s="81"/>
      <c r="H173" s="81"/>
      <c r="I173" s="1049"/>
      <c r="J173" s="204"/>
      <c r="K173" s="1049"/>
      <c r="L173" s="81"/>
      <c r="M173" s="81"/>
      <c r="N173" s="81"/>
      <c r="O173" s="81"/>
      <c r="P173" s="81"/>
      <c r="Q173" s="81"/>
      <c r="R173" s="624"/>
      <c r="S173" s="1034"/>
      <c r="T173" s="81"/>
      <c r="U173" s="206"/>
      <c r="V173" s="30"/>
      <c r="W173" s="170"/>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c r="BG173" s="3"/>
      <c r="BH173" s="3"/>
      <c r="BI173" s="3"/>
      <c r="BJ173" s="3"/>
      <c r="BK173" s="3"/>
      <c r="BL173" s="3"/>
      <c r="BM173" s="3"/>
      <c r="BN173" s="3"/>
      <c r="BO173" s="3"/>
      <c r="BP173" s="3"/>
      <c r="BQ173" s="3"/>
      <c r="BR173" s="3"/>
      <c r="BS173" s="3"/>
      <c r="BT173" s="3"/>
      <c r="BU173" s="3"/>
      <c r="BV173" s="3"/>
      <c r="BW173" s="3"/>
      <c r="BX173" s="3"/>
      <c r="BY173" s="3"/>
      <c r="BZ173" s="3"/>
      <c r="CA173" s="3"/>
      <c r="CB173" s="3"/>
      <c r="CC173" s="3"/>
    </row>
    <row r="174" spans="1:81" ht="15.75" customHeight="1" x14ac:dyDescent="0.25">
      <c r="A174" s="3"/>
      <c r="B174" s="745" t="s">
        <v>1304</v>
      </c>
      <c r="C174" s="1952"/>
      <c r="D174" s="204"/>
      <c r="E174" s="81"/>
      <c r="F174" s="81"/>
      <c r="G174" s="81"/>
      <c r="H174" s="81"/>
      <c r="I174" s="1049"/>
      <c r="J174" s="204"/>
      <c r="K174" s="1049"/>
      <c r="L174" s="81"/>
      <c r="M174" s="81"/>
      <c r="N174" s="81"/>
      <c r="O174" s="81"/>
      <c r="P174" s="81"/>
      <c r="Q174" s="81"/>
      <c r="R174" s="624"/>
      <c r="S174" s="1034"/>
      <c r="T174" s="81"/>
      <c r="U174" s="206"/>
      <c r="V174" s="1971"/>
      <c r="W174" s="1969"/>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c r="BG174" s="3"/>
      <c r="BH174" s="3"/>
      <c r="BI174" s="3"/>
      <c r="BJ174" s="3"/>
      <c r="BK174" s="3"/>
      <c r="BL174" s="3"/>
      <c r="BM174" s="3"/>
      <c r="BN174" s="3"/>
      <c r="BO174" s="3"/>
      <c r="BP174" s="3"/>
      <c r="BQ174" s="3"/>
      <c r="BR174" s="3"/>
      <c r="BS174" s="3"/>
      <c r="BT174" s="3"/>
      <c r="BU174" s="3"/>
      <c r="BV174" s="3"/>
      <c r="BW174" s="3"/>
      <c r="BX174" s="3"/>
      <c r="BY174" s="3"/>
      <c r="BZ174" s="3"/>
      <c r="CA174" s="3"/>
      <c r="CB174" s="3"/>
      <c r="CC174" s="3"/>
    </row>
    <row r="175" spans="1:81" ht="15.75" customHeight="1" x14ac:dyDescent="0.25">
      <c r="A175" s="3"/>
      <c r="B175" s="745" t="s">
        <v>1307</v>
      </c>
      <c r="C175" s="1509">
        <v>2292</v>
      </c>
      <c r="D175" s="204"/>
      <c r="E175" s="81">
        <v>1.8</v>
      </c>
      <c r="F175" s="81"/>
      <c r="G175" s="81">
        <v>0.83</v>
      </c>
      <c r="H175" s="81"/>
      <c r="I175" s="1049">
        <f t="shared" ref="I175:I179" si="81">C175*E175*G175*365</f>
        <v>1249850.52</v>
      </c>
      <c r="J175" s="204"/>
      <c r="K175" s="1049">
        <f t="shared" ref="K175:K179" si="82">(I175*0.2*0.01)/1000</f>
        <v>2.4997010400000006</v>
      </c>
      <c r="L175" s="81"/>
      <c r="M175" s="624">
        <f t="shared" ref="M175:M179" si="83">C175*(BI$157+BJ$157+BK$157+BL$157)*E175*G175*365</f>
        <v>1249850.52</v>
      </c>
      <c r="N175" s="81"/>
      <c r="O175" s="204" t="s">
        <v>907</v>
      </c>
      <c r="P175" s="81"/>
      <c r="Q175" s="204" t="s">
        <v>907</v>
      </c>
      <c r="R175" s="624"/>
      <c r="S175" s="1034">
        <f t="shared" ref="S175:S176" si="84">((M175)*(1-0.042)*(1-0.2)*0.0125)/1000</f>
        <v>11.9735679816</v>
      </c>
      <c r="T175" s="624"/>
      <c r="U175" s="1863" t="s">
        <v>907</v>
      </c>
      <c r="V175" s="1971"/>
      <c r="W175" s="1969"/>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c r="BG175" s="3"/>
      <c r="BH175" s="3"/>
      <c r="BI175" s="3"/>
      <c r="BJ175" s="3"/>
      <c r="BK175" s="3"/>
      <c r="BL175" s="3"/>
      <c r="BM175" s="3"/>
      <c r="BN175" s="3"/>
      <c r="BO175" s="3"/>
      <c r="BP175" s="3"/>
      <c r="BQ175" s="3"/>
      <c r="BR175" s="3"/>
      <c r="BS175" s="3"/>
      <c r="BT175" s="3"/>
      <c r="BU175" s="3"/>
      <c r="BV175" s="3"/>
      <c r="BW175" s="3"/>
      <c r="BX175" s="3"/>
      <c r="BY175" s="3"/>
      <c r="BZ175" s="3"/>
      <c r="CA175" s="3"/>
      <c r="CB175" s="3"/>
      <c r="CC175" s="3"/>
    </row>
    <row r="176" spans="1:81" ht="15.75" customHeight="1" x14ac:dyDescent="0.25">
      <c r="A176" s="3"/>
      <c r="B176" s="745" t="s">
        <v>1319</v>
      </c>
      <c r="C176" s="1509">
        <v>184</v>
      </c>
      <c r="D176" s="204"/>
      <c r="E176" s="81">
        <v>1.8</v>
      </c>
      <c r="F176" s="81"/>
      <c r="G176" s="81">
        <v>0.62</v>
      </c>
      <c r="H176" s="81"/>
      <c r="I176" s="1049">
        <f t="shared" si="81"/>
        <v>74950.559999999998</v>
      </c>
      <c r="J176" s="204"/>
      <c r="K176" s="1049">
        <f t="shared" si="82"/>
        <v>0.14990112000000003</v>
      </c>
      <c r="L176" s="81"/>
      <c r="M176" s="624">
        <f t="shared" si="83"/>
        <v>74950.559999999998</v>
      </c>
      <c r="N176" s="81"/>
      <c r="O176" s="204" t="s">
        <v>907</v>
      </c>
      <c r="P176" s="81"/>
      <c r="Q176" s="204" t="s">
        <v>907</v>
      </c>
      <c r="R176" s="624"/>
      <c r="S176" s="1034">
        <f t="shared" si="84"/>
        <v>0.71802636480000004</v>
      </c>
      <c r="T176" s="624"/>
      <c r="U176" s="1863" t="s">
        <v>907</v>
      </c>
      <c r="V176" s="1971"/>
      <c r="W176" s="1969"/>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c r="BG176" s="3"/>
      <c r="BH176" s="3"/>
      <c r="BI176" s="3"/>
      <c r="BJ176" s="3"/>
      <c r="BK176" s="3"/>
      <c r="BL176" s="3"/>
      <c r="BM176" s="3"/>
      <c r="BN176" s="3"/>
      <c r="BO176" s="3"/>
      <c r="BP176" s="3"/>
      <c r="BQ176" s="3"/>
      <c r="BR176" s="3"/>
      <c r="BS176" s="3"/>
      <c r="BT176" s="3"/>
      <c r="BU176" s="3"/>
      <c r="BV176" s="3"/>
      <c r="BW176" s="3"/>
      <c r="BX176" s="3"/>
      <c r="BY176" s="3"/>
      <c r="BZ176" s="3"/>
      <c r="CA176" s="3"/>
      <c r="CB176" s="3"/>
      <c r="CC176" s="3"/>
    </row>
    <row r="177" spans="1:81" ht="15.75" customHeight="1" x14ac:dyDescent="0.25">
      <c r="A177" s="3"/>
      <c r="B177" s="745" t="s">
        <v>1322</v>
      </c>
      <c r="C177" s="1509">
        <v>12</v>
      </c>
      <c r="D177" s="204"/>
      <c r="E177" s="81">
        <v>1.8</v>
      </c>
      <c r="F177" s="81"/>
      <c r="G177" s="81">
        <v>0.83</v>
      </c>
      <c r="H177" s="81"/>
      <c r="I177" s="1049">
        <f t="shared" si="81"/>
        <v>6543.72</v>
      </c>
      <c r="J177" s="204"/>
      <c r="K177" s="1049">
        <f t="shared" si="82"/>
        <v>1.3087440000000001E-2</v>
      </c>
      <c r="L177" s="81"/>
      <c r="M177" s="624">
        <f t="shared" si="83"/>
        <v>6543.72</v>
      </c>
      <c r="N177" s="81"/>
      <c r="O177" s="204" t="s">
        <v>907</v>
      </c>
      <c r="P177" s="81"/>
      <c r="Q177" s="204" t="s">
        <v>907</v>
      </c>
      <c r="R177" s="624"/>
      <c r="S177" s="1034">
        <f t="shared" ref="S177:S179" si="85">(((M177)*(0.958)*(1-0.2)*0.0125))/1000</f>
        <v>6.2688837600000005E-2</v>
      </c>
      <c r="T177" s="624"/>
      <c r="U177" s="1863" t="s">
        <v>907</v>
      </c>
      <c r="V177" s="1971"/>
      <c r="W177" s="1969"/>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c r="BG177" s="3"/>
      <c r="BH177" s="3"/>
      <c r="BI177" s="3"/>
      <c r="BJ177" s="3"/>
      <c r="BK177" s="3"/>
      <c r="BL177" s="3"/>
      <c r="BM177" s="3"/>
      <c r="BN177" s="3"/>
      <c r="BO177" s="3"/>
      <c r="BP177" s="3"/>
      <c r="BQ177" s="3"/>
      <c r="BR177" s="3"/>
      <c r="BS177" s="3"/>
      <c r="BT177" s="3"/>
      <c r="BU177" s="3"/>
      <c r="BV177" s="3"/>
      <c r="BW177" s="3"/>
      <c r="BX177" s="3"/>
      <c r="BY177" s="3"/>
      <c r="BZ177" s="3"/>
      <c r="CA177" s="3"/>
      <c r="CB177" s="3"/>
      <c r="CC177" s="3"/>
    </row>
    <row r="178" spans="1:81" ht="15.75" customHeight="1" x14ac:dyDescent="0.25">
      <c r="A178" s="3"/>
      <c r="B178" s="745" t="s">
        <v>1325</v>
      </c>
      <c r="C178" s="1509">
        <v>53072.7</v>
      </c>
      <c r="D178" s="204"/>
      <c r="E178" s="81">
        <v>0.9</v>
      </c>
      <c r="F178" s="81"/>
      <c r="G178" s="81">
        <v>1.1000000000000001</v>
      </c>
      <c r="H178" s="81"/>
      <c r="I178" s="1049">
        <f t="shared" si="81"/>
        <v>19177820.145000003</v>
      </c>
      <c r="J178" s="204"/>
      <c r="K178" s="1049">
        <f t="shared" si="82"/>
        <v>38.355640290000011</v>
      </c>
      <c r="L178" s="81"/>
      <c r="M178" s="624">
        <f t="shared" si="83"/>
        <v>19177820.145000003</v>
      </c>
      <c r="N178" s="81"/>
      <c r="O178" s="204" t="s">
        <v>907</v>
      </c>
      <c r="P178" s="81"/>
      <c r="Q178" s="204" t="s">
        <v>907</v>
      </c>
      <c r="R178" s="624"/>
      <c r="S178" s="1034">
        <f t="shared" si="85"/>
        <v>183.72351698910003</v>
      </c>
      <c r="T178" s="624"/>
      <c r="U178" s="1863" t="s">
        <v>907</v>
      </c>
      <c r="V178" s="30"/>
      <c r="W178" s="1969"/>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c r="BG178" s="3"/>
      <c r="BH178" s="3"/>
      <c r="BI178" s="3"/>
      <c r="BJ178" s="3"/>
      <c r="BK178" s="3"/>
      <c r="BL178" s="3"/>
      <c r="BM178" s="3"/>
      <c r="BN178" s="3"/>
      <c r="BO178" s="3"/>
      <c r="BP178" s="3"/>
      <c r="BQ178" s="3"/>
      <c r="BR178" s="3"/>
      <c r="BS178" s="3"/>
      <c r="BT178" s="3"/>
      <c r="BU178" s="3"/>
      <c r="BV178" s="3"/>
      <c r="BW178" s="3"/>
      <c r="BX178" s="3"/>
      <c r="BY178" s="3"/>
      <c r="BZ178" s="3"/>
      <c r="CA178" s="3"/>
      <c r="CB178" s="3"/>
      <c r="CC178" s="3"/>
    </row>
    <row r="179" spans="1:81" ht="15.75" customHeight="1" x14ac:dyDescent="0.25">
      <c r="A179" s="3"/>
      <c r="B179" s="745" t="s">
        <v>1328</v>
      </c>
      <c r="C179" s="1509">
        <v>704</v>
      </c>
      <c r="D179" s="204"/>
      <c r="E179" s="81">
        <v>6.8</v>
      </c>
      <c r="F179" s="81"/>
      <c r="G179" s="81">
        <v>0.74</v>
      </c>
      <c r="H179" s="81"/>
      <c r="I179" s="1049">
        <f t="shared" si="81"/>
        <v>1293022.72</v>
      </c>
      <c r="J179" s="204"/>
      <c r="K179" s="1049">
        <f t="shared" si="82"/>
        <v>2.5860454399999999</v>
      </c>
      <c r="L179" s="81"/>
      <c r="M179" s="624">
        <f t="shared" si="83"/>
        <v>1293022.72</v>
      </c>
      <c r="N179" s="81"/>
      <c r="O179" s="1049">
        <f>C179*(BS157)*E179*G179*365</f>
        <v>129302.27200000001</v>
      </c>
      <c r="P179" s="81"/>
      <c r="Q179" s="204" t="s">
        <v>907</v>
      </c>
      <c r="R179" s="624"/>
      <c r="S179" s="624">
        <f t="shared" si="85"/>
        <v>12.387157657600001</v>
      </c>
      <c r="T179" s="624"/>
      <c r="U179" s="752">
        <f>(O179*0.02)/1000</f>
        <v>2.5860454400000004</v>
      </c>
      <c r="V179" s="30"/>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c r="BG179" s="3"/>
      <c r="BH179" s="3"/>
      <c r="BI179" s="3"/>
      <c r="BJ179" s="3"/>
      <c r="BK179" s="3"/>
      <c r="BL179" s="3"/>
      <c r="BM179" s="3"/>
      <c r="BN179" s="3"/>
      <c r="BO179" s="3"/>
      <c r="BP179" s="3"/>
      <c r="BQ179" s="3"/>
      <c r="BR179" s="3"/>
      <c r="BS179" s="3"/>
      <c r="BT179" s="3"/>
      <c r="BU179" s="3"/>
      <c r="BV179" s="3"/>
      <c r="BW179" s="3"/>
      <c r="BX179" s="3"/>
      <c r="BY179" s="3"/>
      <c r="BZ179" s="3"/>
      <c r="CA179" s="3"/>
      <c r="CB179" s="3"/>
      <c r="CC179" s="3"/>
    </row>
    <row r="180" spans="1:81" ht="15.75" customHeight="1" x14ac:dyDescent="0.25">
      <c r="A180" s="3"/>
      <c r="B180" s="470" t="s">
        <v>702</v>
      </c>
      <c r="C180" s="1952"/>
      <c r="D180" s="204"/>
      <c r="E180" s="81"/>
      <c r="F180" s="81"/>
      <c r="G180" s="81"/>
      <c r="H180" s="81"/>
      <c r="I180" s="1049"/>
      <c r="J180" s="204"/>
      <c r="K180" s="1049"/>
      <c r="L180" s="81"/>
      <c r="M180" s="81"/>
      <c r="N180" s="81"/>
      <c r="O180" s="81"/>
      <c r="P180" s="81"/>
      <c r="Q180" s="81"/>
      <c r="R180" s="624"/>
      <c r="S180" s="81"/>
      <c r="T180" s="81"/>
      <c r="U180" s="206"/>
      <c r="V180" s="30"/>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c r="BG180" s="3"/>
      <c r="BH180" s="3"/>
      <c r="BI180" s="3"/>
      <c r="BJ180" s="3"/>
      <c r="BK180" s="3"/>
      <c r="BL180" s="3"/>
      <c r="BM180" s="3"/>
      <c r="BN180" s="3"/>
      <c r="BO180" s="3"/>
      <c r="BP180" s="3"/>
      <c r="BQ180" s="3"/>
      <c r="BR180" s="3"/>
      <c r="BS180" s="3"/>
      <c r="BT180" s="3"/>
      <c r="BU180" s="3"/>
      <c r="BV180" s="3"/>
      <c r="BW180" s="3"/>
      <c r="BX180" s="3"/>
      <c r="BY180" s="3"/>
      <c r="BZ180" s="3"/>
      <c r="CA180" s="3"/>
      <c r="CB180" s="3"/>
      <c r="CC180" s="3"/>
    </row>
    <row r="181" spans="1:81" ht="15.75" customHeight="1" x14ac:dyDescent="0.25">
      <c r="A181" s="3"/>
      <c r="B181" s="745" t="s">
        <v>1332</v>
      </c>
      <c r="C181" s="1509">
        <v>0</v>
      </c>
      <c r="D181" s="204"/>
      <c r="E181" s="81">
        <v>25</v>
      </c>
      <c r="F181" s="81"/>
      <c r="G181" s="81">
        <v>0.42</v>
      </c>
      <c r="H181" s="81"/>
      <c r="I181" s="1049">
        <f t="shared" ref="I181:I184" si="86">C181*E181*G181*365</f>
        <v>0</v>
      </c>
      <c r="J181" s="204"/>
      <c r="K181" s="1049">
        <f t="shared" ref="K181:K184" si="87">(I181*0.2*0.01)/1000</f>
        <v>0</v>
      </c>
      <c r="L181" s="204"/>
      <c r="M181" s="624">
        <f>C181*(1-BV157)*E181*G181*365</f>
        <v>0</v>
      </c>
      <c r="N181" s="204"/>
      <c r="O181" s="1049">
        <f>C181*(BV157)*E181*G181*365</f>
        <v>0</v>
      </c>
      <c r="P181" s="204"/>
      <c r="Q181" s="204" t="s">
        <v>907</v>
      </c>
      <c r="R181" s="624"/>
      <c r="S181" s="624">
        <f t="shared" ref="S181:S182" si="88">((M181)*(1-0.2)*0.0125)/1000</f>
        <v>0</v>
      </c>
      <c r="T181" s="624"/>
      <c r="U181" s="752">
        <f t="shared" ref="U181:U184" si="89">(O181*0.02)/1000</f>
        <v>0</v>
      </c>
      <c r="V181" s="30"/>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c r="BG181" s="3"/>
      <c r="BH181" s="3"/>
      <c r="BI181" s="3"/>
      <c r="BJ181" s="3"/>
      <c r="BK181" s="3"/>
      <c r="BL181" s="3"/>
      <c r="BM181" s="3"/>
      <c r="BN181" s="3"/>
      <c r="BO181" s="3"/>
      <c r="BP181" s="3"/>
      <c r="BQ181" s="3"/>
      <c r="BR181" s="3"/>
      <c r="BS181" s="3"/>
      <c r="BT181" s="3"/>
      <c r="BU181" s="3"/>
      <c r="BV181" s="3"/>
      <c r="BW181" s="3"/>
      <c r="BX181" s="3"/>
      <c r="BY181" s="3"/>
      <c r="BZ181" s="3"/>
      <c r="CA181" s="3"/>
      <c r="CB181" s="3"/>
      <c r="CC181" s="3"/>
    </row>
    <row r="182" spans="1:81" ht="15.75" customHeight="1" x14ac:dyDescent="0.25">
      <c r="A182" s="3"/>
      <c r="B182" s="745" t="s">
        <v>1333</v>
      </c>
      <c r="C182" s="1526">
        <v>24</v>
      </c>
      <c r="D182" s="204"/>
      <c r="E182" s="81">
        <v>80</v>
      </c>
      <c r="F182" s="81"/>
      <c r="G182" s="81">
        <v>0.42</v>
      </c>
      <c r="H182" s="81"/>
      <c r="I182" s="1049">
        <f t="shared" si="86"/>
        <v>294336</v>
      </c>
      <c r="J182" s="204"/>
      <c r="K182" s="1049">
        <f t="shared" si="87"/>
        <v>0.58867199999999997</v>
      </c>
      <c r="L182" s="204"/>
      <c r="M182" s="624">
        <f>C182*(1-BW157)*E182*G182*365</f>
        <v>0</v>
      </c>
      <c r="N182" s="204"/>
      <c r="O182" s="1049">
        <f>C182*(BW157)*E182*G182*365</f>
        <v>294336</v>
      </c>
      <c r="P182" s="204"/>
      <c r="Q182" s="204" t="s">
        <v>907</v>
      </c>
      <c r="R182" s="624"/>
      <c r="S182" s="624">
        <f t="shared" si="88"/>
        <v>0</v>
      </c>
      <c r="T182" s="624"/>
      <c r="U182" s="752">
        <f t="shared" si="89"/>
        <v>5.8867200000000004</v>
      </c>
      <c r="V182" s="30"/>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c r="BG182" s="3"/>
      <c r="BH182" s="3"/>
      <c r="BI182" s="3"/>
      <c r="BJ182" s="3"/>
      <c r="BK182" s="3"/>
      <c r="BL182" s="3"/>
      <c r="BM182" s="3"/>
      <c r="BN182" s="3"/>
      <c r="BO182" s="3"/>
      <c r="BP182" s="3"/>
      <c r="BQ182" s="3"/>
      <c r="BR182" s="3"/>
      <c r="BS182" s="3"/>
      <c r="BT182" s="3"/>
      <c r="BU182" s="3"/>
      <c r="BV182" s="3"/>
      <c r="BW182" s="3"/>
      <c r="BX182" s="3"/>
      <c r="BY182" s="3"/>
      <c r="BZ182" s="3"/>
      <c r="CA182" s="3"/>
      <c r="CB182" s="3"/>
      <c r="CC182" s="3"/>
    </row>
    <row r="183" spans="1:81" ht="15.75" customHeight="1" x14ac:dyDescent="0.25">
      <c r="A183" s="3"/>
      <c r="B183" s="745" t="s">
        <v>1224</v>
      </c>
      <c r="C183" s="1509">
        <v>12</v>
      </c>
      <c r="D183" s="204"/>
      <c r="E183" s="81">
        <v>64</v>
      </c>
      <c r="F183" s="81"/>
      <c r="G183" s="81">
        <v>0.45</v>
      </c>
      <c r="H183" s="81"/>
      <c r="I183" s="1049">
        <f t="shared" si="86"/>
        <v>126144.00000000001</v>
      </c>
      <c r="J183" s="204"/>
      <c r="K183" s="1049">
        <f t="shared" si="87"/>
        <v>0.25228800000000001</v>
      </c>
      <c r="L183" s="204"/>
      <c r="M183" s="1049" t="s">
        <v>907</v>
      </c>
      <c r="N183" s="204"/>
      <c r="O183" s="1049">
        <f>C183*(BZ157)*E183*G183*365</f>
        <v>126144.00000000001</v>
      </c>
      <c r="P183" s="204"/>
      <c r="Q183" s="204" t="s">
        <v>907</v>
      </c>
      <c r="R183" s="624"/>
      <c r="S183" s="1049" t="s">
        <v>907</v>
      </c>
      <c r="T183" s="624"/>
      <c r="U183" s="752">
        <f t="shared" si="89"/>
        <v>2.5228800000000007</v>
      </c>
      <c r="V183" s="30"/>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c r="BG183" s="3"/>
      <c r="BH183" s="3"/>
      <c r="BI183" s="3"/>
      <c r="BJ183" s="3"/>
      <c r="BK183" s="3"/>
      <c r="BL183" s="3"/>
      <c r="BM183" s="3"/>
      <c r="BN183" s="3"/>
      <c r="BO183" s="3"/>
      <c r="BP183" s="3"/>
      <c r="BQ183" s="3"/>
      <c r="BR183" s="3"/>
      <c r="BS183" s="3"/>
      <c r="BT183" s="3"/>
      <c r="BU183" s="3"/>
      <c r="BV183" s="3"/>
      <c r="BW183" s="3"/>
      <c r="BX183" s="3"/>
      <c r="BY183" s="3"/>
      <c r="BZ183" s="3"/>
      <c r="CA183" s="3"/>
      <c r="CB183" s="3"/>
      <c r="CC183" s="3"/>
    </row>
    <row r="184" spans="1:81" ht="15.75" customHeight="1" x14ac:dyDescent="0.25">
      <c r="A184" s="3"/>
      <c r="B184" s="745" t="s">
        <v>1226</v>
      </c>
      <c r="C184" s="1526">
        <v>79.099999999999994</v>
      </c>
      <c r="D184" s="204"/>
      <c r="E184" s="81">
        <v>450</v>
      </c>
      <c r="F184" s="81"/>
      <c r="G184" s="81">
        <v>0.3</v>
      </c>
      <c r="H184" s="81"/>
      <c r="I184" s="1049">
        <f t="shared" si="86"/>
        <v>3897652.5</v>
      </c>
      <c r="J184" s="204"/>
      <c r="K184" s="1049">
        <f t="shared" si="87"/>
        <v>7.7953049999999999</v>
      </c>
      <c r="L184" s="204"/>
      <c r="M184" s="1049" t="s">
        <v>907</v>
      </c>
      <c r="N184" s="204"/>
      <c r="O184" s="1049">
        <f>C184*CC157*E184*G184*365</f>
        <v>3897652.5</v>
      </c>
      <c r="P184" s="204"/>
      <c r="Q184" s="204" t="s">
        <v>907</v>
      </c>
      <c r="R184" s="624"/>
      <c r="S184" s="1049" t="s">
        <v>907</v>
      </c>
      <c r="T184" s="624"/>
      <c r="U184" s="752">
        <f t="shared" si="89"/>
        <v>77.953050000000005</v>
      </c>
      <c r="V184" s="30"/>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c r="BG184" s="3"/>
      <c r="BH184" s="3"/>
      <c r="BI184" s="3"/>
      <c r="BJ184" s="3"/>
      <c r="BK184" s="3"/>
      <c r="BL184" s="3"/>
      <c r="BM184" s="3"/>
      <c r="BN184" s="3"/>
      <c r="BO184" s="3"/>
      <c r="BP184" s="3"/>
      <c r="BQ184" s="3"/>
      <c r="BR184" s="3"/>
      <c r="BS184" s="3"/>
      <c r="BT184" s="3"/>
      <c r="BU184" s="3"/>
      <c r="BV184" s="3"/>
      <c r="BW184" s="3"/>
      <c r="BX184" s="3"/>
      <c r="BY184" s="3"/>
      <c r="BZ184" s="3"/>
      <c r="CA184" s="3"/>
      <c r="CB184" s="3"/>
      <c r="CC184" s="3"/>
    </row>
    <row r="185" spans="1:81" ht="15.75" customHeight="1" x14ac:dyDescent="0.25">
      <c r="A185" s="3"/>
      <c r="B185" s="1528" t="s">
        <v>1227</v>
      </c>
      <c r="C185" s="1975"/>
      <c r="D185" s="1529"/>
      <c r="E185" s="1534"/>
      <c r="F185" s="1534"/>
      <c r="G185" s="1534"/>
      <c r="H185" s="1534"/>
      <c r="I185" s="1611">
        <f>SUM(I157:I184)</f>
        <v>38992393.959000006</v>
      </c>
      <c r="J185" s="1529"/>
      <c r="K185" s="1611">
        <f>SUM(K157:K184)</f>
        <v>77.984787918000009</v>
      </c>
      <c r="L185" s="1534"/>
      <c r="M185" s="1611">
        <f>SUM(M157:M184)</f>
        <v>26061471.481390499</v>
      </c>
      <c r="N185" s="1529"/>
      <c r="O185" s="1611">
        <f>SUM(O157:O184)</f>
        <v>9822160.3820491023</v>
      </c>
      <c r="P185" s="1534"/>
      <c r="Q185" s="1611">
        <f>SUM(Q157:Q184)</f>
        <v>3238064.3675603988</v>
      </c>
      <c r="R185" s="1529"/>
      <c r="S185" s="1976">
        <f>SUM(S157:S184)</f>
        <v>283.83843967020903</v>
      </c>
      <c r="T185" s="1611"/>
      <c r="U185" s="1977">
        <f>SUM(U157:U184)</f>
        <v>196.44320764098205</v>
      </c>
      <c r="V185" s="292"/>
      <c r="W185" s="3"/>
      <c r="X185" s="3"/>
      <c r="Y185" s="110"/>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c r="BG185" s="3"/>
      <c r="BH185" s="3"/>
      <c r="BI185" s="3"/>
      <c r="BJ185" s="3"/>
      <c r="BK185" s="3"/>
      <c r="BL185" s="3"/>
      <c r="BM185" s="3"/>
      <c r="BN185" s="3"/>
      <c r="BO185" s="3"/>
      <c r="BP185" s="3"/>
      <c r="BQ185" s="3"/>
      <c r="BR185" s="3"/>
      <c r="BS185" s="3"/>
      <c r="BT185" s="3"/>
      <c r="BU185" s="3"/>
      <c r="BV185" s="3"/>
      <c r="BW185" s="3"/>
      <c r="BX185" s="3"/>
      <c r="BY185" s="3"/>
      <c r="BZ185" s="3"/>
      <c r="CA185" s="3"/>
      <c r="CB185" s="3"/>
      <c r="CC185" s="3"/>
    </row>
    <row r="186" spans="1:81" ht="15.75" customHeight="1" x14ac:dyDescent="0.25">
      <c r="A186" s="3"/>
      <c r="B186" s="1978"/>
      <c r="C186" s="1979"/>
      <c r="D186" s="114"/>
      <c r="E186" s="853"/>
      <c r="F186" s="114"/>
      <c r="G186" s="853"/>
      <c r="H186" s="73"/>
      <c r="I186" s="73"/>
      <c r="J186" s="73"/>
      <c r="K186" s="73"/>
      <c r="L186" s="73"/>
      <c r="M186" s="73"/>
      <c r="N186" s="184"/>
      <c r="O186" s="3"/>
      <c r="P186" s="3"/>
      <c r="Q186" s="3"/>
      <c r="R186" s="3"/>
      <c r="S186" s="3"/>
      <c r="T186" s="3"/>
      <c r="U186" s="3"/>
      <c r="V186" s="709"/>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c r="BG186" s="3"/>
      <c r="BH186" s="3"/>
      <c r="BI186" s="3"/>
      <c r="BJ186" s="3"/>
      <c r="BK186" s="3"/>
      <c r="BL186" s="3"/>
      <c r="BM186" s="3"/>
      <c r="BN186" s="3"/>
      <c r="BO186" s="3"/>
      <c r="BP186" s="3"/>
      <c r="BQ186" s="3"/>
      <c r="BR186" s="3"/>
      <c r="BS186" s="3"/>
      <c r="BT186" s="3"/>
      <c r="BU186" s="3"/>
      <c r="BV186" s="3"/>
      <c r="BW186" s="3"/>
      <c r="BX186" s="3"/>
      <c r="BY186" s="3"/>
      <c r="BZ186" s="3"/>
      <c r="CA186" s="3"/>
      <c r="CB186" s="3"/>
      <c r="CC186" s="3"/>
    </row>
    <row r="187" spans="1:81" ht="15.75" customHeight="1" x14ac:dyDescent="0.25">
      <c r="A187" s="3"/>
      <c r="B187" s="1980" t="s">
        <v>1733</v>
      </c>
      <c r="C187" s="1981"/>
      <c r="D187" s="1392"/>
      <c r="E187" s="1392"/>
      <c r="F187" s="1392"/>
      <c r="G187" s="1392"/>
      <c r="H187" s="1392"/>
      <c r="I187" s="1392"/>
      <c r="J187" s="1392"/>
      <c r="K187" s="1392"/>
      <c r="L187" s="1392"/>
      <c r="M187" s="1392"/>
      <c r="N187" s="1392"/>
      <c r="O187" s="1392"/>
      <c r="P187" s="1392"/>
      <c r="Q187" s="1392"/>
      <c r="R187" s="1982"/>
      <c r="S187" s="1983"/>
      <c r="T187" s="28"/>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c r="BG187" s="3"/>
      <c r="BH187" s="3"/>
      <c r="BI187" s="3"/>
      <c r="BJ187" s="3"/>
      <c r="BK187" s="3"/>
      <c r="BL187" s="3"/>
      <c r="BM187" s="3"/>
      <c r="BN187" s="3"/>
      <c r="BO187" s="3"/>
      <c r="BP187" s="3"/>
      <c r="BQ187" s="3"/>
      <c r="BR187" s="3"/>
      <c r="BS187" s="3"/>
      <c r="BT187" s="3"/>
      <c r="BU187" s="3"/>
      <c r="BV187" s="3"/>
      <c r="BW187" s="3"/>
      <c r="BX187" s="3"/>
      <c r="BY187" s="3"/>
      <c r="BZ187" s="3"/>
      <c r="CA187" s="3"/>
      <c r="CB187" s="3"/>
      <c r="CC187" s="3"/>
    </row>
    <row r="188" spans="1:81" ht="60" customHeight="1" x14ac:dyDescent="0.25">
      <c r="A188" s="3"/>
      <c r="B188" s="1984"/>
      <c r="C188" s="1985"/>
      <c r="D188" s="1986"/>
      <c r="E188" s="1376"/>
      <c r="F188" s="1553"/>
      <c r="G188" s="1988" t="s">
        <v>1734</v>
      </c>
      <c r="H188" s="1989"/>
      <c r="I188" s="1988" t="s">
        <v>1735</v>
      </c>
      <c r="J188" s="1989"/>
      <c r="K188" s="1988" t="s">
        <v>1736</v>
      </c>
      <c r="L188" s="1989"/>
      <c r="M188" s="1989"/>
      <c r="N188" s="1990"/>
      <c r="O188" s="1991" t="s">
        <v>1737</v>
      </c>
      <c r="P188" s="870"/>
      <c r="Q188" s="1991" t="s">
        <v>1738</v>
      </c>
      <c r="R188" s="1992"/>
      <c r="S188" s="1993" t="s">
        <v>1739</v>
      </c>
      <c r="T188" s="28"/>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c r="BG188" s="3"/>
      <c r="BH188" s="3"/>
      <c r="BI188" s="3"/>
      <c r="BJ188" s="3"/>
      <c r="BK188" s="3"/>
      <c r="BL188" s="3"/>
      <c r="BM188" s="3"/>
      <c r="BN188" s="3"/>
      <c r="BO188" s="3"/>
      <c r="BP188" s="3"/>
      <c r="BQ188" s="3"/>
      <c r="BR188" s="3"/>
      <c r="BS188" s="3"/>
      <c r="BT188" s="3"/>
      <c r="BU188" s="3"/>
      <c r="BV188" s="3"/>
      <c r="BW188" s="3"/>
      <c r="BX188" s="3"/>
      <c r="BY188" s="3"/>
      <c r="BZ188" s="3"/>
      <c r="CA188" s="3"/>
      <c r="CB188" s="3"/>
      <c r="CC188" s="3"/>
    </row>
    <row r="189" spans="1:81" ht="12.75" customHeight="1" x14ac:dyDescent="0.25">
      <c r="A189" s="3"/>
      <c r="B189" s="1842"/>
      <c r="C189" s="2360" t="s">
        <v>1740</v>
      </c>
      <c r="D189" s="2361"/>
      <c r="E189" s="2304"/>
      <c r="F189" s="1994"/>
      <c r="G189" s="1995">
        <f>K185*44/28</f>
        <v>122.54752387114287</v>
      </c>
      <c r="H189" s="1996"/>
      <c r="I189" s="1997">
        <f t="shared" ref="I189:I192" si="90">G189*$Z$8*12/44*10^-6</f>
        <v>9.1242201864060006E-3</v>
      </c>
      <c r="J189" s="1996"/>
      <c r="K189" s="1997">
        <f t="shared" ref="K189:K192" si="91">I189/(12/44)</f>
        <v>3.3455474016822008E-2</v>
      </c>
      <c r="L189" s="81"/>
      <c r="M189" s="977"/>
      <c r="N189" s="1998" t="s">
        <v>1743</v>
      </c>
      <c r="O189" s="1995">
        <f>W164*44/28</f>
        <v>248.9274919150329</v>
      </c>
      <c r="P189" s="977"/>
      <c r="Q189" s="1997">
        <f t="shared" ref="Q189:Q191" si="92">O189*$Z$8*12/44*10^-6</f>
        <v>1.8533783261673813E-2</v>
      </c>
      <c r="R189" s="977"/>
      <c r="S189" s="1997">
        <f t="shared" ref="S189:S191" si="93">Q189/(12/44)</f>
        <v>6.7957205292803982E-2</v>
      </c>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c r="BG189" s="3"/>
      <c r="BH189" s="3"/>
      <c r="BI189" s="3"/>
      <c r="BJ189" s="3"/>
      <c r="BK189" s="3"/>
      <c r="BL189" s="3"/>
      <c r="BM189" s="3"/>
      <c r="BN189" s="3"/>
      <c r="BO189" s="3"/>
      <c r="BP189" s="3"/>
      <c r="BQ189" s="3"/>
      <c r="BR189" s="3"/>
      <c r="BS189" s="3"/>
      <c r="BT189" s="3"/>
      <c r="BU189" s="3"/>
      <c r="BV189" s="3"/>
      <c r="BW189" s="3"/>
      <c r="BX189" s="3"/>
      <c r="BY189" s="3"/>
      <c r="BZ189" s="3"/>
      <c r="CA189" s="3"/>
      <c r="CB189" s="3"/>
      <c r="CC189" s="3"/>
    </row>
    <row r="190" spans="1:81" ht="15.75" customHeight="1" x14ac:dyDescent="0.25">
      <c r="A190" s="3"/>
      <c r="B190" s="1019"/>
      <c r="C190" s="58"/>
      <c r="D190" s="58"/>
      <c r="E190" s="1999" t="s">
        <v>1744</v>
      </c>
      <c r="F190" s="204"/>
      <c r="G190" s="1049">
        <f>(U185+S185)*44/28</f>
        <v>754.72830291758601</v>
      </c>
      <c r="H190" s="81"/>
      <c r="I190" s="1849">
        <f t="shared" si="90"/>
        <v>5.6192952735409349E-2</v>
      </c>
      <c r="J190" s="81"/>
      <c r="K190" s="1647">
        <f t="shared" si="91"/>
        <v>0.20604082669650095</v>
      </c>
      <c r="L190" s="81"/>
      <c r="M190" s="81"/>
      <c r="N190" s="2000" t="s">
        <v>1745</v>
      </c>
      <c r="O190" s="1049">
        <f>SUM(W159)*0.0075*44/28</f>
        <v>111.06152755999712</v>
      </c>
      <c r="P190" s="744"/>
      <c r="Q190" s="1049">
        <f t="shared" si="92"/>
        <v>8.2690355519670564E-3</v>
      </c>
      <c r="R190" s="744"/>
      <c r="S190" s="1653">
        <f t="shared" si="93"/>
        <v>3.031979702387921E-2</v>
      </c>
      <c r="T190" s="28"/>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c r="BG190" s="3"/>
      <c r="BH190" s="3"/>
      <c r="BI190" s="3"/>
      <c r="BJ190" s="3"/>
      <c r="BK190" s="3"/>
      <c r="BL190" s="3"/>
      <c r="BM190" s="3"/>
      <c r="BN190" s="3"/>
      <c r="BO190" s="3"/>
      <c r="BP190" s="3"/>
      <c r="BQ190" s="3"/>
      <c r="BR190" s="3"/>
      <c r="BS190" s="3"/>
      <c r="BT190" s="3"/>
      <c r="BU190" s="3"/>
      <c r="BV190" s="3"/>
      <c r="BW190" s="3"/>
      <c r="BX190" s="3"/>
      <c r="BY190" s="3"/>
      <c r="BZ190" s="3"/>
      <c r="CA190" s="3"/>
      <c r="CB190" s="3"/>
      <c r="CC190" s="3"/>
    </row>
    <row r="191" spans="1:81" ht="15.75" customHeight="1" x14ac:dyDescent="0.25">
      <c r="A191" s="3"/>
      <c r="B191" s="1019"/>
      <c r="C191" s="58"/>
      <c r="D191" s="58"/>
      <c r="E191" s="1999" t="s">
        <v>1746</v>
      </c>
      <c r="F191" s="204"/>
      <c r="G191" s="1049">
        <f>U185*44/28</f>
        <v>308.69646915011469</v>
      </c>
      <c r="H191" s="81"/>
      <c r="I191" s="1849">
        <f t="shared" si="90"/>
        <v>2.2983855293994899E-2</v>
      </c>
      <c r="J191" s="81"/>
      <c r="K191" s="1647">
        <f t="shared" si="91"/>
        <v>8.4274136077981301E-2</v>
      </c>
      <c r="L191" s="81"/>
      <c r="M191" s="81"/>
      <c r="N191" s="2000" t="s">
        <v>1747</v>
      </c>
      <c r="O191" s="1049">
        <f>SUM(W162)*0.0075*44/28</f>
        <v>137.86596435503574</v>
      </c>
      <c r="P191" s="744"/>
      <c r="Q191" s="1049">
        <f t="shared" si="92"/>
        <v>1.0264747709706753E-2</v>
      </c>
      <c r="R191" s="744"/>
      <c r="S191" s="1653">
        <f t="shared" si="93"/>
        <v>3.7637408268924762E-2</v>
      </c>
      <c r="T191" s="28"/>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c r="BG191" s="3"/>
      <c r="BH191" s="3"/>
      <c r="BI191" s="3"/>
      <c r="BJ191" s="3"/>
      <c r="BK191" s="3"/>
      <c r="BL191" s="3"/>
      <c r="BM191" s="3"/>
      <c r="BN191" s="3"/>
      <c r="BO191" s="3"/>
      <c r="BP191" s="3"/>
      <c r="BQ191" s="3"/>
      <c r="BR191" s="3"/>
      <c r="BS191" s="3"/>
      <c r="BT191" s="3"/>
      <c r="BU191" s="3"/>
      <c r="BV191" s="3"/>
      <c r="BW191" s="3"/>
      <c r="BX191" s="3"/>
      <c r="BY191" s="3"/>
      <c r="BZ191" s="3"/>
      <c r="CA191" s="3"/>
      <c r="CB191" s="3"/>
      <c r="CC191" s="3"/>
    </row>
    <row r="192" spans="1:81" ht="12.75" customHeight="1" x14ac:dyDescent="0.25">
      <c r="A192" s="3"/>
      <c r="B192" s="1842"/>
      <c r="C192" s="2360" t="s">
        <v>1750</v>
      </c>
      <c r="D192" s="2361"/>
      <c r="E192" s="2304"/>
      <c r="F192" s="2001"/>
      <c r="G192" s="1995">
        <f>SUM(G190:G191)</f>
        <v>1063.4247720677008</v>
      </c>
      <c r="H192" s="977"/>
      <c r="I192" s="1997">
        <f t="shared" si="90"/>
        <v>7.9176808029404272E-2</v>
      </c>
      <c r="J192" s="2001"/>
      <c r="K192" s="1997">
        <f t="shared" si="91"/>
        <v>0.29031496277448238</v>
      </c>
      <c r="L192" s="81"/>
      <c r="M192" s="204"/>
      <c r="N192" s="76"/>
      <c r="O192" s="76"/>
      <c r="P192" s="944"/>
      <c r="Q192" s="944"/>
      <c r="R192" s="744"/>
      <c r="S192" s="495"/>
      <c r="T192" s="28"/>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c r="BG192" s="3"/>
      <c r="BH192" s="3"/>
      <c r="BI192" s="3"/>
      <c r="BJ192" s="3"/>
      <c r="BK192" s="3"/>
      <c r="BL192" s="3"/>
      <c r="BM192" s="3"/>
      <c r="BN192" s="3"/>
      <c r="BO192" s="3"/>
      <c r="BP192" s="3"/>
      <c r="BQ192" s="3"/>
      <c r="BR192" s="3"/>
      <c r="BS192" s="3"/>
      <c r="BT192" s="3"/>
      <c r="BU192" s="3"/>
      <c r="BV192" s="3"/>
      <c r="BW192" s="3"/>
      <c r="BX192" s="3"/>
      <c r="BY192" s="3"/>
      <c r="BZ192" s="3"/>
      <c r="CA192" s="3"/>
      <c r="CB192" s="3"/>
      <c r="CC192" s="3"/>
    </row>
    <row r="193" spans="1:81" ht="15.75" customHeight="1" x14ac:dyDescent="0.25">
      <c r="A193" s="3"/>
      <c r="B193" s="2002"/>
      <c r="C193" s="2003"/>
      <c r="D193" s="2003"/>
      <c r="E193" s="2003"/>
      <c r="F193" s="1706"/>
      <c r="G193" s="2004"/>
      <c r="H193" s="210"/>
      <c r="I193" s="2005"/>
      <c r="J193" s="1706"/>
      <c r="K193" s="2005"/>
      <c r="L193" s="210"/>
      <c r="M193" s="1706"/>
      <c r="N193" s="2006"/>
      <c r="O193" s="12"/>
      <c r="P193" s="1136"/>
      <c r="Q193" s="1136"/>
      <c r="R193" s="12"/>
      <c r="S193" s="498"/>
      <c r="T193" s="28"/>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c r="BG193" s="3"/>
      <c r="BH193" s="3"/>
      <c r="BI193" s="3"/>
      <c r="BJ193" s="3"/>
      <c r="BK193" s="3"/>
      <c r="BL193" s="3"/>
      <c r="BM193" s="3"/>
      <c r="BN193" s="3"/>
      <c r="BO193" s="3"/>
      <c r="BP193" s="3"/>
      <c r="BQ193" s="3"/>
      <c r="BR193" s="3"/>
      <c r="BS193" s="3"/>
      <c r="BT193" s="3"/>
      <c r="BU193" s="3"/>
      <c r="BV193" s="3"/>
      <c r="BW193" s="3"/>
      <c r="BX193" s="3"/>
      <c r="BY193" s="3"/>
      <c r="BZ193" s="3"/>
      <c r="CA193" s="3"/>
      <c r="CB193" s="3"/>
      <c r="CC193" s="3"/>
    </row>
    <row r="194" spans="1:81" ht="15.75" customHeight="1" x14ac:dyDescent="0.25">
      <c r="A194" s="3"/>
      <c r="B194" s="2007"/>
      <c r="C194" s="2008"/>
      <c r="D194" s="2008"/>
      <c r="E194" s="2008"/>
      <c r="F194" s="864"/>
      <c r="G194" s="1096"/>
      <c r="H194" s="3"/>
      <c r="I194" s="2009"/>
      <c r="J194" s="864"/>
      <c r="K194" s="2009"/>
      <c r="L194" s="3"/>
      <c r="M194" s="864"/>
      <c r="N194" s="3"/>
      <c r="O194" s="3"/>
      <c r="P194" s="864"/>
      <c r="Q194" s="864"/>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c r="BG194" s="3"/>
      <c r="BH194" s="3"/>
      <c r="BI194" s="3"/>
      <c r="BJ194" s="3"/>
      <c r="BK194" s="3"/>
      <c r="BL194" s="3"/>
      <c r="BM194" s="3"/>
      <c r="BN194" s="3"/>
      <c r="BO194" s="3"/>
      <c r="BP194" s="3"/>
      <c r="BQ194" s="3"/>
      <c r="BR194" s="3"/>
      <c r="BS194" s="3"/>
      <c r="BT194" s="3"/>
      <c r="BU194" s="3"/>
      <c r="BV194" s="3"/>
      <c r="BW194" s="3"/>
      <c r="BX194" s="3"/>
      <c r="BY194" s="3"/>
      <c r="BZ194" s="3"/>
      <c r="CA194" s="3"/>
      <c r="CB194" s="3"/>
      <c r="CC194" s="3"/>
    </row>
    <row r="195" spans="1:81" ht="15.75" customHeight="1" x14ac:dyDescent="0.25">
      <c r="A195" s="3"/>
      <c r="B195" s="1536"/>
      <c r="C195" s="1136"/>
      <c r="D195" s="1136"/>
      <c r="E195" s="1136"/>
      <c r="F195" s="1136"/>
      <c r="G195" s="1537"/>
      <c r="H195" s="13"/>
      <c r="I195" s="909"/>
      <c r="J195" s="13"/>
      <c r="K195" s="908"/>
      <c r="L195" s="3"/>
      <c r="M195" s="908"/>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c r="BG195" s="3"/>
      <c r="BH195" s="3"/>
      <c r="BI195" s="3"/>
      <c r="BJ195" s="3"/>
      <c r="BK195" s="3"/>
      <c r="BL195" s="3"/>
      <c r="BM195" s="3"/>
      <c r="BN195" s="3"/>
      <c r="BO195" s="3"/>
      <c r="BP195" s="3"/>
      <c r="BQ195" s="3"/>
      <c r="BR195" s="3"/>
      <c r="BS195" s="3"/>
      <c r="BT195" s="3"/>
      <c r="BU195" s="3"/>
      <c r="BV195" s="3"/>
      <c r="BW195" s="3"/>
      <c r="BX195" s="3"/>
      <c r="BY195" s="3"/>
      <c r="BZ195" s="3"/>
      <c r="CA195" s="3"/>
      <c r="CB195" s="3"/>
      <c r="CC195" s="3"/>
    </row>
    <row r="196" spans="1:81" ht="21" customHeight="1" x14ac:dyDescent="0.4">
      <c r="A196" s="3"/>
      <c r="B196" s="1486" t="s">
        <v>1755</v>
      </c>
      <c r="C196" s="1540"/>
      <c r="D196" s="1540"/>
      <c r="E196" s="1540"/>
      <c r="F196" s="1540"/>
      <c r="G196" s="1541"/>
      <c r="H196" s="1542"/>
      <c r="I196" s="1543"/>
      <c r="J196" s="1542"/>
      <c r="K196" s="1544"/>
      <c r="L196" s="1489"/>
      <c r="M196" s="1544"/>
      <c r="N196" s="1489"/>
      <c r="O196" s="1489"/>
      <c r="P196" s="1489"/>
      <c r="Q196" s="1489"/>
      <c r="R196" s="1489"/>
      <c r="S196" s="1489"/>
      <c r="T196" s="1489"/>
      <c r="U196" s="1489"/>
      <c r="V196" s="1489"/>
      <c r="W196" s="1489"/>
      <c r="X196" s="1489"/>
      <c r="Y196" s="1489"/>
      <c r="Z196" s="1489"/>
      <c r="AA196" s="1489"/>
      <c r="AB196" s="1489"/>
      <c r="AC196" s="2010"/>
      <c r="AD196" s="28"/>
      <c r="AE196" s="3"/>
      <c r="AF196" s="3"/>
      <c r="AG196" s="3"/>
      <c r="AH196" s="60" t="s">
        <v>1612</v>
      </c>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c r="BG196" s="3"/>
      <c r="BH196" s="3"/>
      <c r="BI196" s="3"/>
      <c r="BJ196" s="3"/>
      <c r="BK196" s="3"/>
      <c r="BL196" s="3"/>
      <c r="BM196" s="3"/>
      <c r="BN196" s="3"/>
      <c r="BO196" s="3"/>
      <c r="BP196" s="3"/>
      <c r="BQ196" s="3"/>
      <c r="BR196" s="3"/>
      <c r="BS196" s="3"/>
      <c r="BT196" s="3"/>
      <c r="BU196" s="3"/>
      <c r="BV196" s="3"/>
      <c r="BW196" s="3"/>
      <c r="BX196" s="3"/>
      <c r="BY196" s="3"/>
      <c r="BZ196" s="3"/>
      <c r="CA196" s="3"/>
      <c r="CB196" s="3"/>
      <c r="CC196" s="3"/>
    </row>
    <row r="197" spans="1:81" ht="60" customHeight="1" x14ac:dyDescent="0.25">
      <c r="A197" s="1011"/>
      <c r="B197" s="2011" t="s">
        <v>1757</v>
      </c>
      <c r="C197" s="1636" t="s">
        <v>21</v>
      </c>
      <c r="D197" s="597"/>
      <c r="E197" s="1496" t="s">
        <v>1758</v>
      </c>
      <c r="F197" s="1496"/>
      <c r="G197" s="1496" t="s">
        <v>1759</v>
      </c>
      <c r="H197" s="597"/>
      <c r="I197" s="1496" t="s">
        <v>1760</v>
      </c>
      <c r="J197" s="1496"/>
      <c r="K197" s="1496" t="s">
        <v>1761</v>
      </c>
      <c r="L197" s="1499"/>
      <c r="M197" s="1496" t="s">
        <v>1762</v>
      </c>
      <c r="N197" s="1499"/>
      <c r="O197" s="1496" t="s">
        <v>1763</v>
      </c>
      <c r="P197" s="1499"/>
      <c r="Q197" s="1496" t="s">
        <v>1764</v>
      </c>
      <c r="R197" s="597"/>
      <c r="S197" s="1496" t="s">
        <v>1765</v>
      </c>
      <c r="T197" s="597"/>
      <c r="U197" s="2012" t="s">
        <v>1767</v>
      </c>
      <c r="V197" s="597"/>
      <c r="W197" s="2012" t="s">
        <v>1768</v>
      </c>
      <c r="X197" s="597"/>
      <c r="Y197" s="1496" t="s">
        <v>1769</v>
      </c>
      <c r="Z197" s="597"/>
      <c r="AA197" s="1496" t="s">
        <v>1770</v>
      </c>
      <c r="AB197" s="1499"/>
      <c r="AC197" s="2013" t="s">
        <v>1771</v>
      </c>
      <c r="AD197" s="28"/>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c r="BG197" s="3"/>
      <c r="BH197" s="3"/>
      <c r="BI197" s="3"/>
      <c r="BJ197" s="3"/>
      <c r="BK197" s="3"/>
      <c r="BL197" s="3"/>
      <c r="BM197" s="3"/>
      <c r="BN197" s="3"/>
      <c r="BO197" s="3"/>
      <c r="BP197" s="3"/>
      <c r="BQ197" s="3"/>
      <c r="BR197" s="3"/>
      <c r="BS197" s="3"/>
      <c r="BT197" s="3"/>
      <c r="BU197" s="3"/>
      <c r="BV197" s="3"/>
      <c r="BW197" s="3"/>
      <c r="BX197" s="3"/>
      <c r="BY197" s="3"/>
      <c r="BZ197" s="3"/>
      <c r="CA197" s="3"/>
      <c r="CB197" s="3"/>
      <c r="CC197" s="3"/>
    </row>
    <row r="198" spans="1:81" ht="15.75" customHeight="1" x14ac:dyDescent="0.25">
      <c r="A198" s="1011"/>
      <c r="B198" s="201"/>
      <c r="C198" s="81"/>
      <c r="D198" s="81"/>
      <c r="E198" s="204"/>
      <c r="F198" s="204"/>
      <c r="G198" s="81"/>
      <c r="H198" s="81"/>
      <c r="I198" s="81"/>
      <c r="J198" s="81"/>
      <c r="K198" s="81"/>
      <c r="L198" s="81"/>
      <c r="M198" s="81"/>
      <c r="N198" s="81"/>
      <c r="O198" s="81"/>
      <c r="P198" s="81"/>
      <c r="Q198" s="81"/>
      <c r="R198" s="81"/>
      <c r="S198" s="81"/>
      <c r="T198" s="81"/>
      <c r="U198" s="624"/>
      <c r="V198" s="81"/>
      <c r="W198" s="624"/>
      <c r="X198" s="81"/>
      <c r="Y198" s="81"/>
      <c r="Z198" s="81"/>
      <c r="AA198" s="81"/>
      <c r="AB198" s="81"/>
      <c r="AC198" s="76"/>
      <c r="AD198" s="28"/>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c r="BG198" s="3"/>
      <c r="BH198" s="3"/>
      <c r="BI198" s="3"/>
      <c r="BJ198" s="3"/>
      <c r="BK198" s="3"/>
      <c r="BL198" s="3"/>
      <c r="BM198" s="3"/>
      <c r="BN198" s="3"/>
      <c r="BO198" s="3"/>
      <c r="BP198" s="3"/>
      <c r="BQ198" s="3"/>
      <c r="BR198" s="3"/>
      <c r="BS198" s="3"/>
      <c r="BT198" s="3"/>
      <c r="BU198" s="3"/>
      <c r="BV198" s="3"/>
      <c r="BW198" s="3"/>
      <c r="BX198" s="3"/>
      <c r="BY198" s="3"/>
      <c r="BZ198" s="3"/>
      <c r="CA198" s="3"/>
      <c r="CB198" s="3"/>
      <c r="CC198" s="3"/>
    </row>
    <row r="199" spans="1:81" ht="15.75" customHeight="1" x14ac:dyDescent="0.25">
      <c r="A199" s="1011"/>
      <c r="B199" s="745" t="s">
        <v>1780</v>
      </c>
      <c r="C199" s="81" t="s">
        <v>1477</v>
      </c>
      <c r="D199" s="81"/>
      <c r="E199" s="1566">
        <v>2880</v>
      </c>
      <c r="F199" s="204" t="s">
        <v>889</v>
      </c>
      <c r="G199" s="204">
        <v>2.1772E-2</v>
      </c>
      <c r="H199" s="81"/>
      <c r="I199" s="1049">
        <f t="shared" ref="I199:I200" si="94">E199*G199*1000</f>
        <v>62703.359999999993</v>
      </c>
      <c r="J199" s="204" t="s">
        <v>904</v>
      </c>
      <c r="K199" s="1568">
        <v>1.2</v>
      </c>
      <c r="L199" s="204" t="s">
        <v>904</v>
      </c>
      <c r="M199" s="672">
        <v>0.03</v>
      </c>
      <c r="N199" s="204" t="s">
        <v>904</v>
      </c>
      <c r="O199" s="204">
        <v>0.93</v>
      </c>
      <c r="P199" s="204" t="s">
        <v>904</v>
      </c>
      <c r="Q199" s="1038">
        <v>0.93</v>
      </c>
      <c r="R199" s="204" t="s">
        <v>904</v>
      </c>
      <c r="S199" s="1038">
        <v>0.88</v>
      </c>
      <c r="T199" s="204" t="s">
        <v>889</v>
      </c>
      <c r="U199" s="2014">
        <v>0.44850000000000001</v>
      </c>
      <c r="V199" s="204" t="s">
        <v>889</v>
      </c>
      <c r="W199" s="1049">
        <f t="shared" ref="W199:W207" si="95">I199*K199*M199*O199*Q199*S199*U199</f>
        <v>770.55622062262273</v>
      </c>
      <c r="X199" s="204" t="s">
        <v>889</v>
      </c>
      <c r="Y199" s="927">
        <f t="shared" ref="Y199:Y207" si="96">W199*0.005*(16/12)</f>
        <v>5.1370414708174845</v>
      </c>
      <c r="Z199" s="927" t="s">
        <v>889</v>
      </c>
      <c r="AA199" s="2015">
        <f t="shared" ref="AA199:AA207" si="97">Y199/(10^6)*$Z$7*12/44</f>
        <v>3.9088215555220309E-5</v>
      </c>
      <c r="AB199" s="927" t="s">
        <v>889</v>
      </c>
      <c r="AC199" s="2016">
        <f t="shared" ref="AC199:AC207" si="98">AA199/(12/44)</f>
        <v>1.4332345703580782E-4</v>
      </c>
      <c r="AD199" s="28"/>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c r="BG199" s="3"/>
      <c r="BH199" s="3"/>
      <c r="BI199" s="3"/>
      <c r="BJ199" s="3"/>
      <c r="BK199" s="3"/>
      <c r="BL199" s="3"/>
      <c r="BM199" s="3"/>
      <c r="BN199" s="3"/>
      <c r="BO199" s="3"/>
      <c r="BP199" s="3"/>
      <c r="BQ199" s="3"/>
      <c r="BR199" s="3"/>
      <c r="BS199" s="3"/>
      <c r="BT199" s="3"/>
      <c r="BU199" s="3"/>
      <c r="BV199" s="3"/>
      <c r="BW199" s="3"/>
      <c r="BX199" s="3"/>
      <c r="BY199" s="3"/>
      <c r="BZ199" s="3"/>
      <c r="CA199" s="3"/>
      <c r="CB199" s="3"/>
      <c r="CC199" s="3"/>
    </row>
    <row r="200" spans="1:81" ht="15.75" customHeight="1" x14ac:dyDescent="0.25">
      <c r="A200" s="1011"/>
      <c r="B200" s="745" t="s">
        <v>1787</v>
      </c>
      <c r="C200" s="81" t="s">
        <v>1477</v>
      </c>
      <c r="D200" s="81"/>
      <c r="E200" s="1566">
        <v>46870</v>
      </c>
      <c r="F200" s="204" t="s">
        <v>889</v>
      </c>
      <c r="G200" s="204">
        <v>2.5401147108E-2</v>
      </c>
      <c r="H200" s="81"/>
      <c r="I200" s="1049">
        <f t="shared" si="94"/>
        <v>1190551.76495196</v>
      </c>
      <c r="J200" s="204" t="s">
        <v>904</v>
      </c>
      <c r="K200" s="1568">
        <v>1</v>
      </c>
      <c r="L200" s="204" t="s">
        <v>904</v>
      </c>
      <c r="M200" s="672">
        <v>0.03</v>
      </c>
      <c r="N200" s="204" t="s">
        <v>904</v>
      </c>
      <c r="O200" s="204">
        <v>0.91</v>
      </c>
      <c r="P200" s="204" t="s">
        <v>904</v>
      </c>
      <c r="Q200" s="1038">
        <v>0.93</v>
      </c>
      <c r="R200" s="204" t="s">
        <v>904</v>
      </c>
      <c r="S200" s="1038">
        <v>0.88</v>
      </c>
      <c r="T200" s="204" t="s">
        <v>889</v>
      </c>
      <c r="U200" s="2014">
        <v>0.44779999999999998</v>
      </c>
      <c r="V200" s="204" t="s">
        <v>889</v>
      </c>
      <c r="W200" s="1049">
        <f t="shared" si="95"/>
        <v>11911.340514384598</v>
      </c>
      <c r="X200" s="204" t="s">
        <v>889</v>
      </c>
      <c r="Y200" s="927">
        <f t="shared" si="96"/>
        <v>79.408936762563982</v>
      </c>
      <c r="Z200" s="927" t="s">
        <v>889</v>
      </c>
      <c r="AA200" s="2015">
        <f t="shared" si="97"/>
        <v>6.0422981882060048E-4</v>
      </c>
      <c r="AB200" s="927" t="s">
        <v>889</v>
      </c>
      <c r="AC200" s="2016">
        <f t="shared" si="98"/>
        <v>2.2155093356755352E-3</v>
      </c>
      <c r="AD200" s="28"/>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c r="BG200" s="3"/>
      <c r="BH200" s="3"/>
      <c r="BI200" s="3"/>
      <c r="BJ200" s="3"/>
      <c r="BK200" s="3"/>
      <c r="BL200" s="3"/>
      <c r="BM200" s="3"/>
      <c r="BN200" s="3"/>
      <c r="BO200" s="3"/>
      <c r="BP200" s="3"/>
      <c r="BQ200" s="3"/>
      <c r="BR200" s="3"/>
      <c r="BS200" s="3"/>
      <c r="BT200" s="3"/>
      <c r="BU200" s="3"/>
      <c r="BV200" s="3"/>
      <c r="BW200" s="3"/>
      <c r="BX200" s="3"/>
      <c r="BY200" s="3"/>
      <c r="BZ200" s="3"/>
      <c r="CA200" s="3"/>
      <c r="CB200" s="3"/>
      <c r="CC200" s="3"/>
    </row>
    <row r="201" spans="1:81" ht="15.75" customHeight="1" x14ac:dyDescent="0.25">
      <c r="A201" s="1011"/>
      <c r="B201" s="745" t="s">
        <v>1520</v>
      </c>
      <c r="C201" s="81" t="s">
        <v>1789</v>
      </c>
      <c r="D201" s="81"/>
      <c r="E201" s="1566">
        <v>0</v>
      </c>
      <c r="F201" s="204" t="s">
        <v>889</v>
      </c>
      <c r="G201" s="204" t="s">
        <v>907</v>
      </c>
      <c r="H201" s="81"/>
      <c r="I201" s="1049">
        <f>(E201*1000/2000*0.9072)</f>
        <v>0</v>
      </c>
      <c r="J201" s="204" t="s">
        <v>904</v>
      </c>
      <c r="K201" s="1568">
        <v>1</v>
      </c>
      <c r="L201" s="204" t="s">
        <v>904</v>
      </c>
      <c r="M201" s="672">
        <v>0.03</v>
      </c>
      <c r="N201" s="204" t="s">
        <v>904</v>
      </c>
      <c r="O201" s="204">
        <v>0.86</v>
      </c>
      <c r="P201" s="204" t="s">
        <v>904</v>
      </c>
      <c r="Q201" s="1038">
        <v>0.93</v>
      </c>
      <c r="R201" s="204" t="s">
        <v>904</v>
      </c>
      <c r="S201" s="1038">
        <v>0.88</v>
      </c>
      <c r="T201" s="204" t="s">
        <v>889</v>
      </c>
      <c r="U201" s="2014">
        <v>0.45</v>
      </c>
      <c r="V201" s="204" t="s">
        <v>889</v>
      </c>
      <c r="W201" s="1049">
        <f t="shared" si="95"/>
        <v>0</v>
      </c>
      <c r="X201" s="204" t="s">
        <v>889</v>
      </c>
      <c r="Y201" s="927">
        <f t="shared" si="96"/>
        <v>0</v>
      </c>
      <c r="Z201" s="927" t="s">
        <v>889</v>
      </c>
      <c r="AA201" s="2015">
        <f t="shared" si="97"/>
        <v>0</v>
      </c>
      <c r="AB201" s="927" t="s">
        <v>889</v>
      </c>
      <c r="AC201" s="2016">
        <f t="shared" si="98"/>
        <v>0</v>
      </c>
      <c r="AD201" s="28"/>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c r="BG201" s="3"/>
      <c r="BH201" s="3"/>
      <c r="BI201" s="3"/>
      <c r="BJ201" s="3"/>
      <c r="BK201" s="3"/>
      <c r="BL201" s="3"/>
      <c r="BM201" s="3"/>
      <c r="BN201" s="3"/>
      <c r="BO201" s="3"/>
      <c r="BP201" s="3"/>
      <c r="BQ201" s="3"/>
      <c r="BR201" s="3"/>
      <c r="BS201" s="3"/>
      <c r="BT201" s="3"/>
      <c r="BU201" s="3"/>
      <c r="BV201" s="3"/>
      <c r="BW201" s="3"/>
      <c r="BX201" s="3"/>
      <c r="BY201" s="3"/>
      <c r="BZ201" s="3"/>
      <c r="CA201" s="3"/>
      <c r="CB201" s="3"/>
      <c r="CC201" s="3"/>
    </row>
    <row r="202" spans="1:81" ht="15.75" customHeight="1" x14ac:dyDescent="0.25">
      <c r="A202" s="1011"/>
      <c r="B202" s="745" t="s">
        <v>1500</v>
      </c>
      <c r="C202" s="81" t="s">
        <v>1791</v>
      </c>
      <c r="D202" s="81"/>
      <c r="E202" s="1566">
        <v>0</v>
      </c>
      <c r="F202" s="204" t="s">
        <v>889</v>
      </c>
      <c r="G202" s="204" t="s">
        <v>907</v>
      </c>
      <c r="H202" s="81"/>
      <c r="I202" s="1049">
        <v>0</v>
      </c>
      <c r="J202" s="204" t="s">
        <v>904</v>
      </c>
      <c r="K202" s="1568">
        <v>1.4</v>
      </c>
      <c r="L202" s="204" t="s">
        <v>904</v>
      </c>
      <c r="M202" s="672">
        <v>0</v>
      </c>
      <c r="N202" s="204" t="s">
        <v>904</v>
      </c>
      <c r="O202" s="204">
        <v>0.91</v>
      </c>
      <c r="P202" s="204" t="s">
        <v>904</v>
      </c>
      <c r="Q202" s="1038">
        <v>0.93</v>
      </c>
      <c r="R202" s="204" t="s">
        <v>904</v>
      </c>
      <c r="S202" s="1038">
        <v>0.88</v>
      </c>
      <c r="T202" s="204" t="s">
        <v>889</v>
      </c>
      <c r="U202" s="2014">
        <v>0.38059999999999999</v>
      </c>
      <c r="V202" s="204" t="s">
        <v>889</v>
      </c>
      <c r="W202" s="1049">
        <f t="shared" si="95"/>
        <v>0</v>
      </c>
      <c r="X202" s="204" t="s">
        <v>889</v>
      </c>
      <c r="Y202" s="927">
        <f t="shared" si="96"/>
        <v>0</v>
      </c>
      <c r="Z202" s="927" t="s">
        <v>889</v>
      </c>
      <c r="AA202" s="2015">
        <f t="shared" si="97"/>
        <v>0</v>
      </c>
      <c r="AB202" s="927" t="s">
        <v>889</v>
      </c>
      <c r="AC202" s="2016">
        <f t="shared" si="98"/>
        <v>0</v>
      </c>
      <c r="AD202" s="28"/>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c r="BG202" s="3"/>
      <c r="BH202" s="3"/>
      <c r="BI202" s="3"/>
      <c r="BJ202" s="3"/>
      <c r="BK202" s="3"/>
      <c r="BL202" s="3"/>
      <c r="BM202" s="3"/>
      <c r="BN202" s="3"/>
      <c r="BO202" s="3"/>
      <c r="BP202" s="3"/>
      <c r="BQ202" s="3"/>
      <c r="BR202" s="3"/>
      <c r="BS202" s="3"/>
      <c r="BT202" s="3"/>
      <c r="BU202" s="3"/>
      <c r="BV202" s="3"/>
      <c r="BW202" s="3"/>
      <c r="BX202" s="3"/>
      <c r="BY202" s="3"/>
      <c r="BZ202" s="3"/>
      <c r="CA202" s="3"/>
      <c r="CB202" s="3"/>
      <c r="CC202" s="3"/>
    </row>
    <row r="203" spans="1:81" ht="15.75" customHeight="1" x14ac:dyDescent="0.25">
      <c r="A203" s="1011"/>
      <c r="B203" s="745" t="s">
        <v>1793</v>
      </c>
      <c r="C203" s="81" t="s">
        <v>1477</v>
      </c>
      <c r="D203" s="81"/>
      <c r="E203" s="1566">
        <v>17903</v>
      </c>
      <c r="F203" s="204" t="s">
        <v>889</v>
      </c>
      <c r="G203" s="204">
        <v>2.7215692074999999E-2</v>
      </c>
      <c r="H203" s="81"/>
      <c r="I203" s="1049">
        <f>E203*G203*1000</f>
        <v>487242.53521872498</v>
      </c>
      <c r="J203" s="204" t="s">
        <v>904</v>
      </c>
      <c r="K203" s="1568">
        <v>2.1</v>
      </c>
      <c r="L203" s="204" t="s">
        <v>904</v>
      </c>
      <c r="M203" s="672">
        <v>0.03</v>
      </c>
      <c r="N203" s="204" t="s">
        <v>904</v>
      </c>
      <c r="O203" s="204">
        <v>0.87</v>
      </c>
      <c r="P203" s="204" t="s">
        <v>904</v>
      </c>
      <c r="Q203" s="1038">
        <v>0.93</v>
      </c>
      <c r="R203" s="204" t="s">
        <v>904</v>
      </c>
      <c r="S203" s="1038">
        <v>0.88</v>
      </c>
      <c r="T203" s="204" t="s">
        <v>889</v>
      </c>
      <c r="U203" s="2014">
        <v>0.45</v>
      </c>
      <c r="V203" s="204" t="s">
        <v>889</v>
      </c>
      <c r="W203" s="1049">
        <f t="shared" si="95"/>
        <v>9835.1985285039955</v>
      </c>
      <c r="X203" s="204" t="s">
        <v>889</v>
      </c>
      <c r="Y203" s="927">
        <f t="shared" si="96"/>
        <v>65.567990190026634</v>
      </c>
      <c r="Z203" s="927" t="s">
        <v>889</v>
      </c>
      <c r="AA203" s="2015">
        <f t="shared" si="97"/>
        <v>4.9891279808229351E-4</v>
      </c>
      <c r="AB203" s="927" t="s">
        <v>889</v>
      </c>
      <c r="AC203" s="2016">
        <f t="shared" si="98"/>
        <v>1.8293469263017429E-3</v>
      </c>
      <c r="AD203" s="28"/>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c r="BG203" s="3"/>
      <c r="BH203" s="3"/>
      <c r="BI203" s="3"/>
      <c r="BJ203" s="3"/>
      <c r="BK203" s="3"/>
      <c r="BL203" s="3"/>
      <c r="BM203" s="3"/>
      <c r="BN203" s="3"/>
      <c r="BO203" s="3"/>
      <c r="BP203" s="3"/>
      <c r="BQ203" s="3"/>
      <c r="BR203" s="3"/>
      <c r="BS203" s="3"/>
      <c r="BT203" s="3"/>
      <c r="BU203" s="3"/>
      <c r="BV203" s="3"/>
      <c r="BW203" s="3"/>
      <c r="BX203" s="3"/>
      <c r="BY203" s="3"/>
      <c r="BZ203" s="3"/>
      <c r="CA203" s="3"/>
      <c r="CB203" s="3"/>
      <c r="CC203" s="3"/>
    </row>
    <row r="204" spans="1:81" ht="15.75" customHeight="1" x14ac:dyDescent="0.25">
      <c r="A204" s="1011"/>
      <c r="B204" s="745" t="s">
        <v>1794</v>
      </c>
      <c r="C204" s="81" t="s">
        <v>1467</v>
      </c>
      <c r="D204" s="81"/>
      <c r="E204" s="1566">
        <v>0</v>
      </c>
      <c r="F204" s="204" t="s">
        <v>889</v>
      </c>
      <c r="G204" s="204" t="s">
        <v>907</v>
      </c>
      <c r="H204" s="81"/>
      <c r="I204" s="1049">
        <f>E204*0.9072*1000</f>
        <v>0</v>
      </c>
      <c r="J204" s="204" t="s">
        <v>904</v>
      </c>
      <c r="K204" s="1568">
        <v>0.2</v>
      </c>
      <c r="L204" s="204" t="s">
        <v>904</v>
      </c>
      <c r="M204" s="672">
        <v>0.03</v>
      </c>
      <c r="N204" s="204" t="s">
        <v>904</v>
      </c>
      <c r="O204" s="204">
        <v>0.62</v>
      </c>
      <c r="P204" s="204" t="s">
        <v>904</v>
      </c>
      <c r="Q204" s="1038">
        <v>0.93</v>
      </c>
      <c r="R204" s="204" t="s">
        <v>904</v>
      </c>
      <c r="S204" s="1038">
        <v>0.88</v>
      </c>
      <c r="T204" s="204" t="s">
        <v>889</v>
      </c>
      <c r="U204" s="2014">
        <v>0.42349999999999999</v>
      </c>
      <c r="V204" s="204" t="s">
        <v>889</v>
      </c>
      <c r="W204" s="1049">
        <f t="shared" si="95"/>
        <v>0</v>
      </c>
      <c r="X204" s="204" t="s">
        <v>889</v>
      </c>
      <c r="Y204" s="927">
        <f t="shared" si="96"/>
        <v>0</v>
      </c>
      <c r="Z204" s="927" t="s">
        <v>889</v>
      </c>
      <c r="AA204" s="2015">
        <f t="shared" si="97"/>
        <v>0</v>
      </c>
      <c r="AB204" s="927" t="s">
        <v>889</v>
      </c>
      <c r="AC204" s="2016">
        <f t="shared" si="98"/>
        <v>0</v>
      </c>
      <c r="AD204" s="28"/>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c r="BG204" s="3"/>
      <c r="BH204" s="3"/>
      <c r="BI204" s="3"/>
      <c r="BJ204" s="3"/>
      <c r="BK204" s="3"/>
      <c r="BL204" s="3"/>
      <c r="BM204" s="3"/>
      <c r="BN204" s="3"/>
      <c r="BO204" s="3"/>
      <c r="BP204" s="3"/>
      <c r="BQ204" s="3"/>
      <c r="BR204" s="3"/>
      <c r="BS204" s="3"/>
      <c r="BT204" s="3"/>
      <c r="BU204" s="3"/>
      <c r="BV204" s="3"/>
      <c r="BW204" s="3"/>
      <c r="BX204" s="3"/>
      <c r="BY204" s="3"/>
      <c r="BZ204" s="3"/>
      <c r="CA204" s="3"/>
      <c r="CB204" s="3"/>
      <c r="CC204" s="3"/>
    </row>
    <row r="205" spans="1:81" ht="15.75" customHeight="1" x14ac:dyDescent="0.25">
      <c r="A205" s="1011"/>
      <c r="B205" s="745" t="s">
        <v>1795</v>
      </c>
      <c r="C205" s="81" t="s">
        <v>1477</v>
      </c>
      <c r="D205" s="81"/>
      <c r="E205" s="1566">
        <v>12540</v>
      </c>
      <c r="F205" s="204" t="s">
        <v>889</v>
      </c>
      <c r="G205" s="204">
        <v>2.7215442853E-2</v>
      </c>
      <c r="H205" s="81"/>
      <c r="I205" s="1049">
        <f>E205*G205*1000</f>
        <v>341281.65337661997</v>
      </c>
      <c r="J205" s="204" t="s">
        <v>904</v>
      </c>
      <c r="K205" s="1568">
        <v>1.3</v>
      </c>
      <c r="L205" s="204" t="s">
        <v>904</v>
      </c>
      <c r="M205" s="672">
        <v>0.03</v>
      </c>
      <c r="N205" s="204" t="s">
        <v>904</v>
      </c>
      <c r="O205" s="204">
        <v>0.93</v>
      </c>
      <c r="P205" s="204" t="s">
        <v>904</v>
      </c>
      <c r="Q205" s="1038">
        <v>0.93</v>
      </c>
      <c r="R205" s="204" t="s">
        <v>904</v>
      </c>
      <c r="S205" s="1038">
        <v>0.88</v>
      </c>
      <c r="T205" s="204" t="s">
        <v>889</v>
      </c>
      <c r="U205" s="2014">
        <v>0.44280000000000003</v>
      </c>
      <c r="V205" s="204" t="s">
        <v>889</v>
      </c>
      <c r="W205" s="1049">
        <f t="shared" si="95"/>
        <v>4485.7362088284426</v>
      </c>
      <c r="X205" s="204" t="s">
        <v>889</v>
      </c>
      <c r="Y205" s="927">
        <f t="shared" si="96"/>
        <v>29.904908058856282</v>
      </c>
      <c r="Z205" s="927" t="s">
        <v>889</v>
      </c>
      <c r="AA205" s="2015">
        <f t="shared" si="97"/>
        <v>2.2754916404784281E-4</v>
      </c>
      <c r="AB205" s="927" t="s">
        <v>889</v>
      </c>
      <c r="AC205" s="2016">
        <f t="shared" si="98"/>
        <v>8.3434693484209037E-4</v>
      </c>
      <c r="AD205" s="28"/>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c r="BG205" s="3"/>
      <c r="BH205" s="3"/>
      <c r="BI205" s="3"/>
      <c r="BJ205" s="3"/>
      <c r="BK205" s="3"/>
      <c r="BL205" s="3"/>
      <c r="BM205" s="3"/>
      <c r="BN205" s="3"/>
      <c r="BO205" s="3"/>
      <c r="BP205" s="3"/>
      <c r="BQ205" s="3"/>
      <c r="BR205" s="3"/>
      <c r="BS205" s="3"/>
      <c r="BT205" s="3"/>
      <c r="BU205" s="3"/>
      <c r="BV205" s="3"/>
      <c r="BW205" s="3"/>
      <c r="BX205" s="3"/>
      <c r="BY205" s="3"/>
      <c r="BZ205" s="3"/>
      <c r="CA205" s="3"/>
      <c r="CB205" s="3"/>
      <c r="CC205" s="3"/>
    </row>
    <row r="206" spans="1:81" ht="15.75" customHeight="1" x14ac:dyDescent="0.25">
      <c r="A206" s="1011"/>
      <c r="B206" s="745" t="s">
        <v>702</v>
      </c>
      <c r="C206" s="81" t="s">
        <v>1089</v>
      </c>
      <c r="D206" s="81"/>
      <c r="E206" s="1566"/>
      <c r="F206" s="204" t="s">
        <v>889</v>
      </c>
      <c r="G206" s="204" t="s">
        <v>907</v>
      </c>
      <c r="H206" s="81"/>
      <c r="I206" s="1049">
        <f t="shared" ref="I206:I207" si="99">E206</f>
        <v>0</v>
      </c>
      <c r="J206" s="204" t="s">
        <v>904</v>
      </c>
      <c r="K206" s="2017"/>
      <c r="L206" s="204" t="s">
        <v>904</v>
      </c>
      <c r="M206" s="2018"/>
      <c r="N206" s="204" t="s">
        <v>904</v>
      </c>
      <c r="O206" s="2019"/>
      <c r="P206" s="204" t="s">
        <v>904</v>
      </c>
      <c r="Q206" s="2020"/>
      <c r="R206" s="204" t="s">
        <v>904</v>
      </c>
      <c r="S206" s="2021"/>
      <c r="T206" s="204" t="s">
        <v>889</v>
      </c>
      <c r="U206" s="2022"/>
      <c r="V206" s="204" t="s">
        <v>889</v>
      </c>
      <c r="W206" s="1049">
        <f t="shared" si="95"/>
        <v>0</v>
      </c>
      <c r="X206" s="204" t="s">
        <v>889</v>
      </c>
      <c r="Y206" s="927">
        <f t="shared" si="96"/>
        <v>0</v>
      </c>
      <c r="Z206" s="927" t="s">
        <v>889</v>
      </c>
      <c r="AA206" s="2015">
        <f t="shared" si="97"/>
        <v>0</v>
      </c>
      <c r="AB206" s="927" t="s">
        <v>889</v>
      </c>
      <c r="AC206" s="2016">
        <f t="shared" si="98"/>
        <v>0</v>
      </c>
      <c r="AD206" s="28"/>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c r="BG206" s="3"/>
      <c r="BH206" s="3"/>
      <c r="BI206" s="3"/>
      <c r="BJ206" s="3"/>
      <c r="BK206" s="3"/>
      <c r="BL206" s="3"/>
      <c r="BM206" s="3"/>
      <c r="BN206" s="3"/>
      <c r="BO206" s="3"/>
      <c r="BP206" s="3"/>
      <c r="BQ206" s="3"/>
      <c r="BR206" s="3"/>
      <c r="BS206" s="3"/>
      <c r="BT206" s="3"/>
      <c r="BU206" s="3"/>
      <c r="BV206" s="3"/>
      <c r="BW206" s="3"/>
      <c r="BX206" s="3"/>
      <c r="BY206" s="3"/>
      <c r="BZ206" s="3"/>
      <c r="CA206" s="3"/>
      <c r="CB206" s="3"/>
      <c r="CC206" s="3"/>
    </row>
    <row r="207" spans="1:81" ht="15.75" customHeight="1" x14ac:dyDescent="0.25">
      <c r="A207" s="1011"/>
      <c r="B207" s="745"/>
      <c r="C207" s="81" t="s">
        <v>1089</v>
      </c>
      <c r="D207" s="81"/>
      <c r="E207" s="1566"/>
      <c r="F207" s="204" t="s">
        <v>889</v>
      </c>
      <c r="G207" s="204" t="s">
        <v>907</v>
      </c>
      <c r="H207" s="81"/>
      <c r="I207" s="1049">
        <f t="shared" si="99"/>
        <v>0</v>
      </c>
      <c r="J207" s="204" t="s">
        <v>904</v>
      </c>
      <c r="K207" s="2017"/>
      <c r="L207" s="204" t="s">
        <v>904</v>
      </c>
      <c r="M207" s="2018"/>
      <c r="N207" s="204" t="s">
        <v>904</v>
      </c>
      <c r="O207" s="2019"/>
      <c r="P207" s="204" t="s">
        <v>904</v>
      </c>
      <c r="Q207" s="2020"/>
      <c r="R207" s="204" t="s">
        <v>904</v>
      </c>
      <c r="S207" s="2021"/>
      <c r="T207" s="204" t="s">
        <v>889</v>
      </c>
      <c r="U207" s="2022"/>
      <c r="V207" s="204" t="s">
        <v>889</v>
      </c>
      <c r="W207" s="1049">
        <f t="shared" si="95"/>
        <v>0</v>
      </c>
      <c r="X207" s="204" t="s">
        <v>889</v>
      </c>
      <c r="Y207" s="927">
        <f t="shared" si="96"/>
        <v>0</v>
      </c>
      <c r="Z207" s="927" t="s">
        <v>889</v>
      </c>
      <c r="AA207" s="2015">
        <f t="shared" si="97"/>
        <v>0</v>
      </c>
      <c r="AB207" s="927" t="s">
        <v>889</v>
      </c>
      <c r="AC207" s="2016">
        <f t="shared" si="98"/>
        <v>0</v>
      </c>
      <c r="AD207" s="28"/>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c r="BG207" s="3"/>
      <c r="BH207" s="3"/>
      <c r="BI207" s="3"/>
      <c r="BJ207" s="3"/>
      <c r="BK207" s="3"/>
      <c r="BL207" s="3"/>
      <c r="BM207" s="3"/>
      <c r="BN207" s="3"/>
      <c r="BO207" s="3"/>
      <c r="BP207" s="3"/>
      <c r="BQ207" s="3"/>
      <c r="BR207" s="3"/>
      <c r="BS207" s="3"/>
      <c r="BT207" s="3"/>
      <c r="BU207" s="3"/>
      <c r="BV207" s="3"/>
      <c r="BW207" s="3"/>
      <c r="BX207" s="3"/>
      <c r="BY207" s="3"/>
      <c r="BZ207" s="3"/>
      <c r="CA207" s="3"/>
      <c r="CB207" s="3"/>
      <c r="CC207" s="3"/>
    </row>
    <row r="208" spans="1:81" ht="15.75" customHeight="1" x14ac:dyDescent="0.25">
      <c r="A208" s="1011"/>
      <c r="B208" s="470"/>
      <c r="C208" s="58"/>
      <c r="D208" s="81"/>
      <c r="E208" s="1034"/>
      <c r="F208" s="204"/>
      <c r="G208" s="81"/>
      <c r="H208" s="81"/>
      <c r="I208" s="204"/>
      <c r="J208" s="204"/>
      <c r="K208" s="624"/>
      <c r="L208" s="204"/>
      <c r="M208" s="1037"/>
      <c r="N208" s="204"/>
      <c r="O208" s="1038"/>
      <c r="P208" s="81"/>
      <c r="Q208" s="81"/>
      <c r="R208" s="81"/>
      <c r="S208" s="81"/>
      <c r="T208" s="81"/>
      <c r="U208" s="624"/>
      <c r="V208" s="81"/>
      <c r="W208" s="624"/>
      <c r="X208" s="81"/>
      <c r="Y208" s="81"/>
      <c r="Z208" s="81"/>
      <c r="AA208" s="81"/>
      <c r="AB208" s="81"/>
      <c r="AC208" s="76"/>
      <c r="AD208" s="28"/>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c r="BG208" s="3"/>
      <c r="BH208" s="3"/>
      <c r="BI208" s="3"/>
      <c r="BJ208" s="3"/>
      <c r="BK208" s="3"/>
      <c r="BL208" s="3"/>
      <c r="BM208" s="3"/>
      <c r="BN208" s="3"/>
      <c r="BO208" s="3"/>
      <c r="BP208" s="3"/>
      <c r="BQ208" s="3"/>
      <c r="BR208" s="3"/>
      <c r="BS208" s="3"/>
      <c r="BT208" s="3"/>
      <c r="BU208" s="3"/>
      <c r="BV208" s="3"/>
      <c r="BW208" s="3"/>
      <c r="BX208" s="3"/>
      <c r="BY208" s="3"/>
      <c r="BZ208" s="3"/>
      <c r="CA208" s="3"/>
      <c r="CB208" s="3"/>
      <c r="CC208" s="3"/>
    </row>
    <row r="209" spans="1:81" ht="15.75" customHeight="1" x14ac:dyDescent="0.25">
      <c r="A209" s="1011"/>
      <c r="B209" s="1528" t="s">
        <v>1227</v>
      </c>
      <c r="C209" s="1808"/>
      <c r="D209" s="1534"/>
      <c r="E209" s="1529"/>
      <c r="F209" s="1529"/>
      <c r="G209" s="1534"/>
      <c r="H209" s="1534"/>
      <c r="I209" s="1529"/>
      <c r="J209" s="1529"/>
      <c r="K209" s="1530"/>
      <c r="L209" s="1531"/>
      <c r="M209" s="1530"/>
      <c r="N209" s="1531"/>
      <c r="O209" s="1533"/>
      <c r="P209" s="1534"/>
      <c r="Q209" s="1533"/>
      <c r="R209" s="1534"/>
      <c r="S209" s="1533"/>
      <c r="T209" s="1534"/>
      <c r="U209" s="1530"/>
      <c r="V209" s="1534"/>
      <c r="W209" s="1530">
        <f>SUM(W199:W207)</f>
        <v>27002.831472339658</v>
      </c>
      <c r="X209" s="1534"/>
      <c r="Y209" s="1533">
        <f>SUM(Y199:Y207)</f>
        <v>180.01887648226437</v>
      </c>
      <c r="Z209" s="1534"/>
      <c r="AA209" s="1533">
        <f>SUM(AA199:AA207)</f>
        <v>1.3697799965059572E-3</v>
      </c>
      <c r="AB209" s="1534"/>
      <c r="AC209" s="2023">
        <f>SUM(AC199:AC207)</f>
        <v>5.0225266538551768E-3</v>
      </c>
      <c r="AD209" s="28"/>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c r="BG209" s="3"/>
      <c r="BH209" s="3"/>
      <c r="BI209" s="3"/>
      <c r="BJ209" s="3"/>
      <c r="BK209" s="3"/>
      <c r="BL209" s="3"/>
      <c r="BM209" s="3"/>
      <c r="BN209" s="3"/>
      <c r="BO209" s="3"/>
      <c r="BP209" s="3"/>
      <c r="BQ209" s="3"/>
      <c r="BR209" s="3"/>
      <c r="BS209" s="3"/>
      <c r="BT209" s="3"/>
      <c r="BU209" s="3"/>
      <c r="BV209" s="3"/>
      <c r="BW209" s="3"/>
      <c r="BX209" s="3"/>
      <c r="BY209" s="3"/>
      <c r="BZ209" s="3"/>
      <c r="CA209" s="3"/>
      <c r="CB209" s="3"/>
      <c r="CC209" s="3"/>
    </row>
    <row r="210" spans="1:81" ht="15.75" customHeight="1" x14ac:dyDescent="0.25">
      <c r="A210" s="3"/>
      <c r="B210" s="60"/>
      <c r="C210" s="864"/>
      <c r="D210" s="864"/>
      <c r="E210" s="864"/>
      <c r="F210" s="864"/>
      <c r="G210" s="542"/>
      <c r="H210" s="13"/>
      <c r="I210" s="909"/>
      <c r="J210" s="13"/>
      <c r="K210" s="908"/>
      <c r="L210" s="3"/>
      <c r="M210" s="908"/>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c r="BG210" s="3"/>
      <c r="BH210" s="3"/>
      <c r="BI210" s="3"/>
      <c r="BJ210" s="3"/>
      <c r="BK210" s="3"/>
      <c r="BL210" s="3"/>
      <c r="BM210" s="3"/>
      <c r="BN210" s="3"/>
      <c r="BO210" s="3"/>
      <c r="BP210" s="3"/>
      <c r="BQ210" s="3"/>
      <c r="BR210" s="3"/>
      <c r="BS210" s="3"/>
      <c r="BT210" s="3"/>
      <c r="BU210" s="3"/>
      <c r="BV210" s="3"/>
      <c r="BW210" s="3"/>
      <c r="BX210" s="3"/>
      <c r="BY210" s="3"/>
      <c r="BZ210" s="3"/>
      <c r="CA210" s="3"/>
      <c r="CB210" s="3"/>
      <c r="CC210" s="3"/>
    </row>
    <row r="211" spans="1:81" ht="21" customHeight="1" x14ac:dyDescent="0.4">
      <c r="A211" s="30"/>
      <c r="B211" s="2024" t="s">
        <v>1802</v>
      </c>
      <c r="C211" s="1540"/>
      <c r="D211" s="1540"/>
      <c r="E211" s="1540"/>
      <c r="F211" s="1540"/>
      <c r="G211" s="1541"/>
      <c r="H211" s="1542"/>
      <c r="I211" s="1543"/>
      <c r="J211" s="1542"/>
      <c r="K211" s="1544"/>
      <c r="L211" s="1489"/>
      <c r="M211" s="1544"/>
      <c r="N211" s="1489"/>
      <c r="O211" s="1489"/>
      <c r="P211" s="1489"/>
      <c r="Q211" s="1489"/>
      <c r="R211" s="1489"/>
      <c r="S211" s="1489"/>
      <c r="T211" s="1489"/>
      <c r="U211" s="1489"/>
      <c r="V211" s="1489"/>
      <c r="W211" s="1489"/>
      <c r="X211" s="1489"/>
      <c r="Y211" s="1489"/>
      <c r="Z211" s="1489"/>
      <c r="AA211" s="1489"/>
      <c r="AB211" s="1489"/>
      <c r="AC211" s="1492"/>
      <c r="AD211" s="1892"/>
      <c r="AE211" s="3"/>
      <c r="AF211" s="3"/>
      <c r="AG211" s="3"/>
      <c r="AH211" s="60" t="s">
        <v>1612</v>
      </c>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c r="BG211" s="3"/>
      <c r="BH211" s="3"/>
      <c r="BI211" s="3"/>
      <c r="BJ211" s="3"/>
      <c r="BK211" s="3"/>
      <c r="BL211" s="3"/>
      <c r="BM211" s="3"/>
      <c r="BN211" s="3"/>
      <c r="BO211" s="3"/>
      <c r="BP211" s="3"/>
      <c r="BQ211" s="3"/>
      <c r="BR211" s="3"/>
      <c r="BS211" s="3"/>
      <c r="BT211" s="3"/>
      <c r="BU211" s="3"/>
      <c r="BV211" s="3"/>
      <c r="BW211" s="3"/>
      <c r="BX211" s="3"/>
      <c r="BY211" s="3"/>
      <c r="BZ211" s="3"/>
      <c r="CA211" s="3"/>
      <c r="CB211" s="3"/>
      <c r="CC211" s="3"/>
    </row>
    <row r="212" spans="1:81" ht="45" customHeight="1" x14ac:dyDescent="0.25">
      <c r="A212" s="2025"/>
      <c r="B212" s="2026" t="s">
        <v>1757</v>
      </c>
      <c r="C212" s="1636" t="s">
        <v>21</v>
      </c>
      <c r="D212" s="597"/>
      <c r="E212" s="1496" t="s">
        <v>1758</v>
      </c>
      <c r="F212" s="1496"/>
      <c r="G212" s="597" t="s">
        <v>1759</v>
      </c>
      <c r="H212" s="597"/>
      <c r="I212" s="1496" t="s">
        <v>1760</v>
      </c>
      <c r="J212" s="1496"/>
      <c r="K212" s="1496" t="s">
        <v>1761</v>
      </c>
      <c r="L212" s="1499"/>
      <c r="M212" s="1496" t="s">
        <v>1803</v>
      </c>
      <c r="N212" s="1499"/>
      <c r="O212" s="1496" t="s">
        <v>1763</v>
      </c>
      <c r="P212" s="1499"/>
      <c r="Q212" s="1496" t="s">
        <v>1764</v>
      </c>
      <c r="R212" s="597"/>
      <c r="S212" s="1496" t="s">
        <v>1765</v>
      </c>
      <c r="T212" s="597"/>
      <c r="U212" s="2012" t="s">
        <v>1804</v>
      </c>
      <c r="V212" s="597"/>
      <c r="W212" s="1496" t="s">
        <v>1805</v>
      </c>
      <c r="X212" s="597"/>
      <c r="Y212" s="1496" t="s">
        <v>1806</v>
      </c>
      <c r="Z212" s="597"/>
      <c r="AA212" s="1496" t="s">
        <v>1807</v>
      </c>
      <c r="AB212" s="597"/>
      <c r="AC212" s="1502" t="s">
        <v>1808</v>
      </c>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c r="BG212" s="3"/>
      <c r="BH212" s="3"/>
      <c r="BI212" s="3"/>
      <c r="BJ212" s="3"/>
      <c r="BK212" s="3"/>
      <c r="BL212" s="3"/>
      <c r="BM212" s="3"/>
      <c r="BN212" s="3"/>
      <c r="BO212" s="3"/>
      <c r="BP212" s="3"/>
      <c r="BQ212" s="3"/>
      <c r="BR212" s="3"/>
      <c r="BS212" s="3"/>
      <c r="BT212" s="3"/>
      <c r="BU212" s="3"/>
      <c r="BV212" s="3"/>
      <c r="BW212" s="3"/>
      <c r="BX212" s="3"/>
      <c r="BY212" s="3"/>
      <c r="BZ212" s="3"/>
      <c r="CA212" s="3"/>
      <c r="CB212" s="3"/>
      <c r="CC212" s="3"/>
    </row>
    <row r="213" spans="1:81" ht="15.75" customHeight="1" x14ac:dyDescent="0.25">
      <c r="A213" s="2025"/>
      <c r="B213" s="1006"/>
      <c r="C213" s="81"/>
      <c r="D213" s="81"/>
      <c r="E213" s="204"/>
      <c r="F213" s="204"/>
      <c r="G213" s="81"/>
      <c r="H213" s="81"/>
      <c r="I213" s="81"/>
      <c r="J213" s="81"/>
      <c r="K213" s="81"/>
      <c r="L213" s="81"/>
      <c r="M213" s="81"/>
      <c r="N213" s="81"/>
      <c r="O213" s="81"/>
      <c r="P213" s="81"/>
      <c r="Q213" s="81"/>
      <c r="R213" s="81"/>
      <c r="S213" s="81"/>
      <c r="T213" s="81"/>
      <c r="U213" s="624"/>
      <c r="V213" s="81"/>
      <c r="W213" s="81"/>
      <c r="X213" s="81"/>
      <c r="Y213" s="81"/>
      <c r="Z213" s="81"/>
      <c r="AA213" s="81"/>
      <c r="AB213" s="81"/>
      <c r="AC213" s="206"/>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c r="BG213" s="3"/>
      <c r="BH213" s="3"/>
      <c r="BI213" s="3"/>
      <c r="BJ213" s="3"/>
      <c r="BK213" s="3"/>
      <c r="BL213" s="3"/>
      <c r="BM213" s="3"/>
      <c r="BN213" s="3"/>
      <c r="BO213" s="3"/>
      <c r="BP213" s="3"/>
      <c r="BQ213" s="3"/>
      <c r="BR213" s="3"/>
      <c r="BS213" s="3"/>
      <c r="BT213" s="3"/>
      <c r="BU213" s="3"/>
      <c r="BV213" s="3"/>
      <c r="BW213" s="3"/>
      <c r="BX213" s="3"/>
      <c r="BY213" s="3"/>
      <c r="BZ213" s="3"/>
      <c r="CA213" s="3"/>
      <c r="CB213" s="3"/>
      <c r="CC213" s="3"/>
    </row>
    <row r="214" spans="1:81" ht="15.75" customHeight="1" x14ac:dyDescent="0.25">
      <c r="A214" s="2025"/>
      <c r="B214" s="2027" t="s">
        <v>1780</v>
      </c>
      <c r="C214" s="81" t="s">
        <v>1477</v>
      </c>
      <c r="D214" s="81"/>
      <c r="E214" s="2028">
        <v>2880</v>
      </c>
      <c r="F214" s="204" t="s">
        <v>889</v>
      </c>
      <c r="G214" s="204">
        <v>2.1772E-2</v>
      </c>
      <c r="H214" s="81"/>
      <c r="I214" s="1049">
        <f t="shared" ref="I214:I215" si="100">E214*G214*1000</f>
        <v>62703.359999999993</v>
      </c>
      <c r="J214" s="204" t="s">
        <v>904</v>
      </c>
      <c r="K214" s="1568">
        <v>1.2</v>
      </c>
      <c r="L214" s="204" t="s">
        <v>904</v>
      </c>
      <c r="M214" s="672">
        <v>0.03</v>
      </c>
      <c r="N214" s="204" t="s">
        <v>904</v>
      </c>
      <c r="O214" s="204">
        <v>0.93</v>
      </c>
      <c r="P214" s="204" t="s">
        <v>904</v>
      </c>
      <c r="Q214" s="1038">
        <v>0.93</v>
      </c>
      <c r="R214" s="204" t="s">
        <v>904</v>
      </c>
      <c r="S214" s="1038">
        <v>0.88</v>
      </c>
      <c r="T214" s="204" t="s">
        <v>889</v>
      </c>
      <c r="U214" s="2014">
        <v>7.7000000000000002E-3</v>
      </c>
      <c r="V214" s="204" t="s">
        <v>889</v>
      </c>
      <c r="W214" s="672">
        <f t="shared" ref="W214:W222" si="101">I214*K214*M214*O214*Q214*S214*U214</f>
        <v>13.229170342907905</v>
      </c>
      <c r="X214" s="204" t="s">
        <v>889</v>
      </c>
      <c r="Y214" s="648">
        <f t="shared" ref="Y214:Y222" si="102">W214*0.007*(44/28)</f>
        <v>0.14552087377198694</v>
      </c>
      <c r="Z214" s="204" t="s">
        <v>889</v>
      </c>
      <c r="AA214" s="2029">
        <f t="shared" ref="AA214:AA222" si="103">Y214/(10^6)*$Z$8*12/44</f>
        <v>1.0834690510841573E-5</v>
      </c>
      <c r="AB214" s="204" t="s">
        <v>889</v>
      </c>
      <c r="AC214" s="474">
        <f t="shared" ref="AC214:AC222" si="104">AA214/(12/44)</f>
        <v>3.9727198539752436E-5</v>
      </c>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c r="BG214" s="3"/>
      <c r="BH214" s="3"/>
      <c r="BI214" s="3"/>
      <c r="BJ214" s="3"/>
      <c r="BK214" s="3"/>
      <c r="BL214" s="3"/>
      <c r="BM214" s="3"/>
      <c r="BN214" s="3"/>
      <c r="BO214" s="3"/>
      <c r="BP214" s="3"/>
      <c r="BQ214" s="3"/>
      <c r="BR214" s="3"/>
      <c r="BS214" s="3"/>
      <c r="BT214" s="3"/>
      <c r="BU214" s="3"/>
      <c r="BV214" s="3"/>
      <c r="BW214" s="3"/>
      <c r="BX214" s="3"/>
      <c r="BY214" s="3"/>
      <c r="BZ214" s="3"/>
      <c r="CA214" s="3"/>
      <c r="CB214" s="3"/>
      <c r="CC214" s="3"/>
    </row>
    <row r="215" spans="1:81" ht="15.75" customHeight="1" x14ac:dyDescent="0.25">
      <c r="A215" s="2025"/>
      <c r="B215" s="2027" t="s">
        <v>1787</v>
      </c>
      <c r="C215" s="81" t="s">
        <v>1477</v>
      </c>
      <c r="D215" s="81"/>
      <c r="E215" s="2028">
        <v>46870</v>
      </c>
      <c r="F215" s="204" t="s">
        <v>889</v>
      </c>
      <c r="G215" s="204">
        <v>2.5401147108E-2</v>
      </c>
      <c r="H215" s="81"/>
      <c r="I215" s="1049">
        <f t="shared" si="100"/>
        <v>1190551.76495196</v>
      </c>
      <c r="J215" s="204" t="s">
        <v>904</v>
      </c>
      <c r="K215" s="1568">
        <v>1</v>
      </c>
      <c r="L215" s="204" t="s">
        <v>904</v>
      </c>
      <c r="M215" s="672">
        <v>0.03</v>
      </c>
      <c r="N215" s="204" t="s">
        <v>904</v>
      </c>
      <c r="O215" s="204">
        <v>0.91</v>
      </c>
      <c r="P215" s="204" t="s">
        <v>904</v>
      </c>
      <c r="Q215" s="1038">
        <v>0.93</v>
      </c>
      <c r="R215" s="204" t="s">
        <v>904</v>
      </c>
      <c r="S215" s="1038">
        <v>0.88</v>
      </c>
      <c r="T215" s="204" t="s">
        <v>889</v>
      </c>
      <c r="U215" s="2014">
        <v>5.7999999999999996E-3</v>
      </c>
      <c r="V215" s="204" t="s">
        <v>889</v>
      </c>
      <c r="W215" s="672">
        <f t="shared" si="101"/>
        <v>154.27819335290457</v>
      </c>
      <c r="X215" s="204" t="s">
        <v>889</v>
      </c>
      <c r="Y215" s="648">
        <f t="shared" si="102"/>
        <v>1.6970601268819501</v>
      </c>
      <c r="Z215" s="204" t="s">
        <v>889</v>
      </c>
      <c r="AA215" s="2029">
        <f t="shared" si="103"/>
        <v>1.2635384035602882E-4</v>
      </c>
      <c r="AB215" s="204" t="s">
        <v>889</v>
      </c>
      <c r="AC215" s="474">
        <f t="shared" si="104"/>
        <v>4.6329741463877237E-4</v>
      </c>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c r="BG215" s="3"/>
      <c r="BH215" s="3"/>
      <c r="BI215" s="3"/>
      <c r="BJ215" s="3"/>
      <c r="BK215" s="3"/>
      <c r="BL215" s="3"/>
      <c r="BM215" s="3"/>
      <c r="BN215" s="3"/>
      <c r="BO215" s="3"/>
      <c r="BP215" s="3"/>
      <c r="BQ215" s="3"/>
      <c r="BR215" s="3"/>
      <c r="BS215" s="3"/>
      <c r="BT215" s="3"/>
      <c r="BU215" s="3"/>
      <c r="BV215" s="3"/>
      <c r="BW215" s="3"/>
      <c r="BX215" s="3"/>
      <c r="BY215" s="3"/>
      <c r="BZ215" s="3"/>
      <c r="CA215" s="3"/>
      <c r="CB215" s="3"/>
      <c r="CC215" s="3"/>
    </row>
    <row r="216" spans="1:81" ht="15.75" customHeight="1" x14ac:dyDescent="0.25">
      <c r="A216" s="2025"/>
      <c r="B216" s="2027" t="s">
        <v>1520</v>
      </c>
      <c r="C216" s="81" t="s">
        <v>1789</v>
      </c>
      <c r="D216" s="81"/>
      <c r="E216" s="2030">
        <v>0</v>
      </c>
      <c r="F216" s="204" t="s">
        <v>889</v>
      </c>
      <c r="G216" s="204" t="s">
        <v>907</v>
      </c>
      <c r="H216" s="81"/>
      <c r="I216" s="1049">
        <f>(E216*1000/2000*0.9072)</f>
        <v>0</v>
      </c>
      <c r="J216" s="204" t="s">
        <v>904</v>
      </c>
      <c r="K216" s="1568">
        <v>1</v>
      </c>
      <c r="L216" s="204" t="s">
        <v>904</v>
      </c>
      <c r="M216" s="672">
        <v>0.03</v>
      </c>
      <c r="N216" s="204" t="s">
        <v>904</v>
      </c>
      <c r="O216" s="204">
        <v>0.86</v>
      </c>
      <c r="P216" s="204" t="s">
        <v>904</v>
      </c>
      <c r="Q216" s="1038">
        <v>0.93</v>
      </c>
      <c r="R216" s="204" t="s">
        <v>904</v>
      </c>
      <c r="S216" s="1038">
        <v>0.88</v>
      </c>
      <c r="T216" s="204" t="s">
        <v>889</v>
      </c>
      <c r="U216" s="2014">
        <v>1.06E-2</v>
      </c>
      <c r="V216" s="204" t="s">
        <v>889</v>
      </c>
      <c r="W216" s="672">
        <f t="shared" si="101"/>
        <v>0</v>
      </c>
      <c r="X216" s="204" t="s">
        <v>889</v>
      </c>
      <c r="Y216" s="648">
        <f t="shared" si="102"/>
        <v>0</v>
      </c>
      <c r="Z216" s="204" t="s">
        <v>889</v>
      </c>
      <c r="AA216" s="2029">
        <f t="shared" si="103"/>
        <v>0</v>
      </c>
      <c r="AB216" s="204" t="s">
        <v>889</v>
      </c>
      <c r="AC216" s="474">
        <f t="shared" si="104"/>
        <v>0</v>
      </c>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c r="BG216" s="3"/>
      <c r="BH216" s="3"/>
      <c r="BI216" s="3"/>
      <c r="BJ216" s="3"/>
      <c r="BK216" s="3"/>
      <c r="BL216" s="3"/>
      <c r="BM216" s="3"/>
      <c r="BN216" s="3"/>
      <c r="BO216" s="3"/>
      <c r="BP216" s="3"/>
      <c r="BQ216" s="3"/>
      <c r="BR216" s="3"/>
      <c r="BS216" s="3"/>
      <c r="BT216" s="3"/>
      <c r="BU216" s="3"/>
      <c r="BV216" s="3"/>
      <c r="BW216" s="3"/>
      <c r="BX216" s="3"/>
      <c r="BY216" s="3"/>
      <c r="BZ216" s="3"/>
      <c r="CA216" s="3"/>
      <c r="CB216" s="3"/>
      <c r="CC216" s="3"/>
    </row>
    <row r="217" spans="1:81" ht="15.75" customHeight="1" x14ac:dyDescent="0.25">
      <c r="A217" s="2025"/>
      <c r="B217" s="2027" t="s">
        <v>1500</v>
      </c>
      <c r="C217" s="81" t="s">
        <v>1791</v>
      </c>
      <c r="D217" s="81"/>
      <c r="E217" s="2030">
        <v>0</v>
      </c>
      <c r="F217" s="204" t="s">
        <v>889</v>
      </c>
      <c r="G217" s="204" t="s">
        <v>907</v>
      </c>
      <c r="H217" s="81"/>
      <c r="I217" s="1049">
        <v>0</v>
      </c>
      <c r="J217" s="204" t="s">
        <v>904</v>
      </c>
      <c r="K217" s="1568">
        <v>1.4</v>
      </c>
      <c r="L217" s="204" t="s">
        <v>904</v>
      </c>
      <c r="M217" s="672">
        <v>0</v>
      </c>
      <c r="N217" s="204" t="s">
        <v>904</v>
      </c>
      <c r="O217" s="204">
        <v>0.91</v>
      </c>
      <c r="P217" s="204" t="s">
        <v>904</v>
      </c>
      <c r="Q217" s="1038">
        <v>0.93</v>
      </c>
      <c r="R217" s="204" t="s">
        <v>904</v>
      </c>
      <c r="S217" s="1038">
        <v>0.88</v>
      </c>
      <c r="T217" s="204" t="s">
        <v>889</v>
      </c>
      <c r="U217" s="2014">
        <v>7.1999999999999998E-3</v>
      </c>
      <c r="V217" s="204" t="s">
        <v>889</v>
      </c>
      <c r="W217" s="672">
        <f t="shared" si="101"/>
        <v>0</v>
      </c>
      <c r="X217" s="204" t="s">
        <v>889</v>
      </c>
      <c r="Y217" s="648">
        <f t="shared" si="102"/>
        <v>0</v>
      </c>
      <c r="Z217" s="204" t="s">
        <v>889</v>
      </c>
      <c r="AA217" s="2029">
        <f t="shared" si="103"/>
        <v>0</v>
      </c>
      <c r="AB217" s="204" t="s">
        <v>889</v>
      </c>
      <c r="AC217" s="474">
        <f t="shared" si="104"/>
        <v>0</v>
      </c>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c r="BG217" s="3"/>
      <c r="BH217" s="3"/>
      <c r="BI217" s="3"/>
      <c r="BJ217" s="3"/>
      <c r="BK217" s="3"/>
      <c r="BL217" s="3"/>
      <c r="BM217" s="3"/>
      <c r="BN217" s="3"/>
      <c r="BO217" s="3"/>
      <c r="BP217" s="3"/>
      <c r="BQ217" s="3"/>
      <c r="BR217" s="3"/>
      <c r="BS217" s="3"/>
      <c r="BT217" s="3"/>
      <c r="BU217" s="3"/>
      <c r="BV217" s="3"/>
      <c r="BW217" s="3"/>
      <c r="BX217" s="3"/>
      <c r="BY217" s="3"/>
      <c r="BZ217" s="3"/>
      <c r="CA217" s="3"/>
      <c r="CB217" s="3"/>
      <c r="CC217" s="3"/>
    </row>
    <row r="218" spans="1:81" ht="15.75" customHeight="1" x14ac:dyDescent="0.25">
      <c r="A218" s="2025"/>
      <c r="B218" s="2027" t="s">
        <v>1793</v>
      </c>
      <c r="C218" s="81" t="s">
        <v>1477</v>
      </c>
      <c r="D218" s="81"/>
      <c r="E218" s="2028">
        <v>17903</v>
      </c>
      <c r="F218" s="204" t="s">
        <v>889</v>
      </c>
      <c r="G218" s="204">
        <v>2.7215692074999999E-2</v>
      </c>
      <c r="H218" s="81"/>
      <c r="I218" s="1049">
        <f>E218*G218*1000</f>
        <v>487242.53521872498</v>
      </c>
      <c r="J218" s="204" t="s">
        <v>904</v>
      </c>
      <c r="K218" s="1568">
        <v>2.1</v>
      </c>
      <c r="L218" s="204" t="s">
        <v>904</v>
      </c>
      <c r="M218" s="672">
        <v>0.03</v>
      </c>
      <c r="N218" s="204" t="s">
        <v>904</v>
      </c>
      <c r="O218" s="204">
        <v>0.87</v>
      </c>
      <c r="P218" s="204" t="s">
        <v>904</v>
      </c>
      <c r="Q218" s="1038">
        <v>0.93</v>
      </c>
      <c r="R218" s="204" t="s">
        <v>904</v>
      </c>
      <c r="S218" s="1038">
        <v>0.88</v>
      </c>
      <c r="T218" s="204" t="s">
        <v>889</v>
      </c>
      <c r="U218" s="2014">
        <v>2.3E-2</v>
      </c>
      <c r="V218" s="204" t="s">
        <v>889</v>
      </c>
      <c r="W218" s="672">
        <f t="shared" si="101"/>
        <v>502.68792479020419</v>
      </c>
      <c r="X218" s="204" t="s">
        <v>889</v>
      </c>
      <c r="Y218" s="648">
        <f t="shared" si="102"/>
        <v>5.5295671726922455</v>
      </c>
      <c r="Z218" s="204" t="s">
        <v>889</v>
      </c>
      <c r="AA218" s="2029">
        <f t="shared" si="103"/>
        <v>4.1170141040317715E-4</v>
      </c>
      <c r="AB218" s="204" t="s">
        <v>889</v>
      </c>
      <c r="AC218" s="474">
        <f t="shared" si="104"/>
        <v>1.509571838144983E-3</v>
      </c>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c r="BG218" s="3"/>
      <c r="BH218" s="3"/>
      <c r="BI218" s="3"/>
      <c r="BJ218" s="3"/>
      <c r="BK218" s="3"/>
      <c r="BL218" s="3"/>
      <c r="BM218" s="3"/>
      <c r="BN218" s="3"/>
      <c r="BO218" s="3"/>
      <c r="BP218" s="3"/>
      <c r="BQ218" s="3"/>
      <c r="BR218" s="3"/>
      <c r="BS218" s="3"/>
      <c r="BT218" s="3"/>
      <c r="BU218" s="3"/>
      <c r="BV218" s="3"/>
      <c r="BW218" s="3"/>
      <c r="BX218" s="3"/>
      <c r="BY218" s="3"/>
      <c r="BZ218" s="3"/>
      <c r="CA218" s="3"/>
      <c r="CB218" s="3"/>
      <c r="CC218" s="3"/>
    </row>
    <row r="219" spans="1:81" ht="15.75" customHeight="1" x14ac:dyDescent="0.25">
      <c r="A219" s="2025"/>
      <c r="B219" s="2027" t="s">
        <v>1794</v>
      </c>
      <c r="C219" s="81" t="s">
        <v>1467</v>
      </c>
      <c r="D219" s="81"/>
      <c r="E219" s="2030">
        <v>0</v>
      </c>
      <c r="F219" s="204" t="s">
        <v>889</v>
      </c>
      <c r="G219" s="204" t="s">
        <v>907</v>
      </c>
      <c r="H219" s="81"/>
      <c r="I219" s="1049">
        <f>E219*0.9072*1000</f>
        <v>0</v>
      </c>
      <c r="J219" s="204" t="s">
        <v>904</v>
      </c>
      <c r="K219" s="1568">
        <v>0.2</v>
      </c>
      <c r="L219" s="204" t="s">
        <v>904</v>
      </c>
      <c r="M219" s="672">
        <v>0.03</v>
      </c>
      <c r="N219" s="204" t="s">
        <v>904</v>
      </c>
      <c r="O219" s="204">
        <v>0.62</v>
      </c>
      <c r="P219" s="204" t="s">
        <v>904</v>
      </c>
      <c r="Q219" s="1038">
        <v>0.93</v>
      </c>
      <c r="R219" s="204" t="s">
        <v>904</v>
      </c>
      <c r="S219" s="1038">
        <v>0.88</v>
      </c>
      <c r="T219" s="204" t="s">
        <v>889</v>
      </c>
      <c r="U219" s="2014">
        <v>4.0000000000000001E-3</v>
      </c>
      <c r="V219" s="204" t="s">
        <v>889</v>
      </c>
      <c r="W219" s="672">
        <f t="shared" si="101"/>
        <v>0</v>
      </c>
      <c r="X219" s="204" t="s">
        <v>889</v>
      </c>
      <c r="Y219" s="648">
        <f t="shared" si="102"/>
        <v>0</v>
      </c>
      <c r="Z219" s="204" t="s">
        <v>889</v>
      </c>
      <c r="AA219" s="2029">
        <f t="shared" si="103"/>
        <v>0</v>
      </c>
      <c r="AB219" s="204" t="s">
        <v>889</v>
      </c>
      <c r="AC219" s="474">
        <f t="shared" si="104"/>
        <v>0</v>
      </c>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c r="BG219" s="3"/>
      <c r="BH219" s="3"/>
      <c r="BI219" s="3"/>
      <c r="BJ219" s="3"/>
      <c r="BK219" s="3"/>
      <c r="BL219" s="3"/>
      <c r="BM219" s="3"/>
      <c r="BN219" s="3"/>
      <c r="BO219" s="3"/>
      <c r="BP219" s="3"/>
      <c r="BQ219" s="3"/>
      <c r="BR219" s="3"/>
      <c r="BS219" s="3"/>
      <c r="BT219" s="3"/>
      <c r="BU219" s="3"/>
      <c r="BV219" s="3"/>
      <c r="BW219" s="3"/>
      <c r="BX219" s="3"/>
      <c r="BY219" s="3"/>
      <c r="BZ219" s="3"/>
      <c r="CA219" s="3"/>
      <c r="CB219" s="3"/>
      <c r="CC219" s="3"/>
    </row>
    <row r="220" spans="1:81" ht="15.75" customHeight="1" x14ac:dyDescent="0.25">
      <c r="A220" s="2025"/>
      <c r="B220" s="2027" t="s">
        <v>1795</v>
      </c>
      <c r="C220" s="81" t="s">
        <v>1477</v>
      </c>
      <c r="D220" s="81"/>
      <c r="E220" s="2028">
        <v>12540</v>
      </c>
      <c r="F220" s="204" t="s">
        <v>889</v>
      </c>
      <c r="G220" s="204">
        <v>2.7215442853E-2</v>
      </c>
      <c r="H220" s="81"/>
      <c r="I220" s="1049">
        <f>E220*G220*1000</f>
        <v>341281.65337661997</v>
      </c>
      <c r="J220" s="204" t="s">
        <v>904</v>
      </c>
      <c r="K220" s="1568">
        <v>1.3</v>
      </c>
      <c r="L220" s="204" t="s">
        <v>904</v>
      </c>
      <c r="M220" s="672">
        <v>0.03</v>
      </c>
      <c r="N220" s="204" t="s">
        <v>904</v>
      </c>
      <c r="O220" s="204">
        <v>0.93</v>
      </c>
      <c r="P220" s="204" t="s">
        <v>904</v>
      </c>
      <c r="Q220" s="1038">
        <v>0.93</v>
      </c>
      <c r="R220" s="204" t="s">
        <v>904</v>
      </c>
      <c r="S220" s="1038">
        <v>0.88</v>
      </c>
      <c r="T220" s="204" t="s">
        <v>889</v>
      </c>
      <c r="U220" s="2014">
        <v>6.1999999999999998E-3</v>
      </c>
      <c r="V220" s="204" t="s">
        <v>889</v>
      </c>
      <c r="W220" s="672">
        <f t="shared" si="101"/>
        <v>62.808411234725249</v>
      </c>
      <c r="X220" s="204" t="s">
        <v>889</v>
      </c>
      <c r="Y220" s="648">
        <f t="shared" si="102"/>
        <v>0.69089252358197772</v>
      </c>
      <c r="Z220" s="204" t="s">
        <v>889</v>
      </c>
      <c r="AA220" s="2029">
        <f t="shared" si="103"/>
        <v>5.1440088801239971E-5</v>
      </c>
      <c r="AB220" s="204" t="s">
        <v>889</v>
      </c>
      <c r="AC220" s="474">
        <f t="shared" si="104"/>
        <v>1.8861365893787992E-4</v>
      </c>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c r="BG220" s="3"/>
      <c r="BH220" s="3"/>
      <c r="BI220" s="3"/>
      <c r="BJ220" s="3"/>
      <c r="BK220" s="3"/>
      <c r="BL220" s="3"/>
      <c r="BM220" s="3"/>
      <c r="BN220" s="3"/>
      <c r="BO220" s="3"/>
      <c r="BP220" s="3"/>
      <c r="BQ220" s="3"/>
      <c r="BR220" s="3"/>
      <c r="BS220" s="3"/>
      <c r="BT220" s="3"/>
      <c r="BU220" s="3"/>
      <c r="BV220" s="3"/>
      <c r="BW220" s="3"/>
      <c r="BX220" s="3"/>
      <c r="BY220" s="3"/>
      <c r="BZ220" s="3"/>
      <c r="CA220" s="3"/>
      <c r="CB220" s="3"/>
      <c r="CC220" s="3"/>
    </row>
    <row r="221" spans="1:81" ht="15.75" customHeight="1" x14ac:dyDescent="0.25">
      <c r="A221" s="2025"/>
      <c r="B221" s="2027" t="s">
        <v>702</v>
      </c>
      <c r="C221" s="81"/>
      <c r="D221" s="81"/>
      <c r="E221" s="2030">
        <v>0</v>
      </c>
      <c r="F221" s="204" t="s">
        <v>889</v>
      </c>
      <c r="G221" s="204" t="s">
        <v>907</v>
      </c>
      <c r="H221" s="81"/>
      <c r="I221" s="1049">
        <f t="shared" ref="I221:I222" si="105">E221</f>
        <v>0</v>
      </c>
      <c r="J221" s="204" t="s">
        <v>904</v>
      </c>
      <c r="K221" s="2017"/>
      <c r="L221" s="204" t="s">
        <v>904</v>
      </c>
      <c r="M221" s="2018"/>
      <c r="N221" s="204" t="s">
        <v>904</v>
      </c>
      <c r="O221" s="2019"/>
      <c r="P221" s="204" t="s">
        <v>904</v>
      </c>
      <c r="Q221" s="2020"/>
      <c r="R221" s="204" t="s">
        <v>904</v>
      </c>
      <c r="S221" s="2021"/>
      <c r="T221" s="204" t="s">
        <v>889</v>
      </c>
      <c r="U221" s="2022"/>
      <c r="V221" s="204" t="s">
        <v>889</v>
      </c>
      <c r="W221" s="672">
        <f t="shared" si="101"/>
        <v>0</v>
      </c>
      <c r="X221" s="204" t="s">
        <v>889</v>
      </c>
      <c r="Y221" s="648">
        <f t="shared" si="102"/>
        <v>0</v>
      </c>
      <c r="Z221" s="204" t="s">
        <v>889</v>
      </c>
      <c r="AA221" s="2029">
        <f t="shared" si="103"/>
        <v>0</v>
      </c>
      <c r="AB221" s="204" t="s">
        <v>889</v>
      </c>
      <c r="AC221" s="474">
        <f t="shared" si="104"/>
        <v>0</v>
      </c>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c r="BG221" s="3"/>
      <c r="BH221" s="3"/>
      <c r="BI221" s="3"/>
      <c r="BJ221" s="3"/>
      <c r="BK221" s="3"/>
      <c r="BL221" s="3"/>
      <c r="BM221" s="3"/>
      <c r="BN221" s="3"/>
      <c r="BO221" s="3"/>
      <c r="BP221" s="3"/>
      <c r="BQ221" s="3"/>
      <c r="BR221" s="3"/>
      <c r="BS221" s="3"/>
      <c r="BT221" s="3"/>
      <c r="BU221" s="3"/>
      <c r="BV221" s="3"/>
      <c r="BW221" s="3"/>
      <c r="BX221" s="3"/>
      <c r="BY221" s="3"/>
      <c r="BZ221" s="3"/>
      <c r="CA221" s="3"/>
      <c r="CB221" s="3"/>
      <c r="CC221" s="3"/>
    </row>
    <row r="222" spans="1:81" ht="15.75" customHeight="1" x14ac:dyDescent="0.25">
      <c r="A222" s="2025"/>
      <c r="B222" s="1006"/>
      <c r="C222" s="81"/>
      <c r="D222" s="81"/>
      <c r="E222" s="2030">
        <v>0</v>
      </c>
      <c r="F222" s="204" t="s">
        <v>889</v>
      </c>
      <c r="G222" s="204" t="s">
        <v>907</v>
      </c>
      <c r="H222" s="81"/>
      <c r="I222" s="1049">
        <f t="shared" si="105"/>
        <v>0</v>
      </c>
      <c r="J222" s="204" t="s">
        <v>904</v>
      </c>
      <c r="K222" s="2017"/>
      <c r="L222" s="204" t="s">
        <v>904</v>
      </c>
      <c r="M222" s="2018"/>
      <c r="N222" s="204" t="s">
        <v>904</v>
      </c>
      <c r="O222" s="2019"/>
      <c r="P222" s="204" t="s">
        <v>904</v>
      </c>
      <c r="Q222" s="2020"/>
      <c r="R222" s="204" t="s">
        <v>904</v>
      </c>
      <c r="S222" s="2021"/>
      <c r="T222" s="204" t="s">
        <v>889</v>
      </c>
      <c r="U222" s="2022"/>
      <c r="V222" s="204" t="s">
        <v>889</v>
      </c>
      <c r="W222" s="672">
        <f t="shared" si="101"/>
        <v>0</v>
      </c>
      <c r="X222" s="204" t="s">
        <v>889</v>
      </c>
      <c r="Y222" s="648">
        <f t="shared" si="102"/>
        <v>0</v>
      </c>
      <c r="Z222" s="204" t="s">
        <v>889</v>
      </c>
      <c r="AA222" s="2029">
        <f t="shared" si="103"/>
        <v>0</v>
      </c>
      <c r="AB222" s="204" t="s">
        <v>889</v>
      </c>
      <c r="AC222" s="474">
        <f t="shared" si="104"/>
        <v>0</v>
      </c>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c r="BG222" s="3"/>
      <c r="BH222" s="3"/>
      <c r="BI222" s="3"/>
      <c r="BJ222" s="3"/>
      <c r="BK222" s="3"/>
      <c r="BL222" s="3"/>
      <c r="BM222" s="3"/>
      <c r="BN222" s="3"/>
      <c r="BO222" s="3"/>
      <c r="BP222" s="3"/>
      <c r="BQ222" s="3"/>
      <c r="BR222" s="3"/>
      <c r="BS222" s="3"/>
      <c r="BT222" s="3"/>
      <c r="BU222" s="3"/>
      <c r="BV222" s="3"/>
      <c r="BW222" s="3"/>
      <c r="BX222" s="3"/>
      <c r="BY222" s="3"/>
      <c r="BZ222" s="3"/>
      <c r="CA222" s="3"/>
      <c r="CB222" s="3"/>
      <c r="CC222" s="3"/>
    </row>
    <row r="223" spans="1:81" ht="15.75" customHeight="1" x14ac:dyDescent="0.25">
      <c r="A223" s="2025"/>
      <c r="B223" s="2031"/>
      <c r="C223" s="58"/>
      <c r="D223" s="81"/>
      <c r="E223" s="1034"/>
      <c r="F223" s="204"/>
      <c r="G223" s="81"/>
      <c r="H223" s="81"/>
      <c r="I223" s="204"/>
      <c r="J223" s="204"/>
      <c r="K223" s="624"/>
      <c r="L223" s="204"/>
      <c r="M223" s="1037"/>
      <c r="N223" s="204"/>
      <c r="O223" s="1038"/>
      <c r="P223" s="81"/>
      <c r="Q223" s="81"/>
      <c r="R223" s="81"/>
      <c r="S223" s="81"/>
      <c r="T223" s="81"/>
      <c r="U223" s="81"/>
      <c r="V223" s="81"/>
      <c r="W223" s="672"/>
      <c r="X223" s="81"/>
      <c r="Y223" s="648"/>
      <c r="Z223" s="81"/>
      <c r="AA223" s="81"/>
      <c r="AB223" s="81"/>
      <c r="AC223" s="206"/>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c r="BG223" s="3"/>
      <c r="BH223" s="3"/>
      <c r="BI223" s="3"/>
      <c r="BJ223" s="3"/>
      <c r="BK223" s="3"/>
      <c r="BL223" s="3"/>
      <c r="BM223" s="3"/>
      <c r="BN223" s="3"/>
      <c r="BO223" s="3"/>
      <c r="BP223" s="3"/>
      <c r="BQ223" s="3"/>
      <c r="BR223" s="3"/>
      <c r="BS223" s="3"/>
      <c r="BT223" s="3"/>
      <c r="BU223" s="3"/>
      <c r="BV223" s="3"/>
      <c r="BW223" s="3"/>
      <c r="BX223" s="3"/>
      <c r="BY223" s="3"/>
      <c r="BZ223" s="3"/>
      <c r="CA223" s="3"/>
      <c r="CB223" s="3"/>
      <c r="CC223" s="3"/>
    </row>
    <row r="224" spans="1:81" ht="15.75" customHeight="1" x14ac:dyDescent="0.25">
      <c r="A224" s="2025"/>
      <c r="B224" s="2032" t="s">
        <v>1227</v>
      </c>
      <c r="C224" s="1499"/>
      <c r="D224" s="597"/>
      <c r="E224" s="2033"/>
      <c r="F224" s="2033"/>
      <c r="G224" s="597"/>
      <c r="H224" s="597"/>
      <c r="I224" s="2033"/>
      <c r="J224" s="2033"/>
      <c r="K224" s="1573"/>
      <c r="L224" s="1636"/>
      <c r="M224" s="1573"/>
      <c r="N224" s="1636"/>
      <c r="O224" s="1238"/>
      <c r="P224" s="597"/>
      <c r="Q224" s="1238"/>
      <c r="R224" s="597"/>
      <c r="S224" s="597"/>
      <c r="T224" s="597"/>
      <c r="U224" s="1238"/>
      <c r="V224" s="597"/>
      <c r="W224" s="1571">
        <f>SUM(W214:W222)</f>
        <v>733.00369972074191</v>
      </c>
      <c r="X224" s="597"/>
      <c r="Y224" s="2034">
        <f>SUM(Y214:Y222)</f>
        <v>8.0630406969281605</v>
      </c>
      <c r="Z224" s="597"/>
      <c r="AA224" s="2035">
        <f>SUM(AA214:AA222)</f>
        <v>6.0033003007128752E-4</v>
      </c>
      <c r="AB224" s="597"/>
      <c r="AC224" s="2036">
        <f>SUM(AC214:AC222)</f>
        <v>2.2012101102613876E-3</v>
      </c>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c r="BG224" s="3"/>
      <c r="BH224" s="3"/>
      <c r="BI224" s="3"/>
      <c r="BJ224" s="3"/>
      <c r="BK224" s="3"/>
      <c r="BL224" s="3"/>
      <c r="BM224" s="3"/>
      <c r="BN224" s="3"/>
      <c r="BO224" s="3"/>
      <c r="BP224" s="3"/>
      <c r="BQ224" s="3"/>
      <c r="BR224" s="3"/>
      <c r="BS224" s="3"/>
      <c r="BT224" s="3"/>
      <c r="BU224" s="3"/>
      <c r="BV224" s="3"/>
      <c r="BW224" s="3"/>
      <c r="BX224" s="3"/>
      <c r="BY224" s="3"/>
      <c r="BZ224" s="3"/>
      <c r="CA224" s="3"/>
      <c r="CB224" s="3"/>
      <c r="CC224" s="3"/>
    </row>
    <row r="225" spans="1:81" ht="15.75" customHeight="1" x14ac:dyDescent="0.25">
      <c r="A225" s="30"/>
      <c r="B225" s="2037"/>
      <c r="C225" s="1706"/>
      <c r="D225" s="1706"/>
      <c r="E225" s="1706"/>
      <c r="F225" s="1706"/>
      <c r="G225" s="1707"/>
      <c r="H225" s="477"/>
      <c r="I225" s="1709"/>
      <c r="J225" s="477"/>
      <c r="K225" s="1710"/>
      <c r="L225" s="210"/>
      <c r="M225" s="1710"/>
      <c r="N225" s="210"/>
      <c r="O225" s="210"/>
      <c r="P225" s="210"/>
      <c r="Q225" s="210"/>
      <c r="R225" s="210"/>
      <c r="S225" s="210"/>
      <c r="T225" s="210"/>
      <c r="U225" s="210"/>
      <c r="V225" s="210"/>
      <c r="W225" s="210"/>
      <c r="X225" s="210"/>
      <c r="Y225" s="210"/>
      <c r="Z225" s="210"/>
      <c r="AA225" s="210"/>
      <c r="AB225" s="210"/>
      <c r="AC225" s="215"/>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c r="BG225" s="3"/>
      <c r="BH225" s="3"/>
      <c r="BI225" s="3"/>
      <c r="BJ225" s="3"/>
      <c r="BK225" s="3"/>
      <c r="BL225" s="3"/>
      <c r="BM225" s="3"/>
      <c r="BN225" s="3"/>
      <c r="BO225" s="3"/>
      <c r="BP225" s="3"/>
      <c r="BQ225" s="3"/>
      <c r="BR225" s="3"/>
      <c r="BS225" s="3"/>
      <c r="BT225" s="3"/>
      <c r="BU225" s="3"/>
      <c r="BV225" s="3"/>
      <c r="BW225" s="3"/>
      <c r="BX225" s="3"/>
      <c r="BY225" s="3"/>
      <c r="BZ225" s="3"/>
      <c r="CA225" s="3"/>
      <c r="CB225" s="3"/>
      <c r="CC225" s="3"/>
    </row>
    <row r="226" spans="1:81" ht="15.75" customHeight="1" x14ac:dyDescent="0.25">
      <c r="A226" s="3"/>
      <c r="B226" s="60"/>
      <c r="C226" s="864"/>
      <c r="D226" s="864"/>
      <c r="E226" s="864"/>
      <c r="F226" s="864"/>
      <c r="G226" s="542"/>
      <c r="H226" s="13"/>
      <c r="I226" s="909"/>
      <c r="J226" s="13"/>
      <c r="K226" s="908"/>
      <c r="L226" s="3"/>
      <c r="M226" s="908"/>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c r="BG226" s="3"/>
      <c r="BH226" s="3"/>
      <c r="BI226" s="3"/>
      <c r="BJ226" s="3"/>
      <c r="BK226" s="3"/>
      <c r="BL226" s="3"/>
      <c r="BM226" s="3"/>
      <c r="BN226" s="3"/>
      <c r="BO226" s="3"/>
      <c r="BP226" s="3"/>
      <c r="BQ226" s="3"/>
      <c r="BR226" s="3"/>
      <c r="BS226" s="3"/>
      <c r="BT226" s="3"/>
      <c r="BU226" s="3"/>
      <c r="BV226" s="3"/>
      <c r="BW226" s="3"/>
      <c r="BX226" s="3"/>
      <c r="BY226" s="3"/>
      <c r="BZ226" s="3"/>
      <c r="CA226" s="3"/>
      <c r="CB226" s="3"/>
      <c r="CC226" s="3"/>
    </row>
    <row r="227" spans="1:81" ht="15.75" customHeight="1" x14ac:dyDescent="0.25">
      <c r="A227" s="3"/>
      <c r="B227" s="60"/>
      <c r="C227" s="864"/>
      <c r="D227" s="864"/>
      <c r="E227" s="864"/>
      <c r="F227" s="864"/>
      <c r="G227" s="542"/>
      <c r="H227" s="13"/>
      <c r="I227" s="909"/>
      <c r="J227" s="13"/>
      <c r="K227" s="908"/>
      <c r="L227" s="3"/>
      <c r="M227" s="908"/>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c r="BG227" s="3"/>
      <c r="BH227" s="3"/>
      <c r="BI227" s="3"/>
      <c r="BJ227" s="3"/>
      <c r="BK227" s="3"/>
      <c r="BL227" s="3"/>
      <c r="BM227" s="3"/>
      <c r="BN227" s="3"/>
      <c r="BO227" s="3"/>
      <c r="BP227" s="3"/>
      <c r="BQ227" s="3"/>
      <c r="BR227" s="3"/>
      <c r="BS227" s="3"/>
      <c r="BT227" s="3"/>
      <c r="BU227" s="3"/>
      <c r="BV227" s="3"/>
      <c r="BW227" s="3"/>
      <c r="BX227" s="3"/>
      <c r="BY227" s="3"/>
      <c r="BZ227" s="3"/>
      <c r="CA227" s="3"/>
      <c r="CB227" s="3"/>
      <c r="CC227" s="3"/>
    </row>
    <row r="228" spans="1:81" ht="15.75" customHeight="1" x14ac:dyDescent="0.25">
      <c r="A228" s="3"/>
      <c r="B228" s="1723" t="s">
        <v>1813</v>
      </c>
      <c r="C228" s="1725"/>
      <c r="D228" s="1725"/>
      <c r="E228" s="1726"/>
      <c r="F228" s="864"/>
      <c r="G228" s="542"/>
      <c r="H228" s="13"/>
      <c r="I228" s="909"/>
      <c r="J228" s="13"/>
      <c r="K228" s="908"/>
      <c r="L228" s="3"/>
      <c r="M228" s="908"/>
      <c r="N228" s="3"/>
      <c r="O228" s="3"/>
      <c r="P228" s="3"/>
      <c r="Q228" s="3"/>
      <c r="R228" s="3"/>
      <c r="S228" s="3"/>
      <c r="T228" s="3"/>
      <c r="U228" s="3"/>
      <c r="V228" s="3"/>
      <c r="W228" s="3"/>
      <c r="X228" s="3"/>
      <c r="Y228" s="3"/>
      <c r="Z228" s="3"/>
      <c r="AA228" s="3"/>
      <c r="AB228" s="3"/>
      <c r="AC228" s="3"/>
      <c r="AD228" s="3"/>
      <c r="AE228" s="3"/>
      <c r="AF228" s="3"/>
      <c r="AG228" s="3"/>
      <c r="AH228" s="60" t="s">
        <v>1612</v>
      </c>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c r="BG228" s="3"/>
      <c r="BH228" s="3"/>
      <c r="BI228" s="3"/>
      <c r="BJ228" s="3"/>
      <c r="BK228" s="3"/>
      <c r="BL228" s="3"/>
      <c r="BM228" s="3"/>
      <c r="BN228" s="3"/>
      <c r="BO228" s="3"/>
      <c r="BP228" s="3"/>
      <c r="BQ228" s="3"/>
      <c r="BR228" s="3"/>
      <c r="BS228" s="3"/>
      <c r="BT228" s="3"/>
      <c r="BU228" s="3"/>
      <c r="BV228" s="3"/>
      <c r="BW228" s="3"/>
      <c r="BX228" s="3"/>
      <c r="BY228" s="3"/>
      <c r="BZ228" s="3"/>
      <c r="CA228" s="3"/>
      <c r="CB228" s="3"/>
      <c r="CC228" s="3"/>
    </row>
    <row r="229" spans="1:81" ht="15.7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c r="BG229" s="3"/>
      <c r="BH229" s="3"/>
      <c r="BI229" s="3"/>
      <c r="BJ229" s="3"/>
      <c r="BK229" s="3"/>
      <c r="BL229" s="3"/>
      <c r="BM229" s="3"/>
      <c r="BN229" s="3"/>
      <c r="BO229" s="3"/>
      <c r="BP229" s="3"/>
      <c r="BQ229" s="3"/>
      <c r="BR229" s="3"/>
      <c r="BS229" s="3"/>
      <c r="BT229" s="3"/>
      <c r="BU229" s="3"/>
      <c r="BV229" s="3"/>
      <c r="BW229" s="3"/>
      <c r="BX229" s="3"/>
      <c r="BY229" s="3"/>
      <c r="BZ229" s="3"/>
      <c r="CA229" s="3"/>
      <c r="CB229" s="3"/>
      <c r="CC229" s="3"/>
    </row>
    <row r="230" spans="1:81" ht="30" customHeight="1" x14ac:dyDescent="0.25">
      <c r="A230" s="3"/>
      <c r="B230" s="2038" t="s">
        <v>1814</v>
      </c>
      <c r="C230" s="2039">
        <v>2011</v>
      </c>
      <c r="D230" s="2040"/>
      <c r="E230" s="2041" t="s">
        <v>1815</v>
      </c>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c r="BG230" s="3"/>
      <c r="BH230" s="3"/>
      <c r="BI230" s="3"/>
      <c r="BJ230" s="3"/>
      <c r="BK230" s="3"/>
      <c r="BL230" s="3"/>
      <c r="BM230" s="3"/>
      <c r="BN230" s="3"/>
      <c r="BO230" s="3"/>
      <c r="BP230" s="3"/>
      <c r="BQ230" s="3"/>
      <c r="BR230" s="3"/>
      <c r="BS230" s="3"/>
      <c r="BT230" s="3"/>
      <c r="BU230" s="3"/>
      <c r="BV230" s="3"/>
      <c r="BW230" s="3"/>
      <c r="BX230" s="3"/>
      <c r="BY230" s="3"/>
      <c r="BZ230" s="3"/>
      <c r="CA230" s="3"/>
      <c r="CB230" s="3"/>
      <c r="CC230" s="3"/>
    </row>
    <row r="231" spans="1:81" ht="15.75" customHeight="1" x14ac:dyDescent="0.25">
      <c r="A231" s="3"/>
      <c r="B231" s="1107" t="s">
        <v>410</v>
      </c>
      <c r="C231" s="1038">
        <f>M25</f>
        <v>0.49405535129442291</v>
      </c>
      <c r="D231" s="943"/>
      <c r="E231" s="2042">
        <f t="shared" ref="E231:E236" si="106">C231</f>
        <v>0.49405535129442291</v>
      </c>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c r="BG231" s="3"/>
      <c r="BH231" s="3"/>
      <c r="BI231" s="3"/>
      <c r="BJ231" s="3"/>
      <c r="BK231" s="3"/>
      <c r="BL231" s="3"/>
      <c r="BM231" s="3"/>
      <c r="BN231" s="3"/>
      <c r="BO231" s="3"/>
      <c r="BP231" s="3"/>
      <c r="BQ231" s="3"/>
      <c r="BR231" s="3"/>
      <c r="BS231" s="3"/>
      <c r="BT231" s="3"/>
      <c r="BU231" s="3"/>
      <c r="BV231" s="3"/>
      <c r="BW231" s="3"/>
      <c r="BX231" s="3"/>
      <c r="BY231" s="3"/>
      <c r="BZ231" s="3"/>
      <c r="CA231" s="3"/>
      <c r="CB231" s="3"/>
      <c r="CC231" s="3"/>
    </row>
    <row r="232" spans="1:81" ht="15.75" customHeight="1" x14ac:dyDescent="0.25">
      <c r="A232" s="3"/>
      <c r="B232" s="1107" t="s">
        <v>428</v>
      </c>
      <c r="C232" s="1038">
        <f>W61+U89</f>
        <v>0.3280107996772314</v>
      </c>
      <c r="D232" s="648"/>
      <c r="E232" s="2042">
        <f t="shared" si="106"/>
        <v>0.3280107996772314</v>
      </c>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c r="BG232" s="3"/>
      <c r="BH232" s="3"/>
      <c r="BI232" s="3"/>
      <c r="BJ232" s="3"/>
      <c r="BK232" s="3"/>
      <c r="BL232" s="3"/>
      <c r="BM232" s="3"/>
      <c r="BN232" s="3"/>
      <c r="BO232" s="3"/>
      <c r="BP232" s="3"/>
      <c r="BQ232" s="3"/>
      <c r="BR232" s="3"/>
      <c r="BS232" s="3"/>
      <c r="BT232" s="3"/>
      <c r="BU232" s="3"/>
      <c r="BV232" s="3"/>
      <c r="BW232" s="3"/>
      <c r="BX232" s="3"/>
      <c r="BY232" s="3"/>
      <c r="BZ232" s="3"/>
      <c r="CA232" s="3"/>
      <c r="CB232" s="3"/>
      <c r="CC232" s="3"/>
    </row>
    <row r="233" spans="1:81" ht="15.75" customHeight="1" x14ac:dyDescent="0.25">
      <c r="A233" s="3"/>
      <c r="B233" s="1107" t="s">
        <v>1816</v>
      </c>
      <c r="C233" s="1038">
        <f>C262*$Z$8/1000000</f>
        <v>0.84025638367625888</v>
      </c>
      <c r="D233" s="648"/>
      <c r="E233" s="2042">
        <f t="shared" si="106"/>
        <v>0.84025638367625888</v>
      </c>
      <c r="F233" s="3"/>
      <c r="G233" s="925"/>
      <c r="H233" s="3"/>
      <c r="I233" s="3"/>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c r="BG233" s="3"/>
      <c r="BH233" s="3"/>
      <c r="BI233" s="3"/>
      <c r="BJ233" s="3"/>
      <c r="BK233" s="3"/>
      <c r="BL233" s="3"/>
      <c r="BM233" s="3"/>
      <c r="BN233" s="3"/>
      <c r="BO233" s="3"/>
      <c r="BP233" s="3"/>
      <c r="BQ233" s="3"/>
      <c r="BR233" s="3"/>
      <c r="BS233" s="3"/>
      <c r="BT233" s="3"/>
      <c r="BU233" s="3"/>
      <c r="BV233" s="3"/>
      <c r="BW233" s="3"/>
      <c r="BX233" s="3"/>
      <c r="BY233" s="3"/>
      <c r="BZ233" s="3"/>
      <c r="CA233" s="3"/>
      <c r="CB233" s="3"/>
      <c r="CC233" s="3"/>
    </row>
    <row r="234" spans="1:81" ht="15.75" customHeight="1" x14ac:dyDescent="0.25">
      <c r="A234" s="3"/>
      <c r="B234" s="1107" t="s">
        <v>1817</v>
      </c>
      <c r="C234" s="648">
        <v>0</v>
      </c>
      <c r="D234" s="648"/>
      <c r="E234" s="2042">
        <f t="shared" si="106"/>
        <v>0</v>
      </c>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c r="BG234" s="3"/>
      <c r="BH234" s="3"/>
      <c r="BI234" s="3"/>
      <c r="BJ234" s="3"/>
      <c r="BK234" s="3"/>
      <c r="BL234" s="3"/>
      <c r="BM234" s="3"/>
      <c r="BN234" s="3"/>
      <c r="BO234" s="3"/>
      <c r="BP234" s="3"/>
      <c r="BQ234" s="3"/>
      <c r="BR234" s="3"/>
      <c r="BS234" s="3"/>
      <c r="BT234" s="3"/>
      <c r="BU234" s="3"/>
      <c r="BV234" s="3"/>
      <c r="BW234" s="3"/>
      <c r="BX234" s="3"/>
      <c r="BY234" s="3"/>
      <c r="BZ234" s="3"/>
      <c r="CA234" s="3"/>
      <c r="CB234" s="3"/>
      <c r="CC234" s="3"/>
    </row>
    <row r="235" spans="1:81" ht="15.75" customHeight="1" x14ac:dyDescent="0.25">
      <c r="A235" s="3"/>
      <c r="B235" s="1107" t="s">
        <v>1818</v>
      </c>
      <c r="C235" s="1038">
        <f>AC209+AC224</f>
        <v>7.2237367641165649E-3</v>
      </c>
      <c r="D235" s="648"/>
      <c r="E235" s="2042">
        <f t="shared" si="106"/>
        <v>7.2237367641165649E-3</v>
      </c>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c r="BG235" s="3"/>
      <c r="BH235" s="3"/>
      <c r="BI235" s="3"/>
      <c r="BJ235" s="3"/>
      <c r="BK235" s="3"/>
      <c r="BL235" s="3"/>
      <c r="BM235" s="3"/>
      <c r="BN235" s="3"/>
      <c r="BO235" s="3"/>
      <c r="BP235" s="3"/>
      <c r="BQ235" s="3"/>
      <c r="BR235" s="3"/>
      <c r="BS235" s="3"/>
      <c r="BT235" s="3"/>
      <c r="BU235" s="3"/>
      <c r="BV235" s="3"/>
      <c r="BW235" s="3"/>
      <c r="BX235" s="3"/>
      <c r="BY235" s="3"/>
      <c r="BZ235" s="3"/>
      <c r="CA235" s="3"/>
      <c r="CB235" s="3"/>
      <c r="CC235" s="3"/>
    </row>
    <row r="236" spans="1:81" ht="15.75" customHeight="1" x14ac:dyDescent="0.25">
      <c r="A236" s="3"/>
      <c r="B236" s="2043" t="s">
        <v>1227</v>
      </c>
      <c r="C236" s="2034">
        <f>SUM(C231:C235)</f>
        <v>1.6695462714120297</v>
      </c>
      <c r="D236" s="2034"/>
      <c r="E236" s="2044">
        <f t="shared" si="106"/>
        <v>1.6695462714120297</v>
      </c>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c r="BG236" s="3"/>
      <c r="BH236" s="3"/>
      <c r="BI236" s="3"/>
      <c r="BJ236" s="3"/>
      <c r="BK236" s="3"/>
      <c r="BL236" s="3"/>
      <c r="BM236" s="3"/>
      <c r="BN236" s="3"/>
      <c r="BO236" s="3"/>
      <c r="BP236" s="3"/>
      <c r="BQ236" s="3"/>
      <c r="BR236" s="3"/>
      <c r="BS236" s="3"/>
      <c r="BT236" s="3"/>
      <c r="BU236" s="3"/>
      <c r="BV236" s="3"/>
      <c r="BW236" s="3"/>
      <c r="BX236" s="3"/>
      <c r="BY236" s="3"/>
      <c r="BZ236" s="3"/>
      <c r="CA236" s="3"/>
      <c r="CB236" s="3"/>
      <c r="CC236" s="3"/>
    </row>
    <row r="237" spans="1:81" ht="15.75" customHeight="1" x14ac:dyDescent="0.25">
      <c r="A237" s="3"/>
      <c r="B237" s="1477"/>
      <c r="C237" s="81"/>
      <c r="D237" s="81"/>
      <c r="E237" s="186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c r="BG237" s="3"/>
      <c r="BH237" s="3"/>
      <c r="BI237" s="3"/>
      <c r="BJ237" s="3"/>
      <c r="BK237" s="3"/>
      <c r="BL237" s="3"/>
      <c r="BM237" s="3"/>
      <c r="BN237" s="3"/>
      <c r="BO237" s="3"/>
      <c r="BP237" s="3"/>
      <c r="BQ237" s="3"/>
      <c r="BR237" s="3"/>
      <c r="BS237" s="3"/>
      <c r="BT237" s="3"/>
      <c r="BU237" s="3"/>
      <c r="BV237" s="3"/>
      <c r="BW237" s="3"/>
      <c r="BX237" s="3"/>
      <c r="BY237" s="3"/>
      <c r="BZ237" s="3"/>
      <c r="CA237" s="3"/>
      <c r="CB237" s="3"/>
      <c r="CC237" s="3"/>
    </row>
    <row r="238" spans="1:81" ht="30" customHeight="1" x14ac:dyDescent="0.25">
      <c r="A238" s="3"/>
      <c r="B238" s="2045" t="s">
        <v>1819</v>
      </c>
      <c r="C238" s="1499">
        <v>2011</v>
      </c>
      <c r="D238" s="1499"/>
      <c r="E238" s="2046" t="s">
        <v>1820</v>
      </c>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c r="BG238" s="3"/>
      <c r="BH238" s="3"/>
      <c r="BI238" s="3"/>
      <c r="BJ238" s="3"/>
      <c r="BK238" s="3"/>
      <c r="BL238" s="3"/>
      <c r="BM238" s="3"/>
      <c r="BN238" s="3"/>
      <c r="BO238" s="3"/>
      <c r="BP238" s="3"/>
      <c r="BQ238" s="3"/>
      <c r="BR238" s="3"/>
      <c r="BS238" s="3"/>
      <c r="BT238" s="3"/>
      <c r="BU238" s="3"/>
      <c r="BV238" s="3"/>
      <c r="BW238" s="3"/>
      <c r="BX238" s="3"/>
      <c r="BY238" s="3"/>
      <c r="BZ238" s="3"/>
      <c r="CA238" s="3"/>
      <c r="CB238" s="3"/>
      <c r="CC238" s="3"/>
    </row>
    <row r="239" spans="1:81" ht="15.75" customHeight="1" x14ac:dyDescent="0.25">
      <c r="A239" s="3"/>
      <c r="B239" s="1477" t="s">
        <v>1821</v>
      </c>
      <c r="C239" s="2047">
        <f>SUM(C240:C243)</f>
        <v>2.2377601652025104E-2</v>
      </c>
      <c r="D239" s="2047"/>
      <c r="E239" s="2048">
        <f t="shared" ref="E239:E243" si="107">C239*$Z$7</f>
        <v>0.62433508609150035</v>
      </c>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c r="BG239" s="3"/>
      <c r="BH239" s="3"/>
      <c r="BI239" s="3"/>
      <c r="BJ239" s="3"/>
      <c r="BK239" s="3"/>
      <c r="BL239" s="3"/>
      <c r="BM239" s="3"/>
      <c r="BN239" s="3"/>
      <c r="BO239" s="3"/>
      <c r="BP239" s="3"/>
      <c r="BQ239" s="3"/>
      <c r="BR239" s="3"/>
      <c r="BS239" s="3"/>
      <c r="BT239" s="3"/>
      <c r="BU239" s="3"/>
      <c r="BV239" s="3"/>
      <c r="BW239" s="3"/>
      <c r="BX239" s="3"/>
      <c r="BY239" s="3"/>
      <c r="BZ239" s="3"/>
      <c r="CA239" s="3"/>
      <c r="CB239" s="3"/>
      <c r="CC239" s="3"/>
    </row>
    <row r="240" spans="1:81" ht="15.75" customHeight="1" x14ac:dyDescent="0.25">
      <c r="A240" s="3"/>
      <c r="B240" s="2049" t="s">
        <v>410</v>
      </c>
      <c r="C240" s="648">
        <f>I25</f>
        <v>1.7708077107326994E-2</v>
      </c>
      <c r="D240" s="648"/>
      <c r="E240" s="2042">
        <f t="shared" si="107"/>
        <v>0.49405535129442307</v>
      </c>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c r="BG240" s="3"/>
      <c r="BH240" s="3"/>
      <c r="BI240" s="3"/>
      <c r="BJ240" s="3"/>
      <c r="BK240" s="3"/>
      <c r="BL240" s="3"/>
      <c r="BM240" s="3"/>
      <c r="BN240" s="3"/>
      <c r="BO240" s="3"/>
      <c r="BP240" s="3"/>
      <c r="BQ240" s="3"/>
      <c r="BR240" s="3"/>
      <c r="BS240" s="3"/>
      <c r="BT240" s="3"/>
      <c r="BU240" s="3"/>
      <c r="BV240" s="3"/>
      <c r="BW240" s="3"/>
      <c r="BX240" s="3"/>
      <c r="BY240" s="3"/>
      <c r="BZ240" s="3"/>
      <c r="CA240" s="3"/>
      <c r="CB240" s="3"/>
      <c r="CC240" s="3"/>
    </row>
    <row r="241" spans="1:81" ht="15.75" customHeight="1" x14ac:dyDescent="0.25">
      <c r="A241" s="3"/>
      <c r="B241" s="2049" t="s">
        <v>428</v>
      </c>
      <c r="C241" s="648">
        <f>S61</f>
        <v>4.489505668215845E-3</v>
      </c>
      <c r="D241" s="648"/>
      <c r="E241" s="2042">
        <f t="shared" si="107"/>
        <v>0.12525720814322208</v>
      </c>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c r="BG241" s="3"/>
      <c r="BH241" s="3"/>
      <c r="BI241" s="3"/>
      <c r="BJ241" s="3"/>
      <c r="BK241" s="3"/>
      <c r="BL241" s="3"/>
      <c r="BM241" s="3"/>
      <c r="BN241" s="3"/>
      <c r="BO241" s="3"/>
      <c r="BP241" s="3"/>
      <c r="BQ241" s="3"/>
      <c r="BR241" s="3"/>
      <c r="BS241" s="3"/>
      <c r="BT241" s="3"/>
      <c r="BU241" s="3"/>
      <c r="BV241" s="3"/>
      <c r="BW241" s="3"/>
      <c r="BX241" s="3"/>
      <c r="BY241" s="3"/>
      <c r="BZ241" s="3"/>
      <c r="CA241" s="3"/>
      <c r="CB241" s="3"/>
      <c r="CC241" s="3"/>
    </row>
    <row r="242" spans="1:81" ht="15.75" customHeight="1" x14ac:dyDescent="0.25">
      <c r="A242" s="3"/>
      <c r="B242" s="2049" t="s">
        <v>1817</v>
      </c>
      <c r="C242" s="648">
        <v>0</v>
      </c>
      <c r="D242" s="648"/>
      <c r="E242" s="2042">
        <f t="shared" si="107"/>
        <v>0</v>
      </c>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c r="BG242" s="3"/>
      <c r="BH242" s="3"/>
      <c r="BI242" s="3"/>
      <c r="BJ242" s="3"/>
      <c r="BK242" s="3"/>
      <c r="BL242" s="3"/>
      <c r="BM242" s="3"/>
      <c r="BN242" s="3"/>
      <c r="BO242" s="3"/>
      <c r="BP242" s="3"/>
      <c r="BQ242" s="3"/>
      <c r="BR242" s="3"/>
      <c r="BS242" s="3"/>
      <c r="BT242" s="3"/>
      <c r="BU242" s="3"/>
      <c r="BV242" s="3"/>
      <c r="BW242" s="3"/>
      <c r="BX242" s="3"/>
      <c r="BY242" s="3"/>
      <c r="BZ242" s="3"/>
      <c r="CA242" s="3"/>
      <c r="CB242" s="3"/>
      <c r="CC242" s="3"/>
    </row>
    <row r="243" spans="1:81" ht="15.75" customHeight="1" x14ac:dyDescent="0.25">
      <c r="A243" s="3"/>
      <c r="B243" s="2049" t="s">
        <v>1818</v>
      </c>
      <c r="C243" s="648">
        <f>Y209/1000000</f>
        <v>1.8001887648226437E-4</v>
      </c>
      <c r="D243" s="648"/>
      <c r="E243" s="2042">
        <f t="shared" si="107"/>
        <v>5.022526653855176E-3</v>
      </c>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c r="BG243" s="3"/>
      <c r="BH243" s="3"/>
      <c r="BI243" s="3"/>
      <c r="BJ243" s="3"/>
      <c r="BK243" s="3"/>
      <c r="BL243" s="3"/>
      <c r="BM243" s="3"/>
      <c r="BN243" s="3"/>
      <c r="BO243" s="3"/>
      <c r="BP243" s="3"/>
      <c r="BQ243" s="3"/>
      <c r="BR243" s="3"/>
      <c r="BS243" s="3"/>
      <c r="BT243" s="3"/>
      <c r="BU243" s="3"/>
      <c r="BV243" s="3"/>
      <c r="BW243" s="3"/>
      <c r="BX243" s="3"/>
      <c r="BY243" s="3"/>
      <c r="BZ243" s="3"/>
      <c r="CA243" s="3"/>
      <c r="CB243" s="3"/>
      <c r="CC243" s="3"/>
    </row>
    <row r="244" spans="1:81" ht="15.75" customHeight="1" x14ac:dyDescent="0.25">
      <c r="A244" s="3"/>
      <c r="B244" s="2050" t="s">
        <v>1822</v>
      </c>
      <c r="C244" s="2047">
        <f>SUM(C245:C247)</f>
        <v>3.8286124004415002E-3</v>
      </c>
      <c r="D244" s="2047"/>
      <c r="E244" s="2048">
        <f t="shared" ref="E244:E247" si="108">C244*$Z$8</f>
        <v>1.0452111853205295</v>
      </c>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c r="BG244" s="3"/>
      <c r="BH244" s="3"/>
      <c r="BI244" s="3"/>
      <c r="BJ244" s="3"/>
      <c r="BK244" s="3"/>
      <c r="BL244" s="3"/>
      <c r="BM244" s="3"/>
      <c r="BN244" s="3"/>
      <c r="BO244" s="3"/>
      <c r="BP244" s="3"/>
      <c r="BQ244" s="3"/>
      <c r="BR244" s="3"/>
      <c r="BS244" s="3"/>
      <c r="BT244" s="3"/>
      <c r="BU244" s="3"/>
      <c r="BV244" s="3"/>
      <c r="BW244" s="3"/>
      <c r="BX244" s="3"/>
      <c r="BY244" s="3"/>
      <c r="BZ244" s="3"/>
      <c r="CA244" s="3"/>
      <c r="CB244" s="3"/>
      <c r="CC244" s="3"/>
    </row>
    <row r="245" spans="1:81" ht="15.75" customHeight="1" x14ac:dyDescent="0.25">
      <c r="A245" s="3"/>
      <c r="B245" s="2049" t="s">
        <v>428</v>
      </c>
      <c r="C245" s="648">
        <f>O89*0.000000001</f>
        <v>7.4268714847622471E-4</v>
      </c>
      <c r="D245" s="648"/>
      <c r="E245" s="2042">
        <f t="shared" si="108"/>
        <v>0.20275359153400935</v>
      </c>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c r="BG245" s="3"/>
      <c r="BH245" s="3"/>
      <c r="BI245" s="3"/>
      <c r="BJ245" s="3"/>
      <c r="BK245" s="3"/>
      <c r="BL245" s="3"/>
      <c r="BM245" s="3"/>
      <c r="BN245" s="3"/>
      <c r="BO245" s="3"/>
      <c r="BP245" s="3"/>
      <c r="BQ245" s="3"/>
      <c r="BR245" s="3"/>
      <c r="BS245" s="3"/>
      <c r="BT245" s="3"/>
      <c r="BU245" s="3"/>
      <c r="BV245" s="3"/>
      <c r="BW245" s="3"/>
      <c r="BX245" s="3"/>
      <c r="BY245" s="3"/>
      <c r="BZ245" s="3"/>
      <c r="CA245" s="3"/>
      <c r="CB245" s="3"/>
      <c r="CC245" s="3"/>
    </row>
    <row r="246" spans="1:81" ht="15.75" customHeight="1" x14ac:dyDescent="0.25">
      <c r="A246" s="3"/>
      <c r="B246" s="2049" t="s">
        <v>1816</v>
      </c>
      <c r="C246" s="648">
        <f>(AA96+AA97+O124+Q124+G189+G192+O189)*0.000001</f>
        <v>3.0778622112683472E-3</v>
      </c>
      <c r="D246" s="648"/>
      <c r="E246" s="2042">
        <f t="shared" si="108"/>
        <v>0.84025638367625877</v>
      </c>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c r="BG246" s="3"/>
      <c r="BH246" s="3"/>
      <c r="BI246" s="3"/>
      <c r="BJ246" s="3"/>
      <c r="BK246" s="3"/>
      <c r="BL246" s="3"/>
      <c r="BM246" s="3"/>
      <c r="BN246" s="3"/>
      <c r="BO246" s="3"/>
      <c r="BP246" s="3"/>
      <c r="BQ246" s="3"/>
      <c r="BR246" s="3"/>
      <c r="BS246" s="3"/>
      <c r="BT246" s="3"/>
      <c r="BU246" s="3"/>
      <c r="BV246" s="3"/>
      <c r="BW246" s="3"/>
      <c r="BX246" s="3"/>
      <c r="BY246" s="3"/>
      <c r="BZ246" s="3"/>
      <c r="CA246" s="3"/>
      <c r="CB246" s="3"/>
      <c r="CC246" s="3"/>
    </row>
    <row r="247" spans="1:81" ht="15.75" customHeight="1" x14ac:dyDescent="0.25">
      <c r="A247" s="3"/>
      <c r="B247" s="2049" t="s">
        <v>1818</v>
      </c>
      <c r="C247" s="648">
        <f>Y224*0.000001</f>
        <v>8.06304069692816E-6</v>
      </c>
      <c r="D247" s="648"/>
      <c r="E247" s="2042">
        <f t="shared" si="108"/>
        <v>2.2012101102613876E-3</v>
      </c>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c r="BG247" s="3"/>
      <c r="BH247" s="3"/>
      <c r="BI247" s="3"/>
      <c r="BJ247" s="3"/>
      <c r="BK247" s="3"/>
      <c r="BL247" s="3"/>
      <c r="BM247" s="3"/>
      <c r="BN247" s="3"/>
      <c r="BO247" s="3"/>
      <c r="BP247" s="3"/>
      <c r="BQ247" s="3"/>
      <c r="BR247" s="3"/>
      <c r="BS247" s="3"/>
      <c r="BT247" s="3"/>
      <c r="BU247" s="3"/>
      <c r="BV247" s="3"/>
      <c r="BW247" s="3"/>
      <c r="BX247" s="3"/>
      <c r="BY247" s="3"/>
      <c r="BZ247" s="3"/>
      <c r="CA247" s="3"/>
      <c r="CB247" s="3"/>
      <c r="CC247" s="3"/>
    </row>
    <row r="248" spans="1:81" ht="15.75" customHeight="1" x14ac:dyDescent="0.25">
      <c r="A248" s="3"/>
      <c r="B248" s="1107"/>
      <c r="C248" s="81"/>
      <c r="D248" s="81"/>
      <c r="E248" s="206"/>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c r="BG248" s="3"/>
      <c r="BH248" s="3"/>
      <c r="BI248" s="3"/>
      <c r="BJ248" s="3"/>
      <c r="BK248" s="3"/>
      <c r="BL248" s="3"/>
      <c r="BM248" s="3"/>
      <c r="BN248" s="3"/>
      <c r="BO248" s="3"/>
      <c r="BP248" s="3"/>
      <c r="BQ248" s="3"/>
      <c r="BR248" s="3"/>
      <c r="BS248" s="3"/>
      <c r="BT248" s="3"/>
      <c r="BU248" s="3"/>
      <c r="BV248" s="3"/>
      <c r="BW248" s="3"/>
      <c r="BX248" s="3"/>
      <c r="BY248" s="3"/>
      <c r="BZ248" s="3"/>
      <c r="CA248" s="3"/>
      <c r="CB248" s="3"/>
      <c r="CC248" s="3"/>
    </row>
    <row r="249" spans="1:81" ht="30" customHeight="1" x14ac:dyDescent="0.25">
      <c r="A249" s="3"/>
      <c r="B249" s="2045" t="s">
        <v>1823</v>
      </c>
      <c r="C249" s="1499">
        <v>2011</v>
      </c>
      <c r="D249" s="1499"/>
      <c r="E249" s="2051"/>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c r="BG249" s="3"/>
      <c r="BH249" s="3"/>
      <c r="BI249" s="3"/>
      <c r="BJ249" s="3"/>
      <c r="BK249" s="3"/>
      <c r="BL249" s="3"/>
      <c r="BM249" s="3"/>
      <c r="BN249" s="3"/>
      <c r="BO249" s="3"/>
      <c r="BP249" s="3"/>
      <c r="BQ249" s="3"/>
      <c r="BR249" s="3"/>
      <c r="BS249" s="3"/>
      <c r="BT249" s="3"/>
      <c r="BU249" s="3"/>
      <c r="BV249" s="3"/>
      <c r="BW249" s="3"/>
      <c r="BX249" s="3"/>
      <c r="BY249" s="3"/>
      <c r="BZ249" s="3"/>
      <c r="CA249" s="3"/>
      <c r="CB249" s="3"/>
      <c r="CC249" s="3"/>
    </row>
    <row r="250" spans="1:81" ht="15.75" customHeight="1" x14ac:dyDescent="0.25">
      <c r="A250" s="3"/>
      <c r="B250" s="1477" t="s">
        <v>1824</v>
      </c>
      <c r="C250" s="1007">
        <f>SUM(C251:C255)</f>
        <v>2649.6636765402859</v>
      </c>
      <c r="D250" s="1007"/>
      <c r="E250" s="2052"/>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c r="BG250" s="3"/>
      <c r="BH250" s="3"/>
      <c r="BI250" s="3"/>
      <c r="BJ250" s="3"/>
      <c r="BK250" s="3"/>
      <c r="BL250" s="3"/>
      <c r="BM250" s="3"/>
      <c r="BN250" s="3"/>
      <c r="BO250" s="3"/>
      <c r="BP250" s="3"/>
      <c r="BQ250" s="3"/>
      <c r="BR250" s="3"/>
      <c r="BS250" s="3"/>
      <c r="BT250" s="3"/>
      <c r="BU250" s="3"/>
      <c r="BV250" s="3"/>
      <c r="BW250" s="3"/>
      <c r="BX250" s="3"/>
      <c r="BY250" s="3"/>
      <c r="BZ250" s="3"/>
      <c r="CA250" s="3"/>
      <c r="CB250" s="3"/>
      <c r="CC250" s="3"/>
    </row>
    <row r="251" spans="1:81" ht="15.75" customHeight="1" x14ac:dyDescent="0.25">
      <c r="A251" s="3"/>
      <c r="B251" s="2049" t="s">
        <v>1825</v>
      </c>
      <c r="C251" s="624">
        <f>O124</f>
        <v>493.6067891555428</v>
      </c>
      <c r="D251" s="624"/>
      <c r="E251" s="752"/>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c r="BG251" s="3"/>
      <c r="BH251" s="3"/>
      <c r="BI251" s="3"/>
      <c r="BJ251" s="3"/>
      <c r="BK251" s="3"/>
      <c r="BL251" s="3"/>
      <c r="BM251" s="3"/>
      <c r="BN251" s="3"/>
      <c r="BO251" s="3"/>
      <c r="BP251" s="3"/>
      <c r="BQ251" s="3"/>
      <c r="BR251" s="3"/>
      <c r="BS251" s="3"/>
      <c r="BT251" s="3"/>
      <c r="BU251" s="3"/>
      <c r="BV251" s="3"/>
      <c r="BW251" s="3"/>
      <c r="BX251" s="3"/>
      <c r="BY251" s="3"/>
      <c r="BZ251" s="3"/>
      <c r="CA251" s="3"/>
      <c r="CB251" s="3"/>
      <c r="CC251" s="3"/>
    </row>
    <row r="252" spans="1:81" ht="15.75" customHeight="1" x14ac:dyDescent="0.25">
      <c r="A252" s="3"/>
      <c r="B252" s="2049" t="s">
        <v>1826</v>
      </c>
      <c r="C252" s="624">
        <f t="shared" ref="C252:C253" si="109">AA96</f>
        <v>422.23715421701729</v>
      </c>
      <c r="D252" s="624"/>
      <c r="E252" s="205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c r="BG252" s="3"/>
      <c r="BH252" s="3"/>
      <c r="BI252" s="3"/>
      <c r="BJ252" s="3"/>
      <c r="BK252" s="3"/>
      <c r="BL252" s="3"/>
      <c r="BM252" s="3"/>
      <c r="BN252" s="3"/>
      <c r="BO252" s="3"/>
      <c r="BP252" s="3"/>
      <c r="BQ252" s="3"/>
      <c r="BR252" s="3"/>
      <c r="BS252" s="3"/>
      <c r="BT252" s="3"/>
      <c r="BU252" s="3"/>
      <c r="BV252" s="3"/>
      <c r="BW252" s="3"/>
      <c r="BX252" s="3"/>
      <c r="BY252" s="3"/>
      <c r="BZ252" s="3"/>
      <c r="CA252" s="3"/>
      <c r="CB252" s="3"/>
      <c r="CC252" s="3"/>
    </row>
    <row r="253" spans="1:81" ht="15.75" customHeight="1" x14ac:dyDescent="0.25">
      <c r="A253" s="3"/>
      <c r="B253" s="2049" t="s">
        <v>1827</v>
      </c>
      <c r="C253" s="624">
        <f t="shared" si="109"/>
        <v>670.39496110002494</v>
      </c>
      <c r="D253" s="624"/>
      <c r="E253" s="205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c r="BG253" s="3"/>
      <c r="BH253" s="3"/>
      <c r="BI253" s="3"/>
      <c r="BJ253" s="3"/>
      <c r="BK253" s="3"/>
      <c r="BL253" s="3"/>
      <c r="BM253" s="3"/>
      <c r="BN253" s="3"/>
      <c r="BO253" s="3"/>
      <c r="BP253" s="3"/>
      <c r="BQ253" s="3"/>
      <c r="BR253" s="3"/>
      <c r="BS253" s="3"/>
      <c r="BT253" s="3"/>
      <c r="BU253" s="3"/>
      <c r="BV253" s="3"/>
      <c r="BW253" s="3"/>
      <c r="BX253" s="3"/>
      <c r="BY253" s="3"/>
      <c r="BZ253" s="3"/>
      <c r="CA253" s="3"/>
      <c r="CB253" s="3"/>
      <c r="CC253" s="3"/>
    </row>
    <row r="254" spans="1:81" ht="15.75" customHeight="1" x14ac:dyDescent="0.25">
      <c r="A254" s="3"/>
      <c r="B254" s="2049" t="s">
        <v>1828</v>
      </c>
      <c r="C254" s="624">
        <v>0</v>
      </c>
      <c r="D254" s="624"/>
      <c r="E254" s="752"/>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c r="BG254" s="3"/>
      <c r="BH254" s="3"/>
      <c r="BI254" s="3"/>
      <c r="BJ254" s="3"/>
      <c r="BK254" s="3"/>
      <c r="BL254" s="3"/>
      <c r="BM254" s="3"/>
      <c r="BN254" s="3"/>
      <c r="BO254" s="3"/>
      <c r="BP254" s="3"/>
      <c r="BQ254" s="3"/>
      <c r="BR254" s="3"/>
      <c r="BS254" s="3"/>
      <c r="BT254" s="3"/>
      <c r="BU254" s="3"/>
      <c r="BV254" s="3"/>
      <c r="BW254" s="3"/>
      <c r="BX254" s="3"/>
      <c r="BY254" s="3"/>
      <c r="BZ254" s="3"/>
      <c r="CA254" s="3"/>
      <c r="CB254" s="3"/>
      <c r="CC254" s="3"/>
    </row>
    <row r="255" spans="1:81" ht="15.75" customHeight="1" x14ac:dyDescent="0.25">
      <c r="A255" s="3"/>
      <c r="B255" s="2049" t="s">
        <v>1829</v>
      </c>
      <c r="C255" s="624">
        <f>G192</f>
        <v>1063.4247720677008</v>
      </c>
      <c r="D255" s="624"/>
      <c r="E255" s="752"/>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c r="BG255" s="3"/>
      <c r="BH255" s="3"/>
      <c r="BI255" s="3"/>
      <c r="BJ255" s="3"/>
      <c r="BK255" s="3"/>
      <c r="BL255" s="3"/>
      <c r="BM255" s="3"/>
      <c r="BN255" s="3"/>
      <c r="BO255" s="3"/>
      <c r="BP255" s="3"/>
      <c r="BQ255" s="3"/>
      <c r="BR255" s="3"/>
      <c r="BS255" s="3"/>
      <c r="BT255" s="3"/>
      <c r="BU255" s="3"/>
      <c r="BV255" s="3"/>
      <c r="BW255" s="3"/>
      <c r="BX255" s="3"/>
      <c r="BY255" s="3"/>
      <c r="BZ255" s="3"/>
      <c r="CA255" s="3"/>
      <c r="CB255" s="3"/>
      <c r="CC255" s="3"/>
    </row>
    <row r="256" spans="1:81" ht="15.75" customHeight="1" x14ac:dyDescent="0.25">
      <c r="A256" s="3"/>
      <c r="B256" s="1477" t="s">
        <v>1830</v>
      </c>
      <c r="C256" s="1007">
        <f>SUM(C257:C259)</f>
        <v>428.19853472806153</v>
      </c>
      <c r="D256" s="1007"/>
      <c r="E256" s="2052"/>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c r="BG256" s="3"/>
      <c r="BH256" s="3"/>
      <c r="BI256" s="3"/>
      <c r="BJ256" s="3"/>
      <c r="BK256" s="3"/>
      <c r="BL256" s="3"/>
      <c r="BM256" s="3"/>
      <c r="BN256" s="3"/>
      <c r="BO256" s="3"/>
      <c r="BP256" s="3"/>
      <c r="BQ256" s="3"/>
      <c r="BR256" s="3"/>
      <c r="BS256" s="3"/>
      <c r="BT256" s="3"/>
      <c r="BU256" s="3"/>
      <c r="BV256" s="3"/>
      <c r="BW256" s="3"/>
      <c r="BX256" s="3"/>
      <c r="BY256" s="3"/>
      <c r="BZ256" s="3"/>
      <c r="CA256" s="3"/>
      <c r="CB256" s="3"/>
      <c r="CC256" s="3"/>
    </row>
    <row r="257" spans="1:81" ht="15.75" customHeight="1" x14ac:dyDescent="0.25">
      <c r="A257" s="3"/>
      <c r="B257" s="2049" t="s">
        <v>1825</v>
      </c>
      <c r="C257" s="624">
        <f>Q124</f>
        <v>56.723518941885722</v>
      </c>
      <c r="D257" s="624"/>
      <c r="E257" s="752"/>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c r="BG257" s="3"/>
      <c r="BH257" s="3"/>
      <c r="BI257" s="3"/>
      <c r="BJ257" s="3"/>
      <c r="BK257" s="3"/>
      <c r="BL257" s="3"/>
      <c r="BM257" s="3"/>
      <c r="BN257" s="3"/>
      <c r="BO257" s="3"/>
      <c r="BP257" s="3"/>
      <c r="BQ257" s="3"/>
      <c r="BR257" s="3"/>
      <c r="BS257" s="3"/>
      <c r="BT257" s="3"/>
      <c r="BU257" s="3"/>
      <c r="BV257" s="3"/>
      <c r="BW257" s="3"/>
      <c r="BX257" s="3"/>
      <c r="BY257" s="3"/>
      <c r="BZ257" s="3"/>
      <c r="CA257" s="3"/>
      <c r="CB257" s="3"/>
      <c r="CC257" s="3"/>
    </row>
    <row r="258" spans="1:81" ht="15.75" customHeight="1" x14ac:dyDescent="0.25">
      <c r="A258" s="3"/>
      <c r="B258" s="2049" t="s">
        <v>1829</v>
      </c>
      <c r="C258" s="624">
        <f>G189</f>
        <v>122.54752387114287</v>
      </c>
      <c r="D258" s="624"/>
      <c r="E258" s="752"/>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c r="BG258" s="3"/>
      <c r="BH258" s="3"/>
      <c r="BI258" s="3"/>
      <c r="BJ258" s="3"/>
      <c r="BK258" s="3"/>
      <c r="BL258" s="3"/>
      <c r="BM258" s="3"/>
      <c r="BN258" s="3"/>
      <c r="BO258" s="3"/>
      <c r="BP258" s="3"/>
      <c r="BQ258" s="3"/>
      <c r="BR258" s="3"/>
      <c r="BS258" s="3"/>
      <c r="BT258" s="3"/>
      <c r="BU258" s="3"/>
      <c r="BV258" s="3"/>
      <c r="BW258" s="3"/>
      <c r="BX258" s="3"/>
      <c r="BY258" s="3"/>
      <c r="BZ258" s="3"/>
      <c r="CA258" s="3"/>
      <c r="CB258" s="3"/>
      <c r="CC258" s="3"/>
    </row>
    <row r="259" spans="1:81" ht="15.75" customHeight="1" x14ac:dyDescent="0.25">
      <c r="A259" s="3"/>
      <c r="B259" s="2049" t="s">
        <v>1831</v>
      </c>
      <c r="C259" s="624">
        <f>+O189</f>
        <v>248.9274919150329</v>
      </c>
      <c r="D259" s="624"/>
      <c r="E259" s="752"/>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c r="BG259" s="3"/>
      <c r="BH259" s="3"/>
      <c r="BI259" s="3"/>
      <c r="BJ259" s="3"/>
      <c r="BK259" s="3"/>
      <c r="BL259" s="3"/>
      <c r="BM259" s="3"/>
      <c r="BN259" s="3"/>
      <c r="BO259" s="3"/>
      <c r="BP259" s="3"/>
      <c r="BQ259" s="3"/>
      <c r="BR259" s="3"/>
      <c r="BS259" s="3"/>
      <c r="BT259" s="3"/>
      <c r="BU259" s="3"/>
      <c r="BV259" s="3"/>
      <c r="BW259" s="3"/>
      <c r="BX259" s="3"/>
      <c r="BY259" s="3"/>
      <c r="BZ259" s="3"/>
      <c r="CA259" s="3"/>
      <c r="CB259" s="3"/>
      <c r="CC259" s="3"/>
    </row>
    <row r="260" spans="1:81" ht="15.75" customHeight="1" x14ac:dyDescent="0.25">
      <c r="A260" s="3"/>
      <c r="B260" s="2054" t="s">
        <v>1745</v>
      </c>
      <c r="C260" s="624">
        <f t="shared" ref="C260:C261" si="110">O190</f>
        <v>111.06152755999712</v>
      </c>
      <c r="D260" s="624"/>
      <c r="E260" s="752"/>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c r="BG260" s="3"/>
      <c r="BH260" s="3"/>
      <c r="BI260" s="3"/>
      <c r="BJ260" s="3"/>
      <c r="BK260" s="3"/>
      <c r="BL260" s="3"/>
      <c r="BM260" s="3"/>
      <c r="BN260" s="3"/>
      <c r="BO260" s="3"/>
      <c r="BP260" s="3"/>
      <c r="BQ260" s="3"/>
      <c r="BR260" s="3"/>
      <c r="BS260" s="3"/>
      <c r="BT260" s="3"/>
      <c r="BU260" s="3"/>
      <c r="BV260" s="3"/>
      <c r="BW260" s="3"/>
      <c r="BX260" s="3"/>
      <c r="BY260" s="3"/>
      <c r="BZ260" s="3"/>
      <c r="CA260" s="3"/>
      <c r="CB260" s="3"/>
      <c r="CC260" s="3"/>
    </row>
    <row r="261" spans="1:81" ht="15.75" customHeight="1" x14ac:dyDescent="0.25">
      <c r="A261" s="3"/>
      <c r="B261" s="2054" t="s">
        <v>1747</v>
      </c>
      <c r="C261" s="624">
        <f t="shared" si="110"/>
        <v>137.86596435503574</v>
      </c>
      <c r="D261" s="624"/>
      <c r="E261" s="752"/>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c r="BG261" s="3"/>
      <c r="BH261" s="3"/>
      <c r="BI261" s="3"/>
      <c r="BJ261" s="3"/>
      <c r="BK261" s="3"/>
      <c r="BL261" s="3"/>
      <c r="BM261" s="3"/>
      <c r="BN261" s="3"/>
      <c r="BO261" s="3"/>
      <c r="BP261" s="3"/>
      <c r="BQ261" s="3"/>
      <c r="BR261" s="3"/>
      <c r="BS261" s="3"/>
      <c r="BT261" s="3"/>
      <c r="BU261" s="3"/>
      <c r="BV261" s="3"/>
      <c r="BW261" s="3"/>
      <c r="BX261" s="3"/>
      <c r="BY261" s="3"/>
      <c r="BZ261" s="3"/>
      <c r="CA261" s="3"/>
      <c r="CB261" s="3"/>
      <c r="CC261" s="3"/>
    </row>
    <row r="262" spans="1:81" ht="15.75" customHeight="1" x14ac:dyDescent="0.25">
      <c r="A262" s="3"/>
      <c r="B262" s="2055" t="s">
        <v>1227</v>
      </c>
      <c r="C262" s="1530">
        <f>C256+C250</f>
        <v>3077.8622112683474</v>
      </c>
      <c r="D262" s="1707"/>
      <c r="E262" s="2056"/>
      <c r="F262" s="3"/>
      <c r="G262" s="3"/>
      <c r="H262" s="3"/>
      <c r="I262" s="3"/>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c r="BG262" s="3"/>
      <c r="BH262" s="3"/>
      <c r="BI262" s="3"/>
      <c r="BJ262" s="3"/>
      <c r="BK262" s="3"/>
      <c r="BL262" s="3"/>
      <c r="BM262" s="3"/>
      <c r="BN262" s="3"/>
      <c r="BO262" s="3"/>
      <c r="BP262" s="3"/>
      <c r="BQ262" s="3"/>
      <c r="BR262" s="3"/>
      <c r="BS262" s="3"/>
      <c r="BT262" s="3"/>
      <c r="BU262" s="3"/>
      <c r="BV262" s="3"/>
      <c r="BW262" s="3"/>
      <c r="BX262" s="3"/>
      <c r="BY262" s="3"/>
      <c r="BZ262" s="3"/>
      <c r="CA262" s="3"/>
      <c r="CB262" s="3"/>
      <c r="CC262" s="3"/>
    </row>
    <row r="263" spans="1:81" ht="15.75"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c r="BG263" s="3"/>
      <c r="BH263" s="3"/>
      <c r="BI263" s="3"/>
      <c r="BJ263" s="3"/>
      <c r="BK263" s="3"/>
      <c r="BL263" s="3"/>
      <c r="BM263" s="3"/>
      <c r="BN263" s="3"/>
      <c r="BO263" s="3"/>
      <c r="BP263" s="3"/>
      <c r="BQ263" s="3"/>
      <c r="BR263" s="3"/>
      <c r="BS263" s="3"/>
      <c r="BT263" s="3"/>
      <c r="BU263" s="3"/>
      <c r="BV263" s="3"/>
      <c r="BW263" s="3"/>
      <c r="BX263" s="3"/>
      <c r="BY263" s="3"/>
      <c r="BZ263" s="3"/>
      <c r="CA263" s="3"/>
      <c r="CB263" s="3"/>
      <c r="CC263" s="3"/>
    </row>
    <row r="264" spans="1:81" ht="15.75"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c r="BG264" s="3"/>
      <c r="BH264" s="3"/>
      <c r="BI264" s="3"/>
      <c r="BJ264" s="3"/>
      <c r="BK264" s="3"/>
      <c r="BL264" s="3"/>
      <c r="BM264" s="3"/>
      <c r="BN264" s="3"/>
      <c r="BO264" s="3"/>
      <c r="BP264" s="3"/>
      <c r="BQ264" s="3"/>
      <c r="BR264" s="3"/>
      <c r="BS264" s="3"/>
      <c r="BT264" s="3"/>
      <c r="BU264" s="3"/>
      <c r="BV264" s="3"/>
      <c r="BW264" s="3"/>
      <c r="BX264" s="3"/>
      <c r="BY264" s="3"/>
      <c r="BZ264" s="3"/>
      <c r="CA264" s="3"/>
      <c r="CB264" s="3"/>
      <c r="CC264" s="3"/>
    </row>
    <row r="265" spans="1:81" ht="15.75" customHeight="1"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c r="BG265" s="3"/>
      <c r="BH265" s="3"/>
      <c r="BI265" s="3"/>
      <c r="BJ265" s="3"/>
      <c r="BK265" s="3"/>
      <c r="BL265" s="3"/>
      <c r="BM265" s="3"/>
      <c r="BN265" s="3"/>
      <c r="BO265" s="3"/>
      <c r="BP265" s="3"/>
      <c r="BQ265" s="3"/>
      <c r="BR265" s="3"/>
      <c r="BS265" s="3"/>
      <c r="BT265" s="3"/>
      <c r="BU265" s="3"/>
      <c r="BV265" s="3"/>
      <c r="BW265" s="3"/>
      <c r="BX265" s="3"/>
      <c r="BY265" s="3"/>
      <c r="BZ265" s="3"/>
      <c r="CA265" s="3"/>
      <c r="CB265" s="3"/>
      <c r="CC265" s="3"/>
    </row>
    <row r="266" spans="1:81" ht="15.75" customHeight="1"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c r="BG266" s="3"/>
      <c r="BH266" s="3"/>
      <c r="BI266" s="3"/>
      <c r="BJ266" s="3"/>
      <c r="BK266" s="3"/>
      <c r="BL266" s="3"/>
      <c r="BM266" s="3"/>
      <c r="BN266" s="3"/>
      <c r="BO266" s="3"/>
      <c r="BP266" s="3"/>
      <c r="BQ266" s="3"/>
      <c r="BR266" s="3"/>
      <c r="BS266" s="3"/>
      <c r="BT266" s="3"/>
      <c r="BU266" s="3"/>
      <c r="BV266" s="3"/>
      <c r="BW266" s="3"/>
      <c r="BX266" s="3"/>
      <c r="BY266" s="3"/>
      <c r="BZ266" s="3"/>
      <c r="CA266" s="3"/>
      <c r="CB266" s="3"/>
      <c r="CC266" s="3"/>
    </row>
    <row r="267" spans="1:81" ht="15.75" customHeight="1"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c r="BG267" s="3"/>
      <c r="BH267" s="3"/>
      <c r="BI267" s="3"/>
      <c r="BJ267" s="3"/>
      <c r="BK267" s="3"/>
      <c r="BL267" s="3"/>
      <c r="BM267" s="3"/>
      <c r="BN267" s="3"/>
      <c r="BO267" s="3"/>
      <c r="BP267" s="3"/>
      <c r="BQ267" s="3"/>
      <c r="BR267" s="3"/>
      <c r="BS267" s="3"/>
      <c r="BT267" s="3"/>
      <c r="BU267" s="3"/>
      <c r="BV267" s="3"/>
      <c r="BW267" s="3"/>
      <c r="BX267" s="3"/>
      <c r="BY267" s="3"/>
      <c r="BZ267" s="3"/>
      <c r="CA267" s="3"/>
      <c r="CB267" s="3"/>
      <c r="CC267" s="3"/>
    </row>
    <row r="268" spans="1:81" ht="15.75" customHeight="1"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c r="BG268" s="3"/>
      <c r="BH268" s="3"/>
      <c r="BI268" s="3"/>
      <c r="BJ268" s="3"/>
      <c r="BK268" s="3"/>
      <c r="BL268" s="3"/>
      <c r="BM268" s="3"/>
      <c r="BN268" s="3"/>
      <c r="BO268" s="3"/>
      <c r="BP268" s="3"/>
      <c r="BQ268" s="3"/>
      <c r="BR268" s="3"/>
      <c r="BS268" s="3"/>
      <c r="BT268" s="3"/>
      <c r="BU268" s="3"/>
      <c r="BV268" s="3"/>
      <c r="BW268" s="3"/>
      <c r="BX268" s="3"/>
      <c r="BY268" s="3"/>
      <c r="BZ268" s="3"/>
      <c r="CA268" s="3"/>
      <c r="CB268" s="3"/>
      <c r="CC268" s="3"/>
    </row>
    <row r="269" spans="1:81" ht="15.75" customHeight="1"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c r="BG269" s="3"/>
      <c r="BH269" s="3"/>
      <c r="BI269" s="3"/>
      <c r="BJ269" s="3"/>
      <c r="BK269" s="3"/>
      <c r="BL269" s="3"/>
      <c r="BM269" s="3"/>
      <c r="BN269" s="3"/>
      <c r="BO269" s="3"/>
      <c r="BP269" s="3"/>
      <c r="BQ269" s="3"/>
      <c r="BR269" s="3"/>
      <c r="BS269" s="3"/>
      <c r="BT269" s="3"/>
      <c r="BU269" s="3"/>
      <c r="BV269" s="3"/>
      <c r="BW269" s="3"/>
      <c r="BX269" s="3"/>
      <c r="BY269" s="3"/>
      <c r="BZ269" s="3"/>
      <c r="CA269" s="3"/>
      <c r="CB269" s="3"/>
      <c r="CC269" s="3"/>
    </row>
    <row r="270" spans="1:81" ht="15.75" customHeight="1"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c r="BG270" s="3"/>
      <c r="BH270" s="3"/>
      <c r="BI270" s="3"/>
      <c r="BJ270" s="3"/>
      <c r="BK270" s="3"/>
      <c r="BL270" s="3"/>
      <c r="BM270" s="3"/>
      <c r="BN270" s="3"/>
      <c r="BO270" s="3"/>
      <c r="BP270" s="3"/>
      <c r="BQ270" s="3"/>
      <c r="BR270" s="3"/>
      <c r="BS270" s="3"/>
      <c r="BT270" s="3"/>
      <c r="BU270" s="3"/>
      <c r="BV270" s="3"/>
      <c r="BW270" s="3"/>
      <c r="BX270" s="3"/>
      <c r="BY270" s="3"/>
      <c r="BZ270" s="3"/>
      <c r="CA270" s="3"/>
      <c r="CB270" s="3"/>
      <c r="CC270" s="3"/>
    </row>
    <row r="271" spans="1:81" ht="15.75" customHeight="1"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c r="BG271" s="3"/>
      <c r="BH271" s="3"/>
      <c r="BI271" s="3"/>
      <c r="BJ271" s="3"/>
      <c r="BK271" s="3"/>
      <c r="BL271" s="3"/>
      <c r="BM271" s="3"/>
      <c r="BN271" s="3"/>
      <c r="BO271" s="3"/>
      <c r="BP271" s="3"/>
      <c r="BQ271" s="3"/>
      <c r="BR271" s="3"/>
      <c r="BS271" s="3"/>
      <c r="BT271" s="3"/>
      <c r="BU271" s="3"/>
      <c r="BV271" s="3"/>
      <c r="BW271" s="3"/>
      <c r="BX271" s="3"/>
      <c r="BY271" s="3"/>
      <c r="BZ271" s="3"/>
      <c r="CA271" s="3"/>
      <c r="CB271" s="3"/>
      <c r="CC271" s="3"/>
    </row>
    <row r="272" spans="1:81" ht="15.75" customHeight="1"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c r="BG272" s="3"/>
      <c r="BH272" s="3"/>
      <c r="BI272" s="3"/>
      <c r="BJ272" s="3"/>
      <c r="BK272" s="3"/>
      <c r="BL272" s="3"/>
      <c r="BM272" s="3"/>
      <c r="BN272" s="3"/>
      <c r="BO272" s="3"/>
      <c r="BP272" s="3"/>
      <c r="BQ272" s="3"/>
      <c r="BR272" s="3"/>
      <c r="BS272" s="3"/>
      <c r="BT272" s="3"/>
      <c r="BU272" s="3"/>
      <c r="BV272" s="3"/>
      <c r="BW272" s="3"/>
      <c r="BX272" s="3"/>
      <c r="BY272" s="3"/>
      <c r="BZ272" s="3"/>
      <c r="CA272" s="3"/>
      <c r="CB272" s="3"/>
      <c r="CC272" s="3"/>
    </row>
    <row r="273" spans="1:81" ht="15.75" customHeight="1"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c r="BG273" s="3"/>
      <c r="BH273" s="3"/>
      <c r="BI273" s="3"/>
      <c r="BJ273" s="3"/>
      <c r="BK273" s="3"/>
      <c r="BL273" s="3"/>
      <c r="BM273" s="3"/>
      <c r="BN273" s="3"/>
      <c r="BO273" s="3"/>
      <c r="BP273" s="3"/>
      <c r="BQ273" s="3"/>
      <c r="BR273" s="3"/>
      <c r="BS273" s="3"/>
      <c r="BT273" s="3"/>
      <c r="BU273" s="3"/>
      <c r="BV273" s="3"/>
      <c r="BW273" s="3"/>
      <c r="BX273" s="3"/>
      <c r="BY273" s="3"/>
      <c r="BZ273" s="3"/>
      <c r="CA273" s="3"/>
      <c r="CB273" s="3"/>
      <c r="CC273" s="3"/>
    </row>
    <row r="274" spans="1:81" ht="15.75" customHeight="1"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c r="BG274" s="3"/>
      <c r="BH274" s="3"/>
      <c r="BI274" s="3"/>
      <c r="BJ274" s="3"/>
      <c r="BK274" s="3"/>
      <c r="BL274" s="3"/>
      <c r="BM274" s="3"/>
      <c r="BN274" s="3"/>
      <c r="BO274" s="3"/>
      <c r="BP274" s="3"/>
      <c r="BQ274" s="3"/>
      <c r="BR274" s="3"/>
      <c r="BS274" s="3"/>
      <c r="BT274" s="3"/>
      <c r="BU274" s="3"/>
      <c r="BV274" s="3"/>
      <c r="BW274" s="3"/>
      <c r="BX274" s="3"/>
      <c r="BY274" s="3"/>
      <c r="BZ274" s="3"/>
      <c r="CA274" s="3"/>
      <c r="CB274" s="3"/>
      <c r="CC274" s="3"/>
    </row>
    <row r="275" spans="1:81" ht="15.75" customHeight="1"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c r="BG275" s="3"/>
      <c r="BH275" s="3"/>
      <c r="BI275" s="3"/>
      <c r="BJ275" s="3"/>
      <c r="BK275" s="3"/>
      <c r="BL275" s="3"/>
      <c r="BM275" s="3"/>
      <c r="BN275" s="3"/>
      <c r="BO275" s="3"/>
      <c r="BP275" s="3"/>
      <c r="BQ275" s="3"/>
      <c r="BR275" s="3"/>
      <c r="BS275" s="3"/>
      <c r="BT275" s="3"/>
      <c r="BU275" s="3"/>
      <c r="BV275" s="3"/>
      <c r="BW275" s="3"/>
      <c r="BX275" s="3"/>
      <c r="BY275" s="3"/>
      <c r="BZ275" s="3"/>
      <c r="CA275" s="3"/>
      <c r="CB275" s="3"/>
      <c r="CC275" s="3"/>
    </row>
    <row r="276" spans="1:81" ht="15.75" customHeight="1"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c r="BG276" s="3"/>
      <c r="BH276" s="3"/>
      <c r="BI276" s="3"/>
      <c r="BJ276" s="3"/>
      <c r="BK276" s="3"/>
      <c r="BL276" s="3"/>
      <c r="BM276" s="3"/>
      <c r="BN276" s="3"/>
      <c r="BO276" s="3"/>
      <c r="BP276" s="3"/>
      <c r="BQ276" s="3"/>
      <c r="BR276" s="3"/>
      <c r="BS276" s="3"/>
      <c r="BT276" s="3"/>
      <c r="BU276" s="3"/>
      <c r="BV276" s="3"/>
      <c r="BW276" s="3"/>
      <c r="BX276" s="3"/>
      <c r="BY276" s="3"/>
      <c r="BZ276" s="3"/>
      <c r="CA276" s="3"/>
      <c r="CB276" s="3"/>
      <c r="CC276" s="3"/>
    </row>
    <row r="277" spans="1:81" ht="15.75" customHeight="1"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c r="BG277" s="3"/>
      <c r="BH277" s="3"/>
      <c r="BI277" s="3"/>
      <c r="BJ277" s="3"/>
      <c r="BK277" s="3"/>
      <c r="BL277" s="3"/>
      <c r="BM277" s="3"/>
      <c r="BN277" s="3"/>
      <c r="BO277" s="3"/>
      <c r="BP277" s="3"/>
      <c r="BQ277" s="3"/>
      <c r="BR277" s="3"/>
      <c r="BS277" s="3"/>
      <c r="BT277" s="3"/>
      <c r="BU277" s="3"/>
      <c r="BV277" s="3"/>
      <c r="BW277" s="3"/>
      <c r="BX277" s="3"/>
      <c r="BY277" s="3"/>
      <c r="BZ277" s="3"/>
      <c r="CA277" s="3"/>
      <c r="CB277" s="3"/>
      <c r="CC277" s="3"/>
    </row>
    <row r="278" spans="1:81" ht="15.75" customHeight="1"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c r="BG278" s="3"/>
      <c r="BH278" s="3"/>
      <c r="BI278" s="3"/>
      <c r="BJ278" s="3"/>
      <c r="BK278" s="3"/>
      <c r="BL278" s="3"/>
      <c r="BM278" s="3"/>
      <c r="BN278" s="3"/>
      <c r="BO278" s="3"/>
      <c r="BP278" s="3"/>
      <c r="BQ278" s="3"/>
      <c r="BR278" s="3"/>
      <c r="BS278" s="3"/>
      <c r="BT278" s="3"/>
      <c r="BU278" s="3"/>
      <c r="BV278" s="3"/>
      <c r="BW278" s="3"/>
      <c r="BX278" s="3"/>
      <c r="BY278" s="3"/>
      <c r="BZ278" s="3"/>
      <c r="CA278" s="3"/>
      <c r="CB278" s="3"/>
      <c r="CC278" s="3"/>
    </row>
    <row r="279" spans="1:81" ht="15.75" customHeight="1"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c r="BG279" s="3"/>
      <c r="BH279" s="3"/>
      <c r="BI279" s="3"/>
      <c r="BJ279" s="3"/>
      <c r="BK279" s="3"/>
      <c r="BL279" s="3"/>
      <c r="BM279" s="3"/>
      <c r="BN279" s="3"/>
      <c r="BO279" s="3"/>
      <c r="BP279" s="3"/>
      <c r="BQ279" s="3"/>
      <c r="BR279" s="3"/>
      <c r="BS279" s="3"/>
      <c r="BT279" s="3"/>
      <c r="BU279" s="3"/>
      <c r="BV279" s="3"/>
      <c r="BW279" s="3"/>
      <c r="BX279" s="3"/>
      <c r="BY279" s="3"/>
      <c r="BZ279" s="3"/>
      <c r="CA279" s="3"/>
      <c r="CB279" s="3"/>
      <c r="CC279" s="3"/>
    </row>
    <row r="280" spans="1:81" ht="15.75" customHeight="1"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c r="BG280" s="3"/>
      <c r="BH280" s="3"/>
      <c r="BI280" s="3"/>
      <c r="BJ280" s="3"/>
      <c r="BK280" s="3"/>
      <c r="BL280" s="3"/>
      <c r="BM280" s="3"/>
      <c r="BN280" s="3"/>
      <c r="BO280" s="3"/>
      <c r="BP280" s="3"/>
      <c r="BQ280" s="3"/>
      <c r="BR280" s="3"/>
      <c r="BS280" s="3"/>
      <c r="BT280" s="3"/>
      <c r="BU280" s="3"/>
      <c r="BV280" s="3"/>
      <c r="BW280" s="3"/>
      <c r="BX280" s="3"/>
      <c r="BY280" s="3"/>
      <c r="BZ280" s="3"/>
      <c r="CA280" s="3"/>
      <c r="CB280" s="3"/>
      <c r="CC280" s="3"/>
    </row>
    <row r="281" spans="1:81" ht="15.75" customHeight="1"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c r="BG281" s="3"/>
      <c r="BH281" s="3"/>
      <c r="BI281" s="3"/>
      <c r="BJ281" s="3"/>
      <c r="BK281" s="3"/>
      <c r="BL281" s="3"/>
      <c r="BM281" s="3"/>
      <c r="BN281" s="3"/>
      <c r="BO281" s="3"/>
      <c r="BP281" s="3"/>
      <c r="BQ281" s="3"/>
      <c r="BR281" s="3"/>
      <c r="BS281" s="3"/>
      <c r="BT281" s="3"/>
      <c r="BU281" s="3"/>
      <c r="BV281" s="3"/>
      <c r="BW281" s="3"/>
      <c r="BX281" s="3"/>
      <c r="BY281" s="3"/>
      <c r="BZ281" s="3"/>
      <c r="CA281" s="3"/>
      <c r="CB281" s="3"/>
      <c r="CC281" s="3"/>
    </row>
    <row r="282" spans="1:81" ht="15.75" customHeight="1"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c r="BG282" s="3"/>
      <c r="BH282" s="3"/>
      <c r="BI282" s="3"/>
      <c r="BJ282" s="3"/>
      <c r="BK282" s="3"/>
      <c r="BL282" s="3"/>
      <c r="BM282" s="3"/>
      <c r="BN282" s="3"/>
      <c r="BO282" s="3"/>
      <c r="BP282" s="3"/>
      <c r="BQ282" s="3"/>
      <c r="BR282" s="3"/>
      <c r="BS282" s="3"/>
      <c r="BT282" s="3"/>
      <c r="BU282" s="3"/>
      <c r="BV282" s="3"/>
      <c r="BW282" s="3"/>
      <c r="BX282" s="3"/>
      <c r="BY282" s="3"/>
      <c r="BZ282" s="3"/>
      <c r="CA282" s="3"/>
      <c r="CB282" s="3"/>
      <c r="CC282" s="3"/>
    </row>
    <row r="283" spans="1:81" ht="15.75" customHeight="1"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c r="BG283" s="3"/>
      <c r="BH283" s="3"/>
      <c r="BI283" s="3"/>
      <c r="BJ283" s="3"/>
      <c r="BK283" s="3"/>
      <c r="BL283" s="3"/>
      <c r="BM283" s="3"/>
      <c r="BN283" s="3"/>
      <c r="BO283" s="3"/>
      <c r="BP283" s="3"/>
      <c r="BQ283" s="3"/>
      <c r="BR283" s="3"/>
      <c r="BS283" s="3"/>
      <c r="BT283" s="3"/>
      <c r="BU283" s="3"/>
      <c r="BV283" s="3"/>
      <c r="BW283" s="3"/>
      <c r="BX283" s="3"/>
      <c r="BY283" s="3"/>
      <c r="BZ283" s="3"/>
      <c r="CA283" s="3"/>
      <c r="CB283" s="3"/>
      <c r="CC283" s="3"/>
    </row>
    <row r="284" spans="1:81" ht="15.75" customHeight="1"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c r="BG284" s="3"/>
      <c r="BH284" s="3"/>
      <c r="BI284" s="3"/>
      <c r="BJ284" s="3"/>
      <c r="BK284" s="3"/>
      <c r="BL284" s="3"/>
      <c r="BM284" s="3"/>
      <c r="BN284" s="3"/>
      <c r="BO284" s="3"/>
      <c r="BP284" s="3"/>
      <c r="BQ284" s="3"/>
      <c r="BR284" s="3"/>
      <c r="BS284" s="3"/>
      <c r="BT284" s="3"/>
      <c r="BU284" s="3"/>
      <c r="BV284" s="3"/>
      <c r="BW284" s="3"/>
      <c r="BX284" s="3"/>
      <c r="BY284" s="3"/>
      <c r="BZ284" s="3"/>
      <c r="CA284" s="3"/>
      <c r="CB284" s="3"/>
      <c r="CC284" s="3"/>
    </row>
    <row r="285" spans="1:81" ht="15.75" customHeight="1"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c r="BG285" s="3"/>
      <c r="BH285" s="3"/>
      <c r="BI285" s="3"/>
      <c r="BJ285" s="3"/>
      <c r="BK285" s="3"/>
      <c r="BL285" s="3"/>
      <c r="BM285" s="3"/>
      <c r="BN285" s="3"/>
      <c r="BO285" s="3"/>
      <c r="BP285" s="3"/>
      <c r="BQ285" s="3"/>
      <c r="BR285" s="3"/>
      <c r="BS285" s="3"/>
      <c r="BT285" s="3"/>
      <c r="BU285" s="3"/>
      <c r="BV285" s="3"/>
      <c r="BW285" s="3"/>
      <c r="BX285" s="3"/>
      <c r="BY285" s="3"/>
      <c r="BZ285" s="3"/>
      <c r="CA285" s="3"/>
      <c r="CB285" s="3"/>
      <c r="CC285" s="3"/>
    </row>
    <row r="286" spans="1:81" ht="15.75" customHeight="1"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c r="BG286" s="3"/>
      <c r="BH286" s="3"/>
      <c r="BI286" s="3"/>
      <c r="BJ286" s="3"/>
      <c r="BK286" s="3"/>
      <c r="BL286" s="3"/>
      <c r="BM286" s="3"/>
      <c r="BN286" s="3"/>
      <c r="BO286" s="3"/>
      <c r="BP286" s="3"/>
      <c r="BQ286" s="3"/>
      <c r="BR286" s="3"/>
      <c r="BS286" s="3"/>
      <c r="BT286" s="3"/>
      <c r="BU286" s="3"/>
      <c r="BV286" s="3"/>
      <c r="BW286" s="3"/>
      <c r="BX286" s="3"/>
      <c r="BY286" s="3"/>
      <c r="BZ286" s="3"/>
      <c r="CA286" s="3"/>
      <c r="CB286" s="3"/>
      <c r="CC286" s="3"/>
    </row>
    <row r="287" spans="1:81" ht="15.75" customHeight="1"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c r="BG287" s="3"/>
      <c r="BH287" s="3"/>
      <c r="BI287" s="3"/>
      <c r="BJ287" s="3"/>
      <c r="BK287" s="3"/>
      <c r="BL287" s="3"/>
      <c r="BM287" s="3"/>
      <c r="BN287" s="3"/>
      <c r="BO287" s="3"/>
      <c r="BP287" s="3"/>
      <c r="BQ287" s="3"/>
      <c r="BR287" s="3"/>
      <c r="BS287" s="3"/>
      <c r="BT287" s="3"/>
      <c r="BU287" s="3"/>
      <c r="BV287" s="3"/>
      <c r="BW287" s="3"/>
      <c r="BX287" s="3"/>
      <c r="BY287" s="3"/>
      <c r="BZ287" s="3"/>
      <c r="CA287" s="3"/>
      <c r="CB287" s="3"/>
      <c r="CC287" s="3"/>
    </row>
    <row r="288" spans="1:81" ht="15.75" customHeight="1"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c r="BG288" s="3"/>
      <c r="BH288" s="3"/>
      <c r="BI288" s="3"/>
      <c r="BJ288" s="3"/>
      <c r="BK288" s="3"/>
      <c r="BL288" s="3"/>
      <c r="BM288" s="3"/>
      <c r="BN288" s="3"/>
      <c r="BO288" s="3"/>
      <c r="BP288" s="3"/>
      <c r="BQ288" s="3"/>
      <c r="BR288" s="3"/>
      <c r="BS288" s="3"/>
      <c r="BT288" s="3"/>
      <c r="BU288" s="3"/>
      <c r="BV288" s="3"/>
      <c r="BW288" s="3"/>
      <c r="BX288" s="3"/>
      <c r="BY288" s="3"/>
      <c r="BZ288" s="3"/>
      <c r="CA288" s="3"/>
      <c r="CB288" s="3"/>
      <c r="CC288" s="3"/>
    </row>
    <row r="289" spans="1:81" ht="15.75" customHeight="1"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c r="BG289" s="3"/>
      <c r="BH289" s="3"/>
      <c r="BI289" s="3"/>
      <c r="BJ289" s="3"/>
      <c r="BK289" s="3"/>
      <c r="BL289" s="3"/>
      <c r="BM289" s="3"/>
      <c r="BN289" s="3"/>
      <c r="BO289" s="3"/>
      <c r="BP289" s="3"/>
      <c r="BQ289" s="3"/>
      <c r="BR289" s="3"/>
      <c r="BS289" s="3"/>
      <c r="BT289" s="3"/>
      <c r="BU289" s="3"/>
      <c r="BV289" s="3"/>
      <c r="BW289" s="3"/>
      <c r="BX289" s="3"/>
      <c r="BY289" s="3"/>
      <c r="BZ289" s="3"/>
      <c r="CA289" s="3"/>
      <c r="CB289" s="3"/>
      <c r="CC289" s="3"/>
    </row>
    <row r="290" spans="1:81" ht="15.75" customHeight="1"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c r="BG290" s="3"/>
      <c r="BH290" s="3"/>
      <c r="BI290" s="3"/>
      <c r="BJ290" s="3"/>
      <c r="BK290" s="3"/>
      <c r="BL290" s="3"/>
      <c r="BM290" s="3"/>
      <c r="BN290" s="3"/>
      <c r="BO290" s="3"/>
      <c r="BP290" s="3"/>
      <c r="BQ290" s="3"/>
      <c r="BR290" s="3"/>
      <c r="BS290" s="3"/>
      <c r="BT290" s="3"/>
      <c r="BU290" s="3"/>
      <c r="BV290" s="3"/>
      <c r="BW290" s="3"/>
      <c r="BX290" s="3"/>
      <c r="BY290" s="3"/>
      <c r="BZ290" s="3"/>
      <c r="CA290" s="3"/>
      <c r="CB290" s="3"/>
      <c r="CC290" s="3"/>
    </row>
    <row r="291" spans="1:81" ht="15.75" customHeight="1"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c r="BG291" s="3"/>
      <c r="BH291" s="3"/>
      <c r="BI291" s="3"/>
      <c r="BJ291" s="3"/>
      <c r="BK291" s="3"/>
      <c r="BL291" s="3"/>
      <c r="BM291" s="3"/>
      <c r="BN291" s="3"/>
      <c r="BO291" s="3"/>
      <c r="BP291" s="3"/>
      <c r="BQ291" s="3"/>
      <c r="BR291" s="3"/>
      <c r="BS291" s="3"/>
      <c r="BT291" s="3"/>
      <c r="BU291" s="3"/>
      <c r="BV291" s="3"/>
      <c r="BW291" s="3"/>
      <c r="BX291" s="3"/>
      <c r="BY291" s="3"/>
      <c r="BZ291" s="3"/>
      <c r="CA291" s="3"/>
      <c r="CB291" s="3"/>
      <c r="CC291" s="3"/>
    </row>
    <row r="292" spans="1:81" ht="15.75" customHeight="1"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c r="BG292" s="3"/>
      <c r="BH292" s="3"/>
      <c r="BI292" s="3"/>
      <c r="BJ292" s="3"/>
      <c r="BK292" s="3"/>
      <c r="BL292" s="3"/>
      <c r="BM292" s="3"/>
      <c r="BN292" s="3"/>
      <c r="BO292" s="3"/>
      <c r="BP292" s="3"/>
      <c r="BQ292" s="3"/>
      <c r="BR292" s="3"/>
      <c r="BS292" s="3"/>
      <c r="BT292" s="3"/>
      <c r="BU292" s="3"/>
      <c r="BV292" s="3"/>
      <c r="BW292" s="3"/>
      <c r="BX292" s="3"/>
      <c r="BY292" s="3"/>
      <c r="BZ292" s="3"/>
      <c r="CA292" s="3"/>
      <c r="CB292" s="3"/>
      <c r="CC292" s="3"/>
    </row>
    <row r="293" spans="1:81" ht="15.75" customHeight="1"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c r="BG293" s="3"/>
      <c r="BH293" s="3"/>
      <c r="BI293" s="3"/>
      <c r="BJ293" s="3"/>
      <c r="BK293" s="3"/>
      <c r="BL293" s="3"/>
      <c r="BM293" s="3"/>
      <c r="BN293" s="3"/>
      <c r="BO293" s="3"/>
      <c r="BP293" s="3"/>
      <c r="BQ293" s="3"/>
      <c r="BR293" s="3"/>
      <c r="BS293" s="3"/>
      <c r="BT293" s="3"/>
      <c r="BU293" s="3"/>
      <c r="BV293" s="3"/>
      <c r="BW293" s="3"/>
      <c r="BX293" s="3"/>
      <c r="BY293" s="3"/>
      <c r="BZ293" s="3"/>
      <c r="CA293" s="3"/>
      <c r="CB293" s="3"/>
      <c r="CC293" s="3"/>
    </row>
    <row r="294" spans="1:81" ht="15.75" customHeight="1"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c r="BG294" s="3"/>
      <c r="BH294" s="3"/>
      <c r="BI294" s="3"/>
      <c r="BJ294" s="3"/>
      <c r="BK294" s="3"/>
      <c r="BL294" s="3"/>
      <c r="BM294" s="3"/>
      <c r="BN294" s="3"/>
      <c r="BO294" s="3"/>
      <c r="BP294" s="3"/>
      <c r="BQ294" s="3"/>
      <c r="BR294" s="3"/>
      <c r="BS294" s="3"/>
      <c r="BT294" s="3"/>
      <c r="BU294" s="3"/>
      <c r="BV294" s="3"/>
      <c r="BW294" s="3"/>
      <c r="BX294" s="3"/>
      <c r="BY294" s="3"/>
      <c r="BZ294" s="3"/>
      <c r="CA294" s="3"/>
      <c r="CB294" s="3"/>
      <c r="CC294" s="3"/>
    </row>
    <row r="295" spans="1:81" ht="15.75" customHeight="1"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c r="BG295" s="3"/>
      <c r="BH295" s="3"/>
      <c r="BI295" s="3"/>
      <c r="BJ295" s="3"/>
      <c r="BK295" s="3"/>
      <c r="BL295" s="3"/>
      <c r="BM295" s="3"/>
      <c r="BN295" s="3"/>
      <c r="BO295" s="3"/>
      <c r="BP295" s="3"/>
      <c r="BQ295" s="3"/>
      <c r="BR295" s="3"/>
      <c r="BS295" s="3"/>
      <c r="BT295" s="3"/>
      <c r="BU295" s="3"/>
      <c r="BV295" s="3"/>
      <c r="BW295" s="3"/>
      <c r="BX295" s="3"/>
      <c r="BY295" s="3"/>
      <c r="BZ295" s="3"/>
      <c r="CA295" s="3"/>
      <c r="CB295" s="3"/>
      <c r="CC295" s="3"/>
    </row>
    <row r="296" spans="1:81" ht="15.75" customHeight="1"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c r="BG296" s="3"/>
      <c r="BH296" s="3"/>
      <c r="BI296" s="3"/>
      <c r="BJ296" s="3"/>
      <c r="BK296" s="3"/>
      <c r="BL296" s="3"/>
      <c r="BM296" s="3"/>
      <c r="BN296" s="3"/>
      <c r="BO296" s="3"/>
      <c r="BP296" s="3"/>
      <c r="BQ296" s="3"/>
      <c r="BR296" s="3"/>
      <c r="BS296" s="3"/>
      <c r="BT296" s="3"/>
      <c r="BU296" s="3"/>
      <c r="BV296" s="3"/>
      <c r="BW296" s="3"/>
      <c r="BX296" s="3"/>
      <c r="BY296" s="3"/>
      <c r="BZ296" s="3"/>
      <c r="CA296" s="3"/>
      <c r="CB296" s="3"/>
      <c r="CC296" s="3"/>
    </row>
    <row r="297" spans="1:81" ht="15.75" customHeight="1"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c r="BG297" s="3"/>
      <c r="BH297" s="3"/>
      <c r="BI297" s="3"/>
      <c r="BJ297" s="3"/>
      <c r="BK297" s="3"/>
      <c r="BL297" s="3"/>
      <c r="BM297" s="3"/>
      <c r="BN297" s="3"/>
      <c r="BO297" s="3"/>
      <c r="BP297" s="3"/>
      <c r="BQ297" s="3"/>
      <c r="BR297" s="3"/>
      <c r="BS297" s="3"/>
      <c r="BT297" s="3"/>
      <c r="BU297" s="3"/>
      <c r="BV297" s="3"/>
      <c r="BW297" s="3"/>
      <c r="BX297" s="3"/>
      <c r="BY297" s="3"/>
      <c r="BZ297" s="3"/>
      <c r="CA297" s="3"/>
      <c r="CB297" s="3"/>
      <c r="CC297" s="3"/>
    </row>
    <row r="298" spans="1:81" ht="15.75" customHeight="1"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c r="BG298" s="3"/>
      <c r="BH298" s="3"/>
      <c r="BI298" s="3"/>
      <c r="BJ298" s="3"/>
      <c r="BK298" s="3"/>
      <c r="BL298" s="3"/>
      <c r="BM298" s="3"/>
      <c r="BN298" s="3"/>
      <c r="BO298" s="3"/>
      <c r="BP298" s="3"/>
      <c r="BQ298" s="3"/>
      <c r="BR298" s="3"/>
      <c r="BS298" s="3"/>
      <c r="BT298" s="3"/>
      <c r="BU298" s="3"/>
      <c r="BV298" s="3"/>
      <c r="BW298" s="3"/>
      <c r="BX298" s="3"/>
      <c r="BY298" s="3"/>
      <c r="BZ298" s="3"/>
      <c r="CA298" s="3"/>
      <c r="CB298" s="3"/>
      <c r="CC298" s="3"/>
    </row>
    <row r="299" spans="1:81" ht="15.75" customHeight="1"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c r="BG299" s="3"/>
      <c r="BH299" s="3"/>
      <c r="BI299" s="3"/>
      <c r="BJ299" s="3"/>
      <c r="BK299" s="3"/>
      <c r="BL299" s="3"/>
      <c r="BM299" s="3"/>
      <c r="BN299" s="3"/>
      <c r="BO299" s="3"/>
      <c r="BP299" s="3"/>
      <c r="BQ299" s="3"/>
      <c r="BR299" s="3"/>
      <c r="BS299" s="3"/>
      <c r="BT299" s="3"/>
      <c r="BU299" s="3"/>
      <c r="BV299" s="3"/>
      <c r="BW299" s="3"/>
      <c r="BX299" s="3"/>
      <c r="BY299" s="3"/>
      <c r="BZ299" s="3"/>
      <c r="CA299" s="3"/>
      <c r="CB299" s="3"/>
      <c r="CC299" s="3"/>
    </row>
    <row r="300" spans="1:81" ht="15.75" customHeight="1"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c r="BG300" s="3"/>
      <c r="BH300" s="3"/>
      <c r="BI300" s="3"/>
      <c r="BJ300" s="3"/>
      <c r="BK300" s="3"/>
      <c r="BL300" s="3"/>
      <c r="BM300" s="3"/>
      <c r="BN300" s="3"/>
      <c r="BO300" s="3"/>
      <c r="BP300" s="3"/>
      <c r="BQ300" s="3"/>
      <c r="BR300" s="3"/>
      <c r="BS300" s="3"/>
      <c r="BT300" s="3"/>
      <c r="BU300" s="3"/>
      <c r="BV300" s="3"/>
      <c r="BW300" s="3"/>
      <c r="BX300" s="3"/>
      <c r="BY300" s="3"/>
      <c r="BZ300" s="3"/>
      <c r="CA300" s="3"/>
      <c r="CB300" s="3"/>
      <c r="CC300" s="3"/>
    </row>
    <row r="301" spans="1:81" ht="15.75" customHeight="1"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c r="BG301" s="3"/>
      <c r="BH301" s="3"/>
      <c r="BI301" s="3"/>
      <c r="BJ301" s="3"/>
      <c r="BK301" s="3"/>
      <c r="BL301" s="3"/>
      <c r="BM301" s="3"/>
      <c r="BN301" s="3"/>
      <c r="BO301" s="3"/>
      <c r="BP301" s="3"/>
      <c r="BQ301" s="3"/>
      <c r="BR301" s="3"/>
      <c r="BS301" s="3"/>
      <c r="BT301" s="3"/>
      <c r="BU301" s="3"/>
      <c r="BV301" s="3"/>
      <c r="BW301" s="3"/>
      <c r="BX301" s="3"/>
      <c r="BY301" s="3"/>
      <c r="BZ301" s="3"/>
      <c r="CA301" s="3"/>
      <c r="CB301" s="3"/>
      <c r="CC301" s="3"/>
    </row>
    <row r="302" spans="1:81" ht="15.75" customHeight="1"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c r="BG302" s="3"/>
      <c r="BH302" s="3"/>
      <c r="BI302" s="3"/>
      <c r="BJ302" s="3"/>
      <c r="BK302" s="3"/>
      <c r="BL302" s="3"/>
      <c r="BM302" s="3"/>
      <c r="BN302" s="3"/>
      <c r="BO302" s="3"/>
      <c r="BP302" s="3"/>
      <c r="BQ302" s="3"/>
      <c r="BR302" s="3"/>
      <c r="BS302" s="3"/>
      <c r="BT302" s="3"/>
      <c r="BU302" s="3"/>
      <c r="BV302" s="3"/>
      <c r="BW302" s="3"/>
      <c r="BX302" s="3"/>
      <c r="BY302" s="3"/>
      <c r="BZ302" s="3"/>
      <c r="CA302" s="3"/>
      <c r="CB302" s="3"/>
      <c r="CC302" s="3"/>
    </row>
    <row r="303" spans="1:81" ht="15.75" customHeight="1"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c r="BG303" s="3"/>
      <c r="BH303" s="3"/>
      <c r="BI303" s="3"/>
      <c r="BJ303" s="3"/>
      <c r="BK303" s="3"/>
      <c r="BL303" s="3"/>
      <c r="BM303" s="3"/>
      <c r="BN303" s="3"/>
      <c r="BO303" s="3"/>
      <c r="BP303" s="3"/>
      <c r="BQ303" s="3"/>
      <c r="BR303" s="3"/>
      <c r="BS303" s="3"/>
      <c r="BT303" s="3"/>
      <c r="BU303" s="3"/>
      <c r="BV303" s="3"/>
      <c r="BW303" s="3"/>
      <c r="BX303" s="3"/>
      <c r="BY303" s="3"/>
      <c r="BZ303" s="3"/>
      <c r="CA303" s="3"/>
      <c r="CB303" s="3"/>
      <c r="CC303" s="3"/>
    </row>
    <row r="304" spans="1:81" ht="15.75" customHeight="1"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c r="BG304" s="3"/>
      <c r="BH304" s="3"/>
      <c r="BI304" s="3"/>
      <c r="BJ304" s="3"/>
      <c r="BK304" s="3"/>
      <c r="BL304" s="3"/>
      <c r="BM304" s="3"/>
      <c r="BN304" s="3"/>
      <c r="BO304" s="3"/>
      <c r="BP304" s="3"/>
      <c r="BQ304" s="3"/>
      <c r="BR304" s="3"/>
      <c r="BS304" s="3"/>
      <c r="BT304" s="3"/>
      <c r="BU304" s="3"/>
      <c r="BV304" s="3"/>
      <c r="BW304" s="3"/>
      <c r="BX304" s="3"/>
      <c r="BY304" s="3"/>
      <c r="BZ304" s="3"/>
      <c r="CA304" s="3"/>
      <c r="CB304" s="3"/>
      <c r="CC304" s="3"/>
    </row>
    <row r="305" spans="1:81" ht="15.75" customHeight="1"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c r="BG305" s="3"/>
      <c r="BH305" s="3"/>
      <c r="BI305" s="3"/>
      <c r="BJ305" s="3"/>
      <c r="BK305" s="3"/>
      <c r="BL305" s="3"/>
      <c r="BM305" s="3"/>
      <c r="BN305" s="3"/>
      <c r="BO305" s="3"/>
      <c r="BP305" s="3"/>
      <c r="BQ305" s="3"/>
      <c r="BR305" s="3"/>
      <c r="BS305" s="3"/>
      <c r="BT305" s="3"/>
      <c r="BU305" s="3"/>
      <c r="BV305" s="3"/>
      <c r="BW305" s="3"/>
      <c r="BX305" s="3"/>
      <c r="BY305" s="3"/>
      <c r="BZ305" s="3"/>
      <c r="CA305" s="3"/>
      <c r="CB305" s="3"/>
      <c r="CC305" s="3"/>
    </row>
    <row r="306" spans="1:81" ht="15.75" customHeight="1"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c r="BG306" s="3"/>
      <c r="BH306" s="3"/>
      <c r="BI306" s="3"/>
      <c r="BJ306" s="3"/>
      <c r="BK306" s="3"/>
      <c r="BL306" s="3"/>
      <c r="BM306" s="3"/>
      <c r="BN306" s="3"/>
      <c r="BO306" s="3"/>
      <c r="BP306" s="3"/>
      <c r="BQ306" s="3"/>
      <c r="BR306" s="3"/>
      <c r="BS306" s="3"/>
      <c r="BT306" s="3"/>
      <c r="BU306" s="3"/>
      <c r="BV306" s="3"/>
      <c r="BW306" s="3"/>
      <c r="BX306" s="3"/>
      <c r="BY306" s="3"/>
      <c r="BZ306" s="3"/>
      <c r="CA306" s="3"/>
      <c r="CB306" s="3"/>
      <c r="CC306" s="3"/>
    </row>
    <row r="307" spans="1:81" ht="15.75" customHeight="1"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c r="BG307" s="3"/>
      <c r="BH307" s="3"/>
      <c r="BI307" s="3"/>
      <c r="BJ307" s="3"/>
      <c r="BK307" s="3"/>
      <c r="BL307" s="3"/>
      <c r="BM307" s="3"/>
      <c r="BN307" s="3"/>
      <c r="BO307" s="3"/>
      <c r="BP307" s="3"/>
      <c r="BQ307" s="3"/>
      <c r="BR307" s="3"/>
      <c r="BS307" s="3"/>
      <c r="BT307" s="3"/>
      <c r="BU307" s="3"/>
      <c r="BV307" s="3"/>
      <c r="BW307" s="3"/>
      <c r="BX307" s="3"/>
      <c r="BY307" s="3"/>
      <c r="BZ307" s="3"/>
      <c r="CA307" s="3"/>
      <c r="CB307" s="3"/>
      <c r="CC307" s="3"/>
    </row>
    <row r="308" spans="1:81" ht="15.75" customHeight="1"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c r="BG308" s="3"/>
      <c r="BH308" s="3"/>
      <c r="BI308" s="3"/>
      <c r="BJ308" s="3"/>
      <c r="BK308" s="3"/>
      <c r="BL308" s="3"/>
      <c r="BM308" s="3"/>
      <c r="BN308" s="3"/>
      <c r="BO308" s="3"/>
      <c r="BP308" s="3"/>
      <c r="BQ308" s="3"/>
      <c r="BR308" s="3"/>
      <c r="BS308" s="3"/>
      <c r="BT308" s="3"/>
      <c r="BU308" s="3"/>
      <c r="BV308" s="3"/>
      <c r="BW308" s="3"/>
      <c r="BX308" s="3"/>
      <c r="BY308" s="3"/>
      <c r="BZ308" s="3"/>
      <c r="CA308" s="3"/>
      <c r="CB308" s="3"/>
      <c r="CC308" s="3"/>
    </row>
    <row r="309" spans="1:81" ht="15.75" customHeight="1"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c r="BG309" s="3"/>
      <c r="BH309" s="3"/>
      <c r="BI309" s="3"/>
      <c r="BJ309" s="3"/>
      <c r="BK309" s="3"/>
      <c r="BL309" s="3"/>
      <c r="BM309" s="3"/>
      <c r="BN309" s="3"/>
      <c r="BO309" s="3"/>
      <c r="BP309" s="3"/>
      <c r="BQ309" s="3"/>
      <c r="BR309" s="3"/>
      <c r="BS309" s="3"/>
      <c r="BT309" s="3"/>
      <c r="BU309" s="3"/>
      <c r="BV309" s="3"/>
      <c r="BW309" s="3"/>
      <c r="BX309" s="3"/>
      <c r="BY309" s="3"/>
      <c r="BZ309" s="3"/>
      <c r="CA309" s="3"/>
      <c r="CB309" s="3"/>
      <c r="CC309" s="3"/>
    </row>
    <row r="310" spans="1:81" ht="15.75" customHeight="1"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c r="BG310" s="3"/>
      <c r="BH310" s="3"/>
      <c r="BI310" s="3"/>
      <c r="BJ310" s="3"/>
      <c r="BK310" s="3"/>
      <c r="BL310" s="3"/>
      <c r="BM310" s="3"/>
      <c r="BN310" s="3"/>
      <c r="BO310" s="3"/>
      <c r="BP310" s="3"/>
      <c r="BQ310" s="3"/>
      <c r="BR310" s="3"/>
      <c r="BS310" s="3"/>
      <c r="BT310" s="3"/>
      <c r="BU310" s="3"/>
      <c r="BV310" s="3"/>
      <c r="BW310" s="3"/>
      <c r="BX310" s="3"/>
      <c r="BY310" s="3"/>
      <c r="BZ310" s="3"/>
      <c r="CA310" s="3"/>
      <c r="CB310" s="3"/>
      <c r="CC310" s="3"/>
    </row>
    <row r="311" spans="1:81" ht="15.75" customHeight="1"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c r="BG311" s="3"/>
      <c r="BH311" s="3"/>
      <c r="BI311" s="3"/>
      <c r="BJ311" s="3"/>
      <c r="BK311" s="3"/>
      <c r="BL311" s="3"/>
      <c r="BM311" s="3"/>
      <c r="BN311" s="3"/>
      <c r="BO311" s="3"/>
      <c r="BP311" s="3"/>
      <c r="BQ311" s="3"/>
      <c r="BR311" s="3"/>
      <c r="BS311" s="3"/>
      <c r="BT311" s="3"/>
      <c r="BU311" s="3"/>
      <c r="BV311" s="3"/>
      <c r="BW311" s="3"/>
      <c r="BX311" s="3"/>
      <c r="BY311" s="3"/>
      <c r="BZ311" s="3"/>
      <c r="CA311" s="3"/>
      <c r="CB311" s="3"/>
      <c r="CC311" s="3"/>
    </row>
    <row r="312" spans="1:81" ht="15.75" customHeight="1"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c r="BG312" s="3"/>
      <c r="BH312" s="3"/>
      <c r="BI312" s="3"/>
      <c r="BJ312" s="3"/>
      <c r="BK312" s="3"/>
      <c r="BL312" s="3"/>
      <c r="BM312" s="3"/>
      <c r="BN312" s="3"/>
      <c r="BO312" s="3"/>
      <c r="BP312" s="3"/>
      <c r="BQ312" s="3"/>
      <c r="BR312" s="3"/>
      <c r="BS312" s="3"/>
      <c r="BT312" s="3"/>
      <c r="BU312" s="3"/>
      <c r="BV312" s="3"/>
      <c r="BW312" s="3"/>
      <c r="BX312" s="3"/>
      <c r="BY312" s="3"/>
      <c r="BZ312" s="3"/>
      <c r="CA312" s="3"/>
      <c r="CB312" s="3"/>
      <c r="CC312" s="3"/>
    </row>
    <row r="313" spans="1:81" ht="15.75" customHeight="1"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c r="BG313" s="3"/>
      <c r="BH313" s="3"/>
      <c r="BI313" s="3"/>
      <c r="BJ313" s="3"/>
      <c r="BK313" s="3"/>
      <c r="BL313" s="3"/>
      <c r="BM313" s="3"/>
      <c r="BN313" s="3"/>
      <c r="BO313" s="3"/>
      <c r="BP313" s="3"/>
      <c r="BQ313" s="3"/>
      <c r="BR313" s="3"/>
      <c r="BS313" s="3"/>
      <c r="BT313" s="3"/>
      <c r="BU313" s="3"/>
      <c r="BV313" s="3"/>
      <c r="BW313" s="3"/>
      <c r="BX313" s="3"/>
      <c r="BY313" s="3"/>
      <c r="BZ313" s="3"/>
      <c r="CA313" s="3"/>
      <c r="CB313" s="3"/>
      <c r="CC313" s="3"/>
    </row>
    <row r="314" spans="1:81" ht="15.75" customHeight="1"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c r="BG314" s="3"/>
      <c r="BH314" s="3"/>
      <c r="BI314" s="3"/>
      <c r="BJ314" s="3"/>
      <c r="BK314" s="3"/>
      <c r="BL314" s="3"/>
      <c r="BM314" s="3"/>
      <c r="BN314" s="3"/>
      <c r="BO314" s="3"/>
      <c r="BP314" s="3"/>
      <c r="BQ314" s="3"/>
      <c r="BR314" s="3"/>
      <c r="BS314" s="3"/>
      <c r="BT314" s="3"/>
      <c r="BU314" s="3"/>
      <c r="BV314" s="3"/>
      <c r="BW314" s="3"/>
      <c r="BX314" s="3"/>
      <c r="BY314" s="3"/>
      <c r="BZ314" s="3"/>
      <c r="CA314" s="3"/>
      <c r="CB314" s="3"/>
      <c r="CC314" s="3"/>
    </row>
    <row r="315" spans="1:81" ht="15.75" customHeight="1"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c r="BG315" s="3"/>
      <c r="BH315" s="3"/>
      <c r="BI315" s="3"/>
      <c r="BJ315" s="3"/>
      <c r="BK315" s="3"/>
      <c r="BL315" s="3"/>
      <c r="BM315" s="3"/>
      <c r="BN315" s="3"/>
      <c r="BO315" s="3"/>
      <c r="BP315" s="3"/>
      <c r="BQ315" s="3"/>
      <c r="BR315" s="3"/>
      <c r="BS315" s="3"/>
      <c r="BT315" s="3"/>
      <c r="BU315" s="3"/>
      <c r="BV315" s="3"/>
      <c r="BW315" s="3"/>
      <c r="BX315" s="3"/>
      <c r="BY315" s="3"/>
      <c r="BZ315" s="3"/>
      <c r="CA315" s="3"/>
      <c r="CB315" s="3"/>
      <c r="CC315" s="3"/>
    </row>
    <row r="316" spans="1:81" ht="15.75" customHeight="1"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c r="BG316" s="3"/>
      <c r="BH316" s="3"/>
      <c r="BI316" s="3"/>
      <c r="BJ316" s="3"/>
      <c r="BK316" s="3"/>
      <c r="BL316" s="3"/>
      <c r="BM316" s="3"/>
      <c r="BN316" s="3"/>
      <c r="BO316" s="3"/>
      <c r="BP316" s="3"/>
      <c r="BQ316" s="3"/>
      <c r="BR316" s="3"/>
      <c r="BS316" s="3"/>
      <c r="BT316" s="3"/>
      <c r="BU316" s="3"/>
      <c r="BV316" s="3"/>
      <c r="BW316" s="3"/>
      <c r="BX316" s="3"/>
      <c r="BY316" s="3"/>
      <c r="BZ316" s="3"/>
      <c r="CA316" s="3"/>
      <c r="CB316" s="3"/>
      <c r="CC316" s="3"/>
    </row>
    <row r="317" spans="1:81" ht="15.75" customHeight="1"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c r="BG317" s="3"/>
      <c r="BH317" s="3"/>
      <c r="BI317" s="3"/>
      <c r="BJ317" s="3"/>
      <c r="BK317" s="3"/>
      <c r="BL317" s="3"/>
      <c r="BM317" s="3"/>
      <c r="BN317" s="3"/>
      <c r="BO317" s="3"/>
      <c r="BP317" s="3"/>
      <c r="BQ317" s="3"/>
      <c r="BR317" s="3"/>
      <c r="BS317" s="3"/>
      <c r="BT317" s="3"/>
      <c r="BU317" s="3"/>
      <c r="BV317" s="3"/>
      <c r="BW317" s="3"/>
      <c r="BX317" s="3"/>
      <c r="BY317" s="3"/>
      <c r="BZ317" s="3"/>
      <c r="CA317" s="3"/>
      <c r="CB317" s="3"/>
      <c r="CC317" s="3"/>
    </row>
    <row r="318" spans="1:81" ht="15.75" customHeight="1"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c r="BG318" s="3"/>
      <c r="BH318" s="3"/>
      <c r="BI318" s="3"/>
      <c r="BJ318" s="3"/>
      <c r="BK318" s="3"/>
      <c r="BL318" s="3"/>
      <c r="BM318" s="3"/>
      <c r="BN318" s="3"/>
      <c r="BO318" s="3"/>
      <c r="BP318" s="3"/>
      <c r="BQ318" s="3"/>
      <c r="BR318" s="3"/>
      <c r="BS318" s="3"/>
      <c r="BT318" s="3"/>
      <c r="BU318" s="3"/>
      <c r="BV318" s="3"/>
      <c r="BW318" s="3"/>
      <c r="BX318" s="3"/>
      <c r="BY318" s="3"/>
      <c r="BZ318" s="3"/>
      <c r="CA318" s="3"/>
      <c r="CB318" s="3"/>
      <c r="CC318" s="3"/>
    </row>
    <row r="319" spans="1:81" ht="15.75" customHeight="1"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c r="BG319" s="3"/>
      <c r="BH319" s="3"/>
      <c r="BI319" s="3"/>
      <c r="BJ319" s="3"/>
      <c r="BK319" s="3"/>
      <c r="BL319" s="3"/>
      <c r="BM319" s="3"/>
      <c r="BN319" s="3"/>
      <c r="BO319" s="3"/>
      <c r="BP319" s="3"/>
      <c r="BQ319" s="3"/>
      <c r="BR319" s="3"/>
      <c r="BS319" s="3"/>
      <c r="BT319" s="3"/>
      <c r="BU319" s="3"/>
      <c r="BV319" s="3"/>
      <c r="BW319" s="3"/>
      <c r="BX319" s="3"/>
      <c r="BY319" s="3"/>
      <c r="BZ319" s="3"/>
      <c r="CA319" s="3"/>
      <c r="CB319" s="3"/>
      <c r="CC319" s="3"/>
    </row>
    <row r="320" spans="1:81" ht="15.75" customHeight="1"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c r="BG320" s="3"/>
      <c r="BH320" s="3"/>
      <c r="BI320" s="3"/>
      <c r="BJ320" s="3"/>
      <c r="BK320" s="3"/>
      <c r="BL320" s="3"/>
      <c r="BM320" s="3"/>
      <c r="BN320" s="3"/>
      <c r="BO320" s="3"/>
      <c r="BP320" s="3"/>
      <c r="BQ320" s="3"/>
      <c r="BR320" s="3"/>
      <c r="BS320" s="3"/>
      <c r="BT320" s="3"/>
      <c r="BU320" s="3"/>
      <c r="BV320" s="3"/>
      <c r="BW320" s="3"/>
      <c r="BX320" s="3"/>
      <c r="BY320" s="3"/>
      <c r="BZ320" s="3"/>
      <c r="CA320" s="3"/>
      <c r="CB320" s="3"/>
      <c r="CC320" s="3"/>
    </row>
    <row r="321" spans="1:81" ht="15.75" customHeight="1"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c r="BG321" s="3"/>
      <c r="BH321" s="3"/>
      <c r="BI321" s="3"/>
      <c r="BJ321" s="3"/>
      <c r="BK321" s="3"/>
      <c r="BL321" s="3"/>
      <c r="BM321" s="3"/>
      <c r="BN321" s="3"/>
      <c r="BO321" s="3"/>
      <c r="BP321" s="3"/>
      <c r="BQ321" s="3"/>
      <c r="BR321" s="3"/>
      <c r="BS321" s="3"/>
      <c r="BT321" s="3"/>
      <c r="BU321" s="3"/>
      <c r="BV321" s="3"/>
      <c r="BW321" s="3"/>
      <c r="BX321" s="3"/>
      <c r="BY321" s="3"/>
      <c r="BZ321" s="3"/>
      <c r="CA321" s="3"/>
      <c r="CB321" s="3"/>
      <c r="CC321" s="3"/>
    </row>
    <row r="322" spans="1:81" ht="15.75" customHeight="1"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c r="BG322" s="3"/>
      <c r="BH322" s="3"/>
      <c r="BI322" s="3"/>
      <c r="BJ322" s="3"/>
      <c r="BK322" s="3"/>
      <c r="BL322" s="3"/>
      <c r="BM322" s="3"/>
      <c r="BN322" s="3"/>
      <c r="BO322" s="3"/>
      <c r="BP322" s="3"/>
      <c r="BQ322" s="3"/>
      <c r="BR322" s="3"/>
      <c r="BS322" s="3"/>
      <c r="BT322" s="3"/>
      <c r="BU322" s="3"/>
      <c r="BV322" s="3"/>
      <c r="BW322" s="3"/>
      <c r="BX322" s="3"/>
      <c r="BY322" s="3"/>
      <c r="BZ322" s="3"/>
      <c r="CA322" s="3"/>
      <c r="CB322" s="3"/>
      <c r="CC322" s="3"/>
    </row>
    <row r="323" spans="1:81" ht="15.75" customHeight="1"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c r="BG323" s="3"/>
      <c r="BH323" s="3"/>
      <c r="BI323" s="3"/>
      <c r="BJ323" s="3"/>
      <c r="BK323" s="3"/>
      <c r="BL323" s="3"/>
      <c r="BM323" s="3"/>
      <c r="BN323" s="3"/>
      <c r="BO323" s="3"/>
      <c r="BP323" s="3"/>
      <c r="BQ323" s="3"/>
      <c r="BR323" s="3"/>
      <c r="BS323" s="3"/>
      <c r="BT323" s="3"/>
      <c r="BU323" s="3"/>
      <c r="BV323" s="3"/>
      <c r="BW323" s="3"/>
      <c r="BX323" s="3"/>
      <c r="BY323" s="3"/>
      <c r="BZ323" s="3"/>
      <c r="CA323" s="3"/>
      <c r="CB323" s="3"/>
      <c r="CC323" s="3"/>
    </row>
    <row r="324" spans="1:81" ht="15.75" customHeight="1"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c r="BG324" s="3"/>
      <c r="BH324" s="3"/>
      <c r="BI324" s="3"/>
      <c r="BJ324" s="3"/>
      <c r="BK324" s="3"/>
      <c r="BL324" s="3"/>
      <c r="BM324" s="3"/>
      <c r="BN324" s="3"/>
      <c r="BO324" s="3"/>
      <c r="BP324" s="3"/>
      <c r="BQ324" s="3"/>
      <c r="BR324" s="3"/>
      <c r="BS324" s="3"/>
      <c r="BT324" s="3"/>
      <c r="BU324" s="3"/>
      <c r="BV324" s="3"/>
      <c r="BW324" s="3"/>
      <c r="BX324" s="3"/>
      <c r="BY324" s="3"/>
      <c r="BZ324" s="3"/>
      <c r="CA324" s="3"/>
      <c r="CB324" s="3"/>
      <c r="CC324" s="3"/>
    </row>
    <row r="325" spans="1:81" ht="15.75" customHeight="1"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c r="BG325" s="3"/>
      <c r="BH325" s="3"/>
      <c r="BI325" s="3"/>
      <c r="BJ325" s="3"/>
      <c r="BK325" s="3"/>
      <c r="BL325" s="3"/>
      <c r="BM325" s="3"/>
      <c r="BN325" s="3"/>
      <c r="BO325" s="3"/>
      <c r="BP325" s="3"/>
      <c r="BQ325" s="3"/>
      <c r="BR325" s="3"/>
      <c r="BS325" s="3"/>
      <c r="BT325" s="3"/>
      <c r="BU325" s="3"/>
      <c r="BV325" s="3"/>
      <c r="BW325" s="3"/>
      <c r="BX325" s="3"/>
      <c r="BY325" s="3"/>
      <c r="BZ325" s="3"/>
      <c r="CA325" s="3"/>
      <c r="CB325" s="3"/>
      <c r="CC325" s="3"/>
    </row>
    <row r="326" spans="1:81" ht="15.75" customHeight="1"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c r="BG326" s="3"/>
      <c r="BH326" s="3"/>
      <c r="BI326" s="3"/>
      <c r="BJ326" s="3"/>
      <c r="BK326" s="3"/>
      <c r="BL326" s="3"/>
      <c r="BM326" s="3"/>
      <c r="BN326" s="3"/>
      <c r="BO326" s="3"/>
      <c r="BP326" s="3"/>
      <c r="BQ326" s="3"/>
      <c r="BR326" s="3"/>
      <c r="BS326" s="3"/>
      <c r="BT326" s="3"/>
      <c r="BU326" s="3"/>
      <c r="BV326" s="3"/>
      <c r="BW326" s="3"/>
      <c r="BX326" s="3"/>
      <c r="BY326" s="3"/>
      <c r="BZ326" s="3"/>
      <c r="CA326" s="3"/>
      <c r="CB326" s="3"/>
      <c r="CC326" s="3"/>
    </row>
    <row r="327" spans="1:81" ht="15.75" customHeight="1"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c r="BG327" s="3"/>
      <c r="BH327" s="3"/>
      <c r="BI327" s="3"/>
      <c r="BJ327" s="3"/>
      <c r="BK327" s="3"/>
      <c r="BL327" s="3"/>
      <c r="BM327" s="3"/>
      <c r="BN327" s="3"/>
      <c r="BO327" s="3"/>
      <c r="BP327" s="3"/>
      <c r="BQ327" s="3"/>
      <c r="BR327" s="3"/>
      <c r="BS327" s="3"/>
      <c r="BT327" s="3"/>
      <c r="BU327" s="3"/>
      <c r="BV327" s="3"/>
      <c r="BW327" s="3"/>
      <c r="BX327" s="3"/>
      <c r="BY327" s="3"/>
      <c r="BZ327" s="3"/>
      <c r="CA327" s="3"/>
      <c r="CB327" s="3"/>
      <c r="CC327" s="3"/>
    </row>
    <row r="328" spans="1:81" ht="15.75" customHeight="1"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c r="BG328" s="3"/>
      <c r="BH328" s="3"/>
      <c r="BI328" s="3"/>
      <c r="BJ328" s="3"/>
      <c r="BK328" s="3"/>
      <c r="BL328" s="3"/>
      <c r="BM328" s="3"/>
      <c r="BN328" s="3"/>
      <c r="BO328" s="3"/>
      <c r="BP328" s="3"/>
      <c r="BQ328" s="3"/>
      <c r="BR328" s="3"/>
      <c r="BS328" s="3"/>
      <c r="BT328" s="3"/>
      <c r="BU328" s="3"/>
      <c r="BV328" s="3"/>
      <c r="BW328" s="3"/>
      <c r="BX328" s="3"/>
      <c r="BY328" s="3"/>
      <c r="BZ328" s="3"/>
      <c r="CA328" s="3"/>
      <c r="CB328" s="3"/>
      <c r="CC328" s="3"/>
    </row>
    <row r="329" spans="1:81" ht="15.75" customHeight="1"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c r="BG329" s="3"/>
      <c r="BH329" s="3"/>
      <c r="BI329" s="3"/>
      <c r="BJ329" s="3"/>
      <c r="BK329" s="3"/>
      <c r="BL329" s="3"/>
      <c r="BM329" s="3"/>
      <c r="BN329" s="3"/>
      <c r="BO329" s="3"/>
      <c r="BP329" s="3"/>
      <c r="BQ329" s="3"/>
      <c r="BR329" s="3"/>
      <c r="BS329" s="3"/>
      <c r="BT329" s="3"/>
      <c r="BU329" s="3"/>
      <c r="BV329" s="3"/>
      <c r="BW329" s="3"/>
      <c r="BX329" s="3"/>
      <c r="BY329" s="3"/>
      <c r="BZ329" s="3"/>
      <c r="CA329" s="3"/>
      <c r="CB329" s="3"/>
      <c r="CC329" s="3"/>
    </row>
    <row r="330" spans="1:81" ht="15.75" customHeight="1"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c r="BG330" s="3"/>
      <c r="BH330" s="3"/>
      <c r="BI330" s="3"/>
      <c r="BJ330" s="3"/>
      <c r="BK330" s="3"/>
      <c r="BL330" s="3"/>
      <c r="BM330" s="3"/>
      <c r="BN330" s="3"/>
      <c r="BO330" s="3"/>
      <c r="BP330" s="3"/>
      <c r="BQ330" s="3"/>
      <c r="BR330" s="3"/>
      <c r="BS330" s="3"/>
      <c r="BT330" s="3"/>
      <c r="BU330" s="3"/>
      <c r="BV330" s="3"/>
      <c r="BW330" s="3"/>
      <c r="BX330" s="3"/>
      <c r="BY330" s="3"/>
      <c r="BZ330" s="3"/>
      <c r="CA330" s="3"/>
      <c r="CB330" s="3"/>
      <c r="CC330" s="3"/>
    </row>
    <row r="331" spans="1:81" ht="15.75" customHeight="1"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c r="BG331" s="3"/>
      <c r="BH331" s="3"/>
      <c r="BI331" s="3"/>
      <c r="BJ331" s="3"/>
      <c r="BK331" s="3"/>
      <c r="BL331" s="3"/>
      <c r="BM331" s="3"/>
      <c r="BN331" s="3"/>
      <c r="BO331" s="3"/>
      <c r="BP331" s="3"/>
      <c r="BQ331" s="3"/>
      <c r="BR331" s="3"/>
      <c r="BS331" s="3"/>
      <c r="BT331" s="3"/>
      <c r="BU331" s="3"/>
      <c r="BV331" s="3"/>
      <c r="BW331" s="3"/>
      <c r="BX331" s="3"/>
      <c r="BY331" s="3"/>
      <c r="BZ331" s="3"/>
      <c r="CA331" s="3"/>
      <c r="CB331" s="3"/>
      <c r="CC331" s="3"/>
    </row>
    <row r="332" spans="1:81" ht="15.75" customHeight="1"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c r="BG332" s="3"/>
      <c r="BH332" s="3"/>
      <c r="BI332" s="3"/>
      <c r="BJ332" s="3"/>
      <c r="BK332" s="3"/>
      <c r="BL332" s="3"/>
      <c r="BM332" s="3"/>
      <c r="BN332" s="3"/>
      <c r="BO332" s="3"/>
      <c r="BP332" s="3"/>
      <c r="BQ332" s="3"/>
      <c r="BR332" s="3"/>
      <c r="BS332" s="3"/>
      <c r="BT332" s="3"/>
      <c r="BU332" s="3"/>
      <c r="BV332" s="3"/>
      <c r="BW332" s="3"/>
      <c r="BX332" s="3"/>
      <c r="BY332" s="3"/>
      <c r="BZ332" s="3"/>
      <c r="CA332" s="3"/>
      <c r="CB332" s="3"/>
      <c r="CC332" s="3"/>
    </row>
    <row r="333" spans="1:81" ht="15.75" customHeight="1"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c r="BG333" s="3"/>
      <c r="BH333" s="3"/>
      <c r="BI333" s="3"/>
      <c r="BJ333" s="3"/>
      <c r="BK333" s="3"/>
      <c r="BL333" s="3"/>
      <c r="BM333" s="3"/>
      <c r="BN333" s="3"/>
      <c r="BO333" s="3"/>
      <c r="BP333" s="3"/>
      <c r="BQ333" s="3"/>
      <c r="BR333" s="3"/>
      <c r="BS333" s="3"/>
      <c r="BT333" s="3"/>
      <c r="BU333" s="3"/>
      <c r="BV333" s="3"/>
      <c r="BW333" s="3"/>
      <c r="BX333" s="3"/>
      <c r="BY333" s="3"/>
      <c r="BZ333" s="3"/>
      <c r="CA333" s="3"/>
      <c r="CB333" s="3"/>
      <c r="CC333" s="3"/>
    </row>
    <row r="334" spans="1:81" ht="15.75" customHeight="1"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c r="BG334" s="3"/>
      <c r="BH334" s="3"/>
      <c r="BI334" s="3"/>
      <c r="BJ334" s="3"/>
      <c r="BK334" s="3"/>
      <c r="BL334" s="3"/>
      <c r="BM334" s="3"/>
      <c r="BN334" s="3"/>
      <c r="BO334" s="3"/>
      <c r="BP334" s="3"/>
      <c r="BQ334" s="3"/>
      <c r="BR334" s="3"/>
      <c r="BS334" s="3"/>
      <c r="BT334" s="3"/>
      <c r="BU334" s="3"/>
      <c r="BV334" s="3"/>
      <c r="BW334" s="3"/>
      <c r="BX334" s="3"/>
      <c r="BY334" s="3"/>
      <c r="BZ334" s="3"/>
      <c r="CA334" s="3"/>
      <c r="CB334" s="3"/>
      <c r="CC334" s="3"/>
    </row>
    <row r="335" spans="1:81" ht="15.75" customHeight="1"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c r="BG335" s="3"/>
      <c r="BH335" s="3"/>
      <c r="BI335" s="3"/>
      <c r="BJ335" s="3"/>
      <c r="BK335" s="3"/>
      <c r="BL335" s="3"/>
      <c r="BM335" s="3"/>
      <c r="BN335" s="3"/>
      <c r="BO335" s="3"/>
      <c r="BP335" s="3"/>
      <c r="BQ335" s="3"/>
      <c r="BR335" s="3"/>
      <c r="BS335" s="3"/>
      <c r="BT335" s="3"/>
      <c r="BU335" s="3"/>
      <c r="BV335" s="3"/>
      <c r="BW335" s="3"/>
      <c r="BX335" s="3"/>
      <c r="BY335" s="3"/>
      <c r="BZ335" s="3"/>
      <c r="CA335" s="3"/>
      <c r="CB335" s="3"/>
      <c r="CC335" s="3"/>
    </row>
    <row r="336" spans="1:81" ht="15.75" customHeight="1"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c r="BG336" s="3"/>
      <c r="BH336" s="3"/>
      <c r="BI336" s="3"/>
      <c r="BJ336" s="3"/>
      <c r="BK336" s="3"/>
      <c r="BL336" s="3"/>
      <c r="BM336" s="3"/>
      <c r="BN336" s="3"/>
      <c r="BO336" s="3"/>
      <c r="BP336" s="3"/>
      <c r="BQ336" s="3"/>
      <c r="BR336" s="3"/>
      <c r="BS336" s="3"/>
      <c r="BT336" s="3"/>
      <c r="BU336" s="3"/>
      <c r="BV336" s="3"/>
      <c r="BW336" s="3"/>
      <c r="BX336" s="3"/>
      <c r="BY336" s="3"/>
      <c r="BZ336" s="3"/>
      <c r="CA336" s="3"/>
      <c r="CB336" s="3"/>
      <c r="CC336" s="3"/>
    </row>
    <row r="337" spans="1:81" ht="15.75" customHeight="1"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c r="BG337" s="3"/>
      <c r="BH337" s="3"/>
      <c r="BI337" s="3"/>
      <c r="BJ337" s="3"/>
      <c r="BK337" s="3"/>
      <c r="BL337" s="3"/>
      <c r="BM337" s="3"/>
      <c r="BN337" s="3"/>
      <c r="BO337" s="3"/>
      <c r="BP337" s="3"/>
      <c r="BQ337" s="3"/>
      <c r="BR337" s="3"/>
      <c r="BS337" s="3"/>
      <c r="BT337" s="3"/>
      <c r="BU337" s="3"/>
      <c r="BV337" s="3"/>
      <c r="BW337" s="3"/>
      <c r="BX337" s="3"/>
      <c r="BY337" s="3"/>
      <c r="BZ337" s="3"/>
      <c r="CA337" s="3"/>
      <c r="CB337" s="3"/>
      <c r="CC337" s="3"/>
    </row>
    <row r="338" spans="1:81" ht="15.75" customHeight="1"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c r="BG338" s="3"/>
      <c r="BH338" s="3"/>
      <c r="BI338" s="3"/>
      <c r="BJ338" s="3"/>
      <c r="BK338" s="3"/>
      <c r="BL338" s="3"/>
      <c r="BM338" s="3"/>
      <c r="BN338" s="3"/>
      <c r="BO338" s="3"/>
      <c r="BP338" s="3"/>
      <c r="BQ338" s="3"/>
      <c r="BR338" s="3"/>
      <c r="BS338" s="3"/>
      <c r="BT338" s="3"/>
      <c r="BU338" s="3"/>
      <c r="BV338" s="3"/>
      <c r="BW338" s="3"/>
      <c r="BX338" s="3"/>
      <c r="BY338" s="3"/>
      <c r="BZ338" s="3"/>
      <c r="CA338" s="3"/>
      <c r="CB338" s="3"/>
      <c r="CC338" s="3"/>
    </row>
    <row r="339" spans="1:81" ht="15.75" customHeight="1"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c r="BG339" s="3"/>
      <c r="BH339" s="3"/>
      <c r="BI339" s="3"/>
      <c r="BJ339" s="3"/>
      <c r="BK339" s="3"/>
      <c r="BL339" s="3"/>
      <c r="BM339" s="3"/>
      <c r="BN339" s="3"/>
      <c r="BO339" s="3"/>
      <c r="BP339" s="3"/>
      <c r="BQ339" s="3"/>
      <c r="BR339" s="3"/>
      <c r="BS339" s="3"/>
      <c r="BT339" s="3"/>
      <c r="BU339" s="3"/>
      <c r="BV339" s="3"/>
      <c r="BW339" s="3"/>
      <c r="BX339" s="3"/>
      <c r="BY339" s="3"/>
      <c r="BZ339" s="3"/>
      <c r="CA339" s="3"/>
      <c r="CB339" s="3"/>
      <c r="CC339" s="3"/>
    </row>
    <row r="340" spans="1:81" ht="15.75" customHeight="1"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c r="BG340" s="3"/>
      <c r="BH340" s="3"/>
      <c r="BI340" s="3"/>
      <c r="BJ340" s="3"/>
      <c r="BK340" s="3"/>
      <c r="BL340" s="3"/>
      <c r="BM340" s="3"/>
      <c r="BN340" s="3"/>
      <c r="BO340" s="3"/>
      <c r="BP340" s="3"/>
      <c r="BQ340" s="3"/>
      <c r="BR340" s="3"/>
      <c r="BS340" s="3"/>
      <c r="BT340" s="3"/>
      <c r="BU340" s="3"/>
      <c r="BV340" s="3"/>
      <c r="BW340" s="3"/>
      <c r="BX340" s="3"/>
      <c r="BY340" s="3"/>
      <c r="BZ340" s="3"/>
      <c r="CA340" s="3"/>
      <c r="CB340" s="3"/>
      <c r="CC340" s="3"/>
    </row>
    <row r="341" spans="1:81" ht="15.75" customHeight="1"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c r="BG341" s="3"/>
      <c r="BH341" s="3"/>
      <c r="BI341" s="3"/>
      <c r="BJ341" s="3"/>
      <c r="BK341" s="3"/>
      <c r="BL341" s="3"/>
      <c r="BM341" s="3"/>
      <c r="BN341" s="3"/>
      <c r="BO341" s="3"/>
      <c r="BP341" s="3"/>
      <c r="BQ341" s="3"/>
      <c r="BR341" s="3"/>
      <c r="BS341" s="3"/>
      <c r="BT341" s="3"/>
      <c r="BU341" s="3"/>
      <c r="BV341" s="3"/>
      <c r="BW341" s="3"/>
      <c r="BX341" s="3"/>
      <c r="BY341" s="3"/>
      <c r="BZ341" s="3"/>
      <c r="CA341" s="3"/>
      <c r="CB341" s="3"/>
      <c r="CC341" s="3"/>
    </row>
    <row r="342" spans="1:81" ht="15.75" customHeight="1"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c r="BG342" s="3"/>
      <c r="BH342" s="3"/>
      <c r="BI342" s="3"/>
      <c r="BJ342" s="3"/>
      <c r="BK342" s="3"/>
      <c r="BL342" s="3"/>
      <c r="BM342" s="3"/>
      <c r="BN342" s="3"/>
      <c r="BO342" s="3"/>
      <c r="BP342" s="3"/>
      <c r="BQ342" s="3"/>
      <c r="BR342" s="3"/>
      <c r="BS342" s="3"/>
      <c r="BT342" s="3"/>
      <c r="BU342" s="3"/>
      <c r="BV342" s="3"/>
      <c r="BW342" s="3"/>
      <c r="BX342" s="3"/>
      <c r="BY342" s="3"/>
      <c r="BZ342" s="3"/>
      <c r="CA342" s="3"/>
      <c r="CB342" s="3"/>
      <c r="CC342" s="3"/>
    </row>
    <row r="343" spans="1:81" ht="15.75" customHeight="1"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c r="BG343" s="3"/>
      <c r="BH343" s="3"/>
      <c r="BI343" s="3"/>
      <c r="BJ343" s="3"/>
      <c r="BK343" s="3"/>
      <c r="BL343" s="3"/>
      <c r="BM343" s="3"/>
      <c r="BN343" s="3"/>
      <c r="BO343" s="3"/>
      <c r="BP343" s="3"/>
      <c r="BQ343" s="3"/>
      <c r="BR343" s="3"/>
      <c r="BS343" s="3"/>
      <c r="BT343" s="3"/>
      <c r="BU343" s="3"/>
      <c r="BV343" s="3"/>
      <c r="BW343" s="3"/>
      <c r="BX343" s="3"/>
      <c r="BY343" s="3"/>
      <c r="BZ343" s="3"/>
      <c r="CA343" s="3"/>
      <c r="CB343" s="3"/>
      <c r="CC343" s="3"/>
    </row>
    <row r="344" spans="1:81" ht="15.75" customHeight="1"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c r="BG344" s="3"/>
      <c r="BH344" s="3"/>
      <c r="BI344" s="3"/>
      <c r="BJ344" s="3"/>
      <c r="BK344" s="3"/>
      <c r="BL344" s="3"/>
      <c r="BM344" s="3"/>
      <c r="BN344" s="3"/>
      <c r="BO344" s="3"/>
      <c r="BP344" s="3"/>
      <c r="BQ344" s="3"/>
      <c r="BR344" s="3"/>
      <c r="BS344" s="3"/>
      <c r="BT344" s="3"/>
      <c r="BU344" s="3"/>
      <c r="BV344" s="3"/>
      <c r="BW344" s="3"/>
      <c r="BX344" s="3"/>
      <c r="BY344" s="3"/>
      <c r="BZ344" s="3"/>
      <c r="CA344" s="3"/>
      <c r="CB344" s="3"/>
      <c r="CC344" s="3"/>
    </row>
    <row r="345" spans="1:81" ht="15.75" customHeight="1"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c r="BG345" s="3"/>
      <c r="BH345" s="3"/>
      <c r="BI345" s="3"/>
      <c r="BJ345" s="3"/>
      <c r="BK345" s="3"/>
      <c r="BL345" s="3"/>
      <c r="BM345" s="3"/>
      <c r="BN345" s="3"/>
      <c r="BO345" s="3"/>
      <c r="BP345" s="3"/>
      <c r="BQ345" s="3"/>
      <c r="BR345" s="3"/>
      <c r="BS345" s="3"/>
      <c r="BT345" s="3"/>
      <c r="BU345" s="3"/>
      <c r="BV345" s="3"/>
      <c r="BW345" s="3"/>
      <c r="BX345" s="3"/>
      <c r="BY345" s="3"/>
      <c r="BZ345" s="3"/>
      <c r="CA345" s="3"/>
      <c r="CB345" s="3"/>
      <c r="CC345" s="3"/>
    </row>
    <row r="346" spans="1:81" ht="15.75" customHeight="1"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c r="BG346" s="3"/>
      <c r="BH346" s="3"/>
      <c r="BI346" s="3"/>
      <c r="BJ346" s="3"/>
      <c r="BK346" s="3"/>
      <c r="BL346" s="3"/>
      <c r="BM346" s="3"/>
      <c r="BN346" s="3"/>
      <c r="BO346" s="3"/>
      <c r="BP346" s="3"/>
      <c r="BQ346" s="3"/>
      <c r="BR346" s="3"/>
      <c r="BS346" s="3"/>
      <c r="BT346" s="3"/>
      <c r="BU346" s="3"/>
      <c r="BV346" s="3"/>
      <c r="BW346" s="3"/>
      <c r="BX346" s="3"/>
      <c r="BY346" s="3"/>
      <c r="BZ346" s="3"/>
      <c r="CA346" s="3"/>
      <c r="CB346" s="3"/>
      <c r="CC346" s="3"/>
    </row>
    <row r="347" spans="1:81" ht="15.75" customHeight="1"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c r="BG347" s="3"/>
      <c r="BH347" s="3"/>
      <c r="BI347" s="3"/>
      <c r="BJ347" s="3"/>
      <c r="BK347" s="3"/>
      <c r="BL347" s="3"/>
      <c r="BM347" s="3"/>
      <c r="BN347" s="3"/>
      <c r="BO347" s="3"/>
      <c r="BP347" s="3"/>
      <c r="BQ347" s="3"/>
      <c r="BR347" s="3"/>
      <c r="BS347" s="3"/>
      <c r="BT347" s="3"/>
      <c r="BU347" s="3"/>
      <c r="BV347" s="3"/>
      <c r="BW347" s="3"/>
      <c r="BX347" s="3"/>
      <c r="BY347" s="3"/>
      <c r="BZ347" s="3"/>
      <c r="CA347" s="3"/>
      <c r="CB347" s="3"/>
      <c r="CC347" s="3"/>
    </row>
    <row r="348" spans="1:81" ht="15.75" customHeight="1"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c r="BG348" s="3"/>
      <c r="BH348" s="3"/>
      <c r="BI348" s="3"/>
      <c r="BJ348" s="3"/>
      <c r="BK348" s="3"/>
      <c r="BL348" s="3"/>
      <c r="BM348" s="3"/>
      <c r="BN348" s="3"/>
      <c r="BO348" s="3"/>
      <c r="BP348" s="3"/>
      <c r="BQ348" s="3"/>
      <c r="BR348" s="3"/>
      <c r="BS348" s="3"/>
      <c r="BT348" s="3"/>
      <c r="BU348" s="3"/>
      <c r="BV348" s="3"/>
      <c r="BW348" s="3"/>
      <c r="BX348" s="3"/>
      <c r="BY348" s="3"/>
      <c r="BZ348" s="3"/>
      <c r="CA348" s="3"/>
      <c r="CB348" s="3"/>
      <c r="CC348" s="3"/>
    </row>
    <row r="349" spans="1:81" ht="15.75" customHeight="1"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c r="BG349" s="3"/>
      <c r="BH349" s="3"/>
      <c r="BI349" s="3"/>
      <c r="BJ349" s="3"/>
      <c r="BK349" s="3"/>
      <c r="BL349" s="3"/>
      <c r="BM349" s="3"/>
      <c r="BN349" s="3"/>
      <c r="BO349" s="3"/>
      <c r="BP349" s="3"/>
      <c r="BQ349" s="3"/>
      <c r="BR349" s="3"/>
      <c r="BS349" s="3"/>
      <c r="BT349" s="3"/>
      <c r="BU349" s="3"/>
      <c r="BV349" s="3"/>
      <c r="BW349" s="3"/>
      <c r="BX349" s="3"/>
      <c r="BY349" s="3"/>
      <c r="BZ349" s="3"/>
      <c r="CA349" s="3"/>
      <c r="CB349" s="3"/>
      <c r="CC349" s="3"/>
    </row>
    <row r="350" spans="1:81" ht="15.75" customHeight="1"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c r="BG350" s="3"/>
      <c r="BH350" s="3"/>
      <c r="BI350" s="3"/>
      <c r="BJ350" s="3"/>
      <c r="BK350" s="3"/>
      <c r="BL350" s="3"/>
      <c r="BM350" s="3"/>
      <c r="BN350" s="3"/>
      <c r="BO350" s="3"/>
      <c r="BP350" s="3"/>
      <c r="BQ350" s="3"/>
      <c r="BR350" s="3"/>
      <c r="BS350" s="3"/>
      <c r="BT350" s="3"/>
      <c r="BU350" s="3"/>
      <c r="BV350" s="3"/>
      <c r="BW350" s="3"/>
      <c r="BX350" s="3"/>
      <c r="BY350" s="3"/>
      <c r="BZ350" s="3"/>
      <c r="CA350" s="3"/>
      <c r="CB350" s="3"/>
      <c r="CC350" s="3"/>
    </row>
    <row r="351" spans="1:81" ht="15.75" customHeight="1"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c r="BG351" s="3"/>
      <c r="BH351" s="3"/>
      <c r="BI351" s="3"/>
      <c r="BJ351" s="3"/>
      <c r="BK351" s="3"/>
      <c r="BL351" s="3"/>
      <c r="BM351" s="3"/>
      <c r="BN351" s="3"/>
      <c r="BO351" s="3"/>
      <c r="BP351" s="3"/>
      <c r="BQ351" s="3"/>
      <c r="BR351" s="3"/>
      <c r="BS351" s="3"/>
      <c r="BT351" s="3"/>
      <c r="BU351" s="3"/>
      <c r="BV351" s="3"/>
      <c r="BW351" s="3"/>
      <c r="BX351" s="3"/>
      <c r="BY351" s="3"/>
      <c r="BZ351" s="3"/>
      <c r="CA351" s="3"/>
      <c r="CB351" s="3"/>
      <c r="CC351" s="3"/>
    </row>
    <row r="352" spans="1:81" ht="15.75" customHeight="1"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c r="BG352" s="3"/>
      <c r="BH352" s="3"/>
      <c r="BI352" s="3"/>
      <c r="BJ352" s="3"/>
      <c r="BK352" s="3"/>
      <c r="BL352" s="3"/>
      <c r="BM352" s="3"/>
      <c r="BN352" s="3"/>
      <c r="BO352" s="3"/>
      <c r="BP352" s="3"/>
      <c r="BQ352" s="3"/>
      <c r="BR352" s="3"/>
      <c r="BS352" s="3"/>
      <c r="BT352" s="3"/>
      <c r="BU352" s="3"/>
      <c r="BV352" s="3"/>
      <c r="BW352" s="3"/>
      <c r="BX352" s="3"/>
      <c r="BY352" s="3"/>
      <c r="BZ352" s="3"/>
      <c r="CA352" s="3"/>
      <c r="CB352" s="3"/>
      <c r="CC352" s="3"/>
    </row>
    <row r="353" spans="1:81" ht="15.75" customHeight="1"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c r="BG353" s="3"/>
      <c r="BH353" s="3"/>
      <c r="BI353" s="3"/>
      <c r="BJ353" s="3"/>
      <c r="BK353" s="3"/>
      <c r="BL353" s="3"/>
      <c r="BM353" s="3"/>
      <c r="BN353" s="3"/>
      <c r="BO353" s="3"/>
      <c r="BP353" s="3"/>
      <c r="BQ353" s="3"/>
      <c r="BR353" s="3"/>
      <c r="BS353" s="3"/>
      <c r="BT353" s="3"/>
      <c r="BU353" s="3"/>
      <c r="BV353" s="3"/>
      <c r="BW353" s="3"/>
      <c r="BX353" s="3"/>
      <c r="BY353" s="3"/>
      <c r="BZ353" s="3"/>
      <c r="CA353" s="3"/>
      <c r="CB353" s="3"/>
      <c r="CC353" s="3"/>
    </row>
    <row r="354" spans="1:81" ht="15.75" customHeight="1"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c r="BG354" s="3"/>
      <c r="BH354" s="3"/>
      <c r="BI354" s="3"/>
      <c r="BJ354" s="3"/>
      <c r="BK354" s="3"/>
      <c r="BL354" s="3"/>
      <c r="BM354" s="3"/>
      <c r="BN354" s="3"/>
      <c r="BO354" s="3"/>
      <c r="BP354" s="3"/>
      <c r="BQ354" s="3"/>
      <c r="BR354" s="3"/>
      <c r="BS354" s="3"/>
      <c r="BT354" s="3"/>
      <c r="BU354" s="3"/>
      <c r="BV354" s="3"/>
      <c r="BW354" s="3"/>
      <c r="BX354" s="3"/>
      <c r="BY354" s="3"/>
      <c r="BZ354" s="3"/>
      <c r="CA354" s="3"/>
      <c r="CB354" s="3"/>
      <c r="CC354" s="3"/>
    </row>
    <row r="355" spans="1:81" ht="15.75" customHeight="1"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c r="BG355" s="3"/>
      <c r="BH355" s="3"/>
      <c r="BI355" s="3"/>
      <c r="BJ355" s="3"/>
      <c r="BK355" s="3"/>
      <c r="BL355" s="3"/>
      <c r="BM355" s="3"/>
      <c r="BN355" s="3"/>
      <c r="BO355" s="3"/>
      <c r="BP355" s="3"/>
      <c r="BQ355" s="3"/>
      <c r="BR355" s="3"/>
      <c r="BS355" s="3"/>
      <c r="BT355" s="3"/>
      <c r="BU355" s="3"/>
      <c r="BV355" s="3"/>
      <c r="BW355" s="3"/>
      <c r="BX355" s="3"/>
      <c r="BY355" s="3"/>
      <c r="BZ355" s="3"/>
      <c r="CA355" s="3"/>
      <c r="CB355" s="3"/>
      <c r="CC355" s="3"/>
    </row>
    <row r="356" spans="1:81" ht="15.75" customHeight="1"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c r="BG356" s="3"/>
      <c r="BH356" s="3"/>
      <c r="BI356" s="3"/>
      <c r="BJ356" s="3"/>
      <c r="BK356" s="3"/>
      <c r="BL356" s="3"/>
      <c r="BM356" s="3"/>
      <c r="BN356" s="3"/>
      <c r="BO356" s="3"/>
      <c r="BP356" s="3"/>
      <c r="BQ356" s="3"/>
      <c r="BR356" s="3"/>
      <c r="BS356" s="3"/>
      <c r="BT356" s="3"/>
      <c r="BU356" s="3"/>
      <c r="BV356" s="3"/>
      <c r="BW356" s="3"/>
      <c r="BX356" s="3"/>
      <c r="BY356" s="3"/>
      <c r="BZ356" s="3"/>
      <c r="CA356" s="3"/>
      <c r="CB356" s="3"/>
      <c r="CC356" s="3"/>
    </row>
    <row r="357" spans="1:81" ht="15.75" customHeight="1"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c r="BG357" s="3"/>
      <c r="BH357" s="3"/>
      <c r="BI357" s="3"/>
      <c r="BJ357" s="3"/>
      <c r="BK357" s="3"/>
      <c r="BL357" s="3"/>
      <c r="BM357" s="3"/>
      <c r="BN357" s="3"/>
      <c r="BO357" s="3"/>
      <c r="BP357" s="3"/>
      <c r="BQ357" s="3"/>
      <c r="BR357" s="3"/>
      <c r="BS357" s="3"/>
      <c r="BT357" s="3"/>
      <c r="BU357" s="3"/>
      <c r="BV357" s="3"/>
      <c r="BW357" s="3"/>
      <c r="BX357" s="3"/>
      <c r="BY357" s="3"/>
      <c r="BZ357" s="3"/>
      <c r="CA357" s="3"/>
      <c r="CB357" s="3"/>
      <c r="CC357" s="3"/>
    </row>
    <row r="358" spans="1:81" ht="15.75" customHeight="1"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c r="BG358" s="3"/>
      <c r="BH358" s="3"/>
      <c r="BI358" s="3"/>
      <c r="BJ358" s="3"/>
      <c r="BK358" s="3"/>
      <c r="BL358" s="3"/>
      <c r="BM358" s="3"/>
      <c r="BN358" s="3"/>
      <c r="BO358" s="3"/>
      <c r="BP358" s="3"/>
      <c r="BQ358" s="3"/>
      <c r="BR358" s="3"/>
      <c r="BS358" s="3"/>
      <c r="BT358" s="3"/>
      <c r="BU358" s="3"/>
      <c r="BV358" s="3"/>
      <c r="BW358" s="3"/>
      <c r="BX358" s="3"/>
      <c r="BY358" s="3"/>
      <c r="BZ358" s="3"/>
      <c r="CA358" s="3"/>
      <c r="CB358" s="3"/>
      <c r="CC358" s="3"/>
    </row>
    <row r="359" spans="1:81" ht="15.75" customHeight="1"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c r="BG359" s="3"/>
      <c r="BH359" s="3"/>
      <c r="BI359" s="3"/>
      <c r="BJ359" s="3"/>
      <c r="BK359" s="3"/>
      <c r="BL359" s="3"/>
      <c r="BM359" s="3"/>
      <c r="BN359" s="3"/>
      <c r="BO359" s="3"/>
      <c r="BP359" s="3"/>
      <c r="BQ359" s="3"/>
      <c r="BR359" s="3"/>
      <c r="BS359" s="3"/>
      <c r="BT359" s="3"/>
      <c r="BU359" s="3"/>
      <c r="BV359" s="3"/>
      <c r="BW359" s="3"/>
      <c r="BX359" s="3"/>
      <c r="BY359" s="3"/>
      <c r="BZ359" s="3"/>
      <c r="CA359" s="3"/>
      <c r="CB359" s="3"/>
      <c r="CC359" s="3"/>
    </row>
    <row r="360" spans="1:81" ht="15.75" customHeight="1"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c r="BG360" s="3"/>
      <c r="BH360" s="3"/>
      <c r="BI360" s="3"/>
      <c r="BJ360" s="3"/>
      <c r="BK360" s="3"/>
      <c r="BL360" s="3"/>
      <c r="BM360" s="3"/>
      <c r="BN360" s="3"/>
      <c r="BO360" s="3"/>
      <c r="BP360" s="3"/>
      <c r="BQ360" s="3"/>
      <c r="BR360" s="3"/>
      <c r="BS360" s="3"/>
      <c r="BT360" s="3"/>
      <c r="BU360" s="3"/>
      <c r="BV360" s="3"/>
      <c r="BW360" s="3"/>
      <c r="BX360" s="3"/>
      <c r="BY360" s="3"/>
      <c r="BZ360" s="3"/>
      <c r="CA360" s="3"/>
      <c r="CB360" s="3"/>
      <c r="CC360" s="3"/>
    </row>
    <row r="361" spans="1:81" ht="15.75" customHeight="1"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c r="BG361" s="3"/>
      <c r="BH361" s="3"/>
      <c r="BI361" s="3"/>
      <c r="BJ361" s="3"/>
      <c r="BK361" s="3"/>
      <c r="BL361" s="3"/>
      <c r="BM361" s="3"/>
      <c r="BN361" s="3"/>
      <c r="BO361" s="3"/>
      <c r="BP361" s="3"/>
      <c r="BQ361" s="3"/>
      <c r="BR361" s="3"/>
      <c r="BS361" s="3"/>
      <c r="BT361" s="3"/>
      <c r="BU361" s="3"/>
      <c r="BV361" s="3"/>
      <c r="BW361" s="3"/>
      <c r="BX361" s="3"/>
      <c r="BY361" s="3"/>
      <c r="BZ361" s="3"/>
      <c r="CA361" s="3"/>
      <c r="CB361" s="3"/>
      <c r="CC361" s="3"/>
    </row>
    <row r="362" spans="1:81" ht="15.75" customHeight="1"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c r="BG362" s="3"/>
      <c r="BH362" s="3"/>
      <c r="BI362" s="3"/>
      <c r="BJ362" s="3"/>
      <c r="BK362" s="3"/>
      <c r="BL362" s="3"/>
      <c r="BM362" s="3"/>
      <c r="BN362" s="3"/>
      <c r="BO362" s="3"/>
      <c r="BP362" s="3"/>
      <c r="BQ362" s="3"/>
      <c r="BR362" s="3"/>
      <c r="BS362" s="3"/>
      <c r="BT362" s="3"/>
      <c r="BU362" s="3"/>
      <c r="BV362" s="3"/>
      <c r="BW362" s="3"/>
      <c r="BX362" s="3"/>
      <c r="BY362" s="3"/>
      <c r="BZ362" s="3"/>
      <c r="CA362" s="3"/>
      <c r="CB362" s="3"/>
      <c r="CC362" s="3"/>
    </row>
    <row r="363" spans="1:81" ht="15.75" customHeight="1"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c r="BG363" s="3"/>
      <c r="BH363" s="3"/>
      <c r="BI363" s="3"/>
      <c r="BJ363" s="3"/>
      <c r="BK363" s="3"/>
      <c r="BL363" s="3"/>
      <c r="BM363" s="3"/>
      <c r="BN363" s="3"/>
      <c r="BO363" s="3"/>
      <c r="BP363" s="3"/>
      <c r="BQ363" s="3"/>
      <c r="BR363" s="3"/>
      <c r="BS363" s="3"/>
      <c r="BT363" s="3"/>
      <c r="BU363" s="3"/>
      <c r="BV363" s="3"/>
      <c r="BW363" s="3"/>
      <c r="BX363" s="3"/>
      <c r="BY363" s="3"/>
      <c r="BZ363" s="3"/>
      <c r="CA363" s="3"/>
      <c r="CB363" s="3"/>
      <c r="CC363" s="3"/>
    </row>
    <row r="364" spans="1:81" ht="15.75" customHeight="1"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c r="BG364" s="3"/>
      <c r="BH364" s="3"/>
      <c r="BI364" s="3"/>
      <c r="BJ364" s="3"/>
      <c r="BK364" s="3"/>
      <c r="BL364" s="3"/>
      <c r="BM364" s="3"/>
      <c r="BN364" s="3"/>
      <c r="BO364" s="3"/>
      <c r="BP364" s="3"/>
      <c r="BQ364" s="3"/>
      <c r="BR364" s="3"/>
      <c r="BS364" s="3"/>
      <c r="BT364" s="3"/>
      <c r="BU364" s="3"/>
      <c r="BV364" s="3"/>
      <c r="BW364" s="3"/>
      <c r="BX364" s="3"/>
      <c r="BY364" s="3"/>
      <c r="BZ364" s="3"/>
      <c r="CA364" s="3"/>
      <c r="CB364" s="3"/>
      <c r="CC364" s="3"/>
    </row>
    <row r="365" spans="1:81" ht="15.75" customHeight="1"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c r="BG365" s="3"/>
      <c r="BH365" s="3"/>
      <c r="BI365" s="3"/>
      <c r="BJ365" s="3"/>
      <c r="BK365" s="3"/>
      <c r="BL365" s="3"/>
      <c r="BM365" s="3"/>
      <c r="BN365" s="3"/>
      <c r="BO365" s="3"/>
      <c r="BP365" s="3"/>
      <c r="BQ365" s="3"/>
      <c r="BR365" s="3"/>
      <c r="BS365" s="3"/>
      <c r="BT365" s="3"/>
      <c r="BU365" s="3"/>
      <c r="BV365" s="3"/>
      <c r="BW365" s="3"/>
      <c r="BX365" s="3"/>
      <c r="BY365" s="3"/>
      <c r="BZ365" s="3"/>
      <c r="CA365" s="3"/>
      <c r="CB365" s="3"/>
      <c r="CC365" s="3"/>
    </row>
    <row r="366" spans="1:81" ht="15.75" customHeight="1"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c r="BG366" s="3"/>
      <c r="BH366" s="3"/>
      <c r="BI366" s="3"/>
      <c r="BJ366" s="3"/>
      <c r="BK366" s="3"/>
      <c r="BL366" s="3"/>
      <c r="BM366" s="3"/>
      <c r="BN366" s="3"/>
      <c r="BO366" s="3"/>
      <c r="BP366" s="3"/>
      <c r="BQ366" s="3"/>
      <c r="BR366" s="3"/>
      <c r="BS366" s="3"/>
      <c r="BT366" s="3"/>
      <c r="BU366" s="3"/>
      <c r="BV366" s="3"/>
      <c r="BW366" s="3"/>
      <c r="BX366" s="3"/>
      <c r="BY366" s="3"/>
      <c r="BZ366" s="3"/>
      <c r="CA366" s="3"/>
      <c r="CB366" s="3"/>
      <c r="CC366" s="3"/>
    </row>
    <row r="367" spans="1:81" ht="15.75" customHeight="1"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c r="BG367" s="3"/>
      <c r="BH367" s="3"/>
      <c r="BI367" s="3"/>
      <c r="BJ367" s="3"/>
      <c r="BK367" s="3"/>
      <c r="BL367" s="3"/>
      <c r="BM367" s="3"/>
      <c r="BN367" s="3"/>
      <c r="BO367" s="3"/>
      <c r="BP367" s="3"/>
      <c r="BQ367" s="3"/>
      <c r="BR367" s="3"/>
      <c r="BS367" s="3"/>
      <c r="BT367" s="3"/>
      <c r="BU367" s="3"/>
      <c r="BV367" s="3"/>
      <c r="BW367" s="3"/>
      <c r="BX367" s="3"/>
      <c r="BY367" s="3"/>
      <c r="BZ367" s="3"/>
      <c r="CA367" s="3"/>
      <c r="CB367" s="3"/>
      <c r="CC367" s="3"/>
    </row>
    <row r="368" spans="1:81" ht="15.75" customHeight="1"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c r="BG368" s="3"/>
      <c r="BH368" s="3"/>
      <c r="BI368" s="3"/>
      <c r="BJ368" s="3"/>
      <c r="BK368" s="3"/>
      <c r="BL368" s="3"/>
      <c r="BM368" s="3"/>
      <c r="BN368" s="3"/>
      <c r="BO368" s="3"/>
      <c r="BP368" s="3"/>
      <c r="BQ368" s="3"/>
      <c r="BR368" s="3"/>
      <c r="BS368" s="3"/>
      <c r="BT368" s="3"/>
      <c r="BU368" s="3"/>
      <c r="BV368" s="3"/>
      <c r="BW368" s="3"/>
      <c r="BX368" s="3"/>
      <c r="BY368" s="3"/>
      <c r="BZ368" s="3"/>
      <c r="CA368" s="3"/>
      <c r="CB368" s="3"/>
      <c r="CC368" s="3"/>
    </row>
    <row r="369" spans="1:81" ht="15.75" customHeight="1"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c r="BG369" s="3"/>
      <c r="BH369" s="3"/>
      <c r="BI369" s="3"/>
      <c r="BJ369" s="3"/>
      <c r="BK369" s="3"/>
      <c r="BL369" s="3"/>
      <c r="BM369" s="3"/>
      <c r="BN369" s="3"/>
      <c r="BO369" s="3"/>
      <c r="BP369" s="3"/>
      <c r="BQ369" s="3"/>
      <c r="BR369" s="3"/>
      <c r="BS369" s="3"/>
      <c r="BT369" s="3"/>
      <c r="BU369" s="3"/>
      <c r="BV369" s="3"/>
      <c r="BW369" s="3"/>
      <c r="BX369" s="3"/>
      <c r="BY369" s="3"/>
      <c r="BZ369" s="3"/>
      <c r="CA369" s="3"/>
      <c r="CB369" s="3"/>
      <c r="CC369" s="3"/>
    </row>
    <row r="370" spans="1:81" ht="15.75" customHeight="1"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c r="BG370" s="3"/>
      <c r="BH370" s="3"/>
      <c r="BI370" s="3"/>
      <c r="BJ370" s="3"/>
      <c r="BK370" s="3"/>
      <c r="BL370" s="3"/>
      <c r="BM370" s="3"/>
      <c r="BN370" s="3"/>
      <c r="BO370" s="3"/>
      <c r="BP370" s="3"/>
      <c r="BQ370" s="3"/>
      <c r="BR370" s="3"/>
      <c r="BS370" s="3"/>
      <c r="BT370" s="3"/>
      <c r="BU370" s="3"/>
      <c r="BV370" s="3"/>
      <c r="BW370" s="3"/>
      <c r="BX370" s="3"/>
      <c r="BY370" s="3"/>
      <c r="BZ370" s="3"/>
      <c r="CA370" s="3"/>
      <c r="CB370" s="3"/>
      <c r="CC370" s="3"/>
    </row>
    <row r="371" spans="1:81" ht="15.75" customHeight="1"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c r="BG371" s="3"/>
      <c r="BH371" s="3"/>
      <c r="BI371" s="3"/>
      <c r="BJ371" s="3"/>
      <c r="BK371" s="3"/>
      <c r="BL371" s="3"/>
      <c r="BM371" s="3"/>
      <c r="BN371" s="3"/>
      <c r="BO371" s="3"/>
      <c r="BP371" s="3"/>
      <c r="BQ371" s="3"/>
      <c r="BR371" s="3"/>
      <c r="BS371" s="3"/>
      <c r="BT371" s="3"/>
      <c r="BU371" s="3"/>
      <c r="BV371" s="3"/>
      <c r="BW371" s="3"/>
      <c r="BX371" s="3"/>
      <c r="BY371" s="3"/>
      <c r="BZ371" s="3"/>
      <c r="CA371" s="3"/>
      <c r="CB371" s="3"/>
      <c r="CC371" s="3"/>
    </row>
    <row r="372" spans="1:81" ht="15.75" customHeight="1"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c r="BG372" s="3"/>
      <c r="BH372" s="3"/>
      <c r="BI372" s="3"/>
      <c r="BJ372" s="3"/>
      <c r="BK372" s="3"/>
      <c r="BL372" s="3"/>
      <c r="BM372" s="3"/>
      <c r="BN372" s="3"/>
      <c r="BO372" s="3"/>
      <c r="BP372" s="3"/>
      <c r="BQ372" s="3"/>
      <c r="BR372" s="3"/>
      <c r="BS372" s="3"/>
      <c r="BT372" s="3"/>
      <c r="BU372" s="3"/>
      <c r="BV372" s="3"/>
      <c r="BW372" s="3"/>
      <c r="BX372" s="3"/>
      <c r="BY372" s="3"/>
      <c r="BZ372" s="3"/>
      <c r="CA372" s="3"/>
      <c r="CB372" s="3"/>
      <c r="CC372" s="3"/>
    </row>
    <row r="373" spans="1:81" ht="15.75" customHeight="1"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c r="BG373" s="3"/>
      <c r="BH373" s="3"/>
      <c r="BI373" s="3"/>
      <c r="BJ373" s="3"/>
      <c r="BK373" s="3"/>
      <c r="BL373" s="3"/>
      <c r="BM373" s="3"/>
      <c r="BN373" s="3"/>
      <c r="BO373" s="3"/>
      <c r="BP373" s="3"/>
      <c r="BQ373" s="3"/>
      <c r="BR373" s="3"/>
      <c r="BS373" s="3"/>
      <c r="BT373" s="3"/>
      <c r="BU373" s="3"/>
      <c r="BV373" s="3"/>
      <c r="BW373" s="3"/>
      <c r="BX373" s="3"/>
      <c r="BY373" s="3"/>
      <c r="BZ373" s="3"/>
      <c r="CA373" s="3"/>
      <c r="CB373" s="3"/>
      <c r="CC373" s="3"/>
    </row>
    <row r="374" spans="1:81" ht="15.75" customHeight="1"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c r="BG374" s="3"/>
      <c r="BH374" s="3"/>
      <c r="BI374" s="3"/>
      <c r="BJ374" s="3"/>
      <c r="BK374" s="3"/>
      <c r="BL374" s="3"/>
      <c r="BM374" s="3"/>
      <c r="BN374" s="3"/>
      <c r="BO374" s="3"/>
      <c r="BP374" s="3"/>
      <c r="BQ374" s="3"/>
      <c r="BR374" s="3"/>
      <c r="BS374" s="3"/>
      <c r="BT374" s="3"/>
      <c r="BU374" s="3"/>
      <c r="BV374" s="3"/>
      <c r="BW374" s="3"/>
      <c r="BX374" s="3"/>
      <c r="BY374" s="3"/>
      <c r="BZ374" s="3"/>
      <c r="CA374" s="3"/>
      <c r="CB374" s="3"/>
      <c r="CC374" s="3"/>
    </row>
    <row r="375" spans="1:81" ht="15.75" customHeight="1"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c r="BG375" s="3"/>
      <c r="BH375" s="3"/>
      <c r="BI375" s="3"/>
      <c r="BJ375" s="3"/>
      <c r="BK375" s="3"/>
      <c r="BL375" s="3"/>
      <c r="BM375" s="3"/>
      <c r="BN375" s="3"/>
      <c r="BO375" s="3"/>
      <c r="BP375" s="3"/>
      <c r="BQ375" s="3"/>
      <c r="BR375" s="3"/>
      <c r="BS375" s="3"/>
      <c r="BT375" s="3"/>
      <c r="BU375" s="3"/>
      <c r="BV375" s="3"/>
      <c r="BW375" s="3"/>
      <c r="BX375" s="3"/>
      <c r="BY375" s="3"/>
      <c r="BZ375" s="3"/>
      <c r="CA375" s="3"/>
      <c r="CB375" s="3"/>
      <c r="CC375" s="3"/>
    </row>
    <row r="376" spans="1:81" ht="15.75" customHeight="1"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c r="BG376" s="3"/>
      <c r="BH376" s="3"/>
      <c r="BI376" s="3"/>
      <c r="BJ376" s="3"/>
      <c r="BK376" s="3"/>
      <c r="BL376" s="3"/>
      <c r="BM376" s="3"/>
      <c r="BN376" s="3"/>
      <c r="BO376" s="3"/>
      <c r="BP376" s="3"/>
      <c r="BQ376" s="3"/>
      <c r="BR376" s="3"/>
      <c r="BS376" s="3"/>
      <c r="BT376" s="3"/>
      <c r="BU376" s="3"/>
      <c r="BV376" s="3"/>
      <c r="BW376" s="3"/>
      <c r="BX376" s="3"/>
      <c r="BY376" s="3"/>
      <c r="BZ376" s="3"/>
      <c r="CA376" s="3"/>
      <c r="CB376" s="3"/>
      <c r="CC376" s="3"/>
    </row>
    <row r="377" spans="1:81" ht="15.75" customHeight="1"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c r="BG377" s="3"/>
      <c r="BH377" s="3"/>
      <c r="BI377" s="3"/>
      <c r="BJ377" s="3"/>
      <c r="BK377" s="3"/>
      <c r="BL377" s="3"/>
      <c r="BM377" s="3"/>
      <c r="BN377" s="3"/>
      <c r="BO377" s="3"/>
      <c r="BP377" s="3"/>
      <c r="BQ377" s="3"/>
      <c r="BR377" s="3"/>
      <c r="BS377" s="3"/>
      <c r="BT377" s="3"/>
      <c r="BU377" s="3"/>
      <c r="BV377" s="3"/>
      <c r="BW377" s="3"/>
      <c r="BX377" s="3"/>
      <c r="BY377" s="3"/>
      <c r="BZ377" s="3"/>
      <c r="CA377" s="3"/>
      <c r="CB377" s="3"/>
      <c r="CC377" s="3"/>
    </row>
    <row r="378" spans="1:81" ht="15.75" customHeight="1"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c r="BG378" s="3"/>
      <c r="BH378" s="3"/>
      <c r="BI378" s="3"/>
      <c r="BJ378" s="3"/>
      <c r="BK378" s="3"/>
      <c r="BL378" s="3"/>
      <c r="BM378" s="3"/>
      <c r="BN378" s="3"/>
      <c r="BO378" s="3"/>
      <c r="BP378" s="3"/>
      <c r="BQ378" s="3"/>
      <c r="BR378" s="3"/>
      <c r="BS378" s="3"/>
      <c r="BT378" s="3"/>
      <c r="BU378" s="3"/>
      <c r="BV378" s="3"/>
      <c r="BW378" s="3"/>
      <c r="BX378" s="3"/>
      <c r="BY378" s="3"/>
      <c r="BZ378" s="3"/>
      <c r="CA378" s="3"/>
      <c r="CB378" s="3"/>
      <c r="CC378" s="3"/>
    </row>
    <row r="379" spans="1:81" ht="15.75" customHeight="1"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c r="BG379" s="3"/>
      <c r="BH379" s="3"/>
      <c r="BI379" s="3"/>
      <c r="BJ379" s="3"/>
      <c r="BK379" s="3"/>
      <c r="BL379" s="3"/>
      <c r="BM379" s="3"/>
      <c r="BN379" s="3"/>
      <c r="BO379" s="3"/>
      <c r="BP379" s="3"/>
      <c r="BQ379" s="3"/>
      <c r="BR379" s="3"/>
      <c r="BS379" s="3"/>
      <c r="BT379" s="3"/>
      <c r="BU379" s="3"/>
      <c r="BV379" s="3"/>
      <c r="BW379" s="3"/>
      <c r="BX379" s="3"/>
      <c r="BY379" s="3"/>
      <c r="BZ379" s="3"/>
      <c r="CA379" s="3"/>
      <c r="CB379" s="3"/>
      <c r="CC379" s="3"/>
    </row>
    <row r="380" spans="1:81" ht="15.75" customHeight="1"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c r="BG380" s="3"/>
      <c r="BH380" s="3"/>
      <c r="BI380" s="3"/>
      <c r="BJ380" s="3"/>
      <c r="BK380" s="3"/>
      <c r="BL380" s="3"/>
      <c r="BM380" s="3"/>
      <c r="BN380" s="3"/>
      <c r="BO380" s="3"/>
      <c r="BP380" s="3"/>
      <c r="BQ380" s="3"/>
      <c r="BR380" s="3"/>
      <c r="BS380" s="3"/>
      <c r="BT380" s="3"/>
      <c r="BU380" s="3"/>
      <c r="BV380" s="3"/>
      <c r="BW380" s="3"/>
      <c r="BX380" s="3"/>
      <c r="BY380" s="3"/>
      <c r="BZ380" s="3"/>
      <c r="CA380" s="3"/>
      <c r="CB380" s="3"/>
      <c r="CC380" s="3"/>
    </row>
    <row r="381" spans="1:81" ht="15.75" customHeight="1"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c r="BG381" s="3"/>
      <c r="BH381" s="3"/>
      <c r="BI381" s="3"/>
      <c r="BJ381" s="3"/>
      <c r="BK381" s="3"/>
      <c r="BL381" s="3"/>
      <c r="BM381" s="3"/>
      <c r="BN381" s="3"/>
      <c r="BO381" s="3"/>
      <c r="BP381" s="3"/>
      <c r="BQ381" s="3"/>
      <c r="BR381" s="3"/>
      <c r="BS381" s="3"/>
      <c r="BT381" s="3"/>
      <c r="BU381" s="3"/>
      <c r="BV381" s="3"/>
      <c r="BW381" s="3"/>
      <c r="BX381" s="3"/>
      <c r="BY381" s="3"/>
      <c r="BZ381" s="3"/>
      <c r="CA381" s="3"/>
      <c r="CB381" s="3"/>
      <c r="CC381" s="3"/>
    </row>
    <row r="382" spans="1:81" ht="15.75" customHeight="1"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c r="BG382" s="3"/>
      <c r="BH382" s="3"/>
      <c r="BI382" s="3"/>
      <c r="BJ382" s="3"/>
      <c r="BK382" s="3"/>
      <c r="BL382" s="3"/>
      <c r="BM382" s="3"/>
      <c r="BN382" s="3"/>
      <c r="BO382" s="3"/>
      <c r="BP382" s="3"/>
      <c r="BQ382" s="3"/>
      <c r="BR382" s="3"/>
      <c r="BS382" s="3"/>
      <c r="BT382" s="3"/>
      <c r="BU382" s="3"/>
      <c r="BV382" s="3"/>
      <c r="BW382" s="3"/>
      <c r="BX382" s="3"/>
      <c r="BY382" s="3"/>
      <c r="BZ382" s="3"/>
      <c r="CA382" s="3"/>
      <c r="CB382" s="3"/>
      <c r="CC382" s="3"/>
    </row>
    <row r="383" spans="1:81" ht="15.75" customHeight="1"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c r="BA383" s="3"/>
      <c r="BB383" s="3"/>
      <c r="BC383" s="3"/>
      <c r="BD383" s="3"/>
      <c r="BE383" s="3"/>
      <c r="BF383" s="3"/>
      <c r="BG383" s="3"/>
      <c r="BH383" s="3"/>
      <c r="BI383" s="3"/>
      <c r="BJ383" s="3"/>
      <c r="BK383" s="3"/>
      <c r="BL383" s="3"/>
      <c r="BM383" s="3"/>
      <c r="BN383" s="3"/>
      <c r="BO383" s="3"/>
      <c r="BP383" s="3"/>
      <c r="BQ383" s="3"/>
      <c r="BR383" s="3"/>
      <c r="BS383" s="3"/>
      <c r="BT383" s="3"/>
      <c r="BU383" s="3"/>
      <c r="BV383" s="3"/>
      <c r="BW383" s="3"/>
      <c r="BX383" s="3"/>
      <c r="BY383" s="3"/>
      <c r="BZ383" s="3"/>
      <c r="CA383" s="3"/>
      <c r="CB383" s="3"/>
      <c r="CC383" s="3"/>
    </row>
    <row r="384" spans="1:81" ht="15.75" customHeight="1"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c r="BA384" s="3"/>
      <c r="BB384" s="3"/>
      <c r="BC384" s="3"/>
      <c r="BD384" s="3"/>
      <c r="BE384" s="3"/>
      <c r="BF384" s="3"/>
      <c r="BG384" s="3"/>
      <c r="BH384" s="3"/>
      <c r="BI384" s="3"/>
      <c r="BJ384" s="3"/>
      <c r="BK384" s="3"/>
      <c r="BL384" s="3"/>
      <c r="BM384" s="3"/>
      <c r="BN384" s="3"/>
      <c r="BO384" s="3"/>
      <c r="BP384" s="3"/>
      <c r="BQ384" s="3"/>
      <c r="BR384" s="3"/>
      <c r="BS384" s="3"/>
      <c r="BT384" s="3"/>
      <c r="BU384" s="3"/>
      <c r="BV384" s="3"/>
      <c r="BW384" s="3"/>
      <c r="BX384" s="3"/>
      <c r="BY384" s="3"/>
      <c r="BZ384" s="3"/>
      <c r="CA384" s="3"/>
      <c r="CB384" s="3"/>
      <c r="CC384" s="3"/>
    </row>
    <row r="385" spans="1:81" ht="15.75" customHeight="1"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c r="BA385" s="3"/>
      <c r="BB385" s="3"/>
      <c r="BC385" s="3"/>
      <c r="BD385" s="3"/>
      <c r="BE385" s="3"/>
      <c r="BF385" s="3"/>
      <c r="BG385" s="3"/>
      <c r="BH385" s="3"/>
      <c r="BI385" s="3"/>
      <c r="BJ385" s="3"/>
      <c r="BK385" s="3"/>
      <c r="BL385" s="3"/>
      <c r="BM385" s="3"/>
      <c r="BN385" s="3"/>
      <c r="BO385" s="3"/>
      <c r="BP385" s="3"/>
      <c r="BQ385" s="3"/>
      <c r="BR385" s="3"/>
      <c r="BS385" s="3"/>
      <c r="BT385" s="3"/>
      <c r="BU385" s="3"/>
      <c r="BV385" s="3"/>
      <c r="BW385" s="3"/>
      <c r="BX385" s="3"/>
      <c r="BY385" s="3"/>
      <c r="BZ385" s="3"/>
      <c r="CA385" s="3"/>
      <c r="CB385" s="3"/>
      <c r="CC385" s="3"/>
    </row>
    <row r="386" spans="1:81" ht="15.75" customHeight="1"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c r="BA386" s="3"/>
      <c r="BB386" s="3"/>
      <c r="BC386" s="3"/>
      <c r="BD386" s="3"/>
      <c r="BE386" s="3"/>
      <c r="BF386" s="3"/>
      <c r="BG386" s="3"/>
      <c r="BH386" s="3"/>
      <c r="BI386" s="3"/>
      <c r="BJ386" s="3"/>
      <c r="BK386" s="3"/>
      <c r="BL386" s="3"/>
      <c r="BM386" s="3"/>
      <c r="BN386" s="3"/>
      <c r="BO386" s="3"/>
      <c r="BP386" s="3"/>
      <c r="BQ386" s="3"/>
      <c r="BR386" s="3"/>
      <c r="BS386" s="3"/>
      <c r="BT386" s="3"/>
      <c r="BU386" s="3"/>
      <c r="BV386" s="3"/>
      <c r="BW386" s="3"/>
      <c r="BX386" s="3"/>
      <c r="BY386" s="3"/>
      <c r="BZ386" s="3"/>
      <c r="CA386" s="3"/>
      <c r="CB386" s="3"/>
      <c r="CC386" s="3"/>
    </row>
    <row r="387" spans="1:81" ht="15.75" customHeight="1"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c r="BA387" s="3"/>
      <c r="BB387" s="3"/>
      <c r="BC387" s="3"/>
      <c r="BD387" s="3"/>
      <c r="BE387" s="3"/>
      <c r="BF387" s="3"/>
      <c r="BG387" s="3"/>
      <c r="BH387" s="3"/>
      <c r="BI387" s="3"/>
      <c r="BJ387" s="3"/>
      <c r="BK387" s="3"/>
      <c r="BL387" s="3"/>
      <c r="BM387" s="3"/>
      <c r="BN387" s="3"/>
      <c r="BO387" s="3"/>
      <c r="BP387" s="3"/>
      <c r="BQ387" s="3"/>
      <c r="BR387" s="3"/>
      <c r="BS387" s="3"/>
      <c r="BT387" s="3"/>
      <c r="BU387" s="3"/>
      <c r="BV387" s="3"/>
      <c r="BW387" s="3"/>
      <c r="BX387" s="3"/>
      <c r="BY387" s="3"/>
      <c r="BZ387" s="3"/>
      <c r="CA387" s="3"/>
      <c r="CB387" s="3"/>
      <c r="CC387" s="3"/>
    </row>
    <row r="388" spans="1:81" ht="15.75" customHeight="1"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c r="BA388" s="3"/>
      <c r="BB388" s="3"/>
      <c r="BC388" s="3"/>
      <c r="BD388" s="3"/>
      <c r="BE388" s="3"/>
      <c r="BF388" s="3"/>
      <c r="BG388" s="3"/>
      <c r="BH388" s="3"/>
      <c r="BI388" s="3"/>
      <c r="BJ388" s="3"/>
      <c r="BK388" s="3"/>
      <c r="BL388" s="3"/>
      <c r="BM388" s="3"/>
      <c r="BN388" s="3"/>
      <c r="BO388" s="3"/>
      <c r="BP388" s="3"/>
      <c r="BQ388" s="3"/>
      <c r="BR388" s="3"/>
      <c r="BS388" s="3"/>
      <c r="BT388" s="3"/>
      <c r="BU388" s="3"/>
      <c r="BV388" s="3"/>
      <c r="BW388" s="3"/>
      <c r="BX388" s="3"/>
      <c r="BY388" s="3"/>
      <c r="BZ388" s="3"/>
      <c r="CA388" s="3"/>
      <c r="CB388" s="3"/>
      <c r="CC388" s="3"/>
    </row>
    <row r="389" spans="1:81" ht="15.75" customHeight="1"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c r="BA389" s="3"/>
      <c r="BB389" s="3"/>
      <c r="BC389" s="3"/>
      <c r="BD389" s="3"/>
      <c r="BE389" s="3"/>
      <c r="BF389" s="3"/>
      <c r="BG389" s="3"/>
      <c r="BH389" s="3"/>
      <c r="BI389" s="3"/>
      <c r="BJ389" s="3"/>
      <c r="BK389" s="3"/>
      <c r="BL389" s="3"/>
      <c r="BM389" s="3"/>
      <c r="BN389" s="3"/>
      <c r="BO389" s="3"/>
      <c r="BP389" s="3"/>
      <c r="BQ389" s="3"/>
      <c r="BR389" s="3"/>
      <c r="BS389" s="3"/>
      <c r="BT389" s="3"/>
      <c r="BU389" s="3"/>
      <c r="BV389" s="3"/>
      <c r="BW389" s="3"/>
      <c r="BX389" s="3"/>
      <c r="BY389" s="3"/>
      <c r="BZ389" s="3"/>
      <c r="CA389" s="3"/>
      <c r="CB389" s="3"/>
      <c r="CC389" s="3"/>
    </row>
    <row r="390" spans="1:81" ht="15.75" customHeight="1"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c r="BA390" s="3"/>
      <c r="BB390" s="3"/>
      <c r="BC390" s="3"/>
      <c r="BD390" s="3"/>
      <c r="BE390" s="3"/>
      <c r="BF390" s="3"/>
      <c r="BG390" s="3"/>
      <c r="BH390" s="3"/>
      <c r="BI390" s="3"/>
      <c r="BJ390" s="3"/>
      <c r="BK390" s="3"/>
      <c r="BL390" s="3"/>
      <c r="BM390" s="3"/>
      <c r="BN390" s="3"/>
      <c r="BO390" s="3"/>
      <c r="BP390" s="3"/>
      <c r="BQ390" s="3"/>
      <c r="BR390" s="3"/>
      <c r="BS390" s="3"/>
      <c r="BT390" s="3"/>
      <c r="BU390" s="3"/>
      <c r="BV390" s="3"/>
      <c r="BW390" s="3"/>
      <c r="BX390" s="3"/>
      <c r="BY390" s="3"/>
      <c r="BZ390" s="3"/>
      <c r="CA390" s="3"/>
      <c r="CB390" s="3"/>
      <c r="CC390" s="3"/>
    </row>
    <row r="391" spans="1:81" ht="15.75" customHeight="1"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c r="BA391" s="3"/>
      <c r="BB391" s="3"/>
      <c r="BC391" s="3"/>
      <c r="BD391" s="3"/>
      <c r="BE391" s="3"/>
      <c r="BF391" s="3"/>
      <c r="BG391" s="3"/>
      <c r="BH391" s="3"/>
      <c r="BI391" s="3"/>
      <c r="BJ391" s="3"/>
      <c r="BK391" s="3"/>
      <c r="BL391" s="3"/>
      <c r="BM391" s="3"/>
      <c r="BN391" s="3"/>
      <c r="BO391" s="3"/>
      <c r="BP391" s="3"/>
      <c r="BQ391" s="3"/>
      <c r="BR391" s="3"/>
      <c r="BS391" s="3"/>
      <c r="BT391" s="3"/>
      <c r="BU391" s="3"/>
      <c r="BV391" s="3"/>
      <c r="BW391" s="3"/>
      <c r="BX391" s="3"/>
      <c r="BY391" s="3"/>
      <c r="BZ391" s="3"/>
      <c r="CA391" s="3"/>
      <c r="CB391" s="3"/>
      <c r="CC391" s="3"/>
    </row>
    <row r="392" spans="1:81" ht="15.75" customHeight="1"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c r="BA392" s="3"/>
      <c r="BB392" s="3"/>
      <c r="BC392" s="3"/>
      <c r="BD392" s="3"/>
      <c r="BE392" s="3"/>
      <c r="BF392" s="3"/>
      <c r="BG392" s="3"/>
      <c r="BH392" s="3"/>
      <c r="BI392" s="3"/>
      <c r="BJ392" s="3"/>
      <c r="BK392" s="3"/>
      <c r="BL392" s="3"/>
      <c r="BM392" s="3"/>
      <c r="BN392" s="3"/>
      <c r="BO392" s="3"/>
      <c r="BP392" s="3"/>
      <c r="BQ392" s="3"/>
      <c r="BR392" s="3"/>
      <c r="BS392" s="3"/>
      <c r="BT392" s="3"/>
      <c r="BU392" s="3"/>
      <c r="BV392" s="3"/>
      <c r="BW392" s="3"/>
      <c r="BX392" s="3"/>
      <c r="BY392" s="3"/>
      <c r="BZ392" s="3"/>
      <c r="CA392" s="3"/>
      <c r="CB392" s="3"/>
      <c r="CC392" s="3"/>
    </row>
    <row r="393" spans="1:81" ht="15.75" customHeight="1"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c r="BA393" s="3"/>
      <c r="BB393" s="3"/>
      <c r="BC393" s="3"/>
      <c r="BD393" s="3"/>
      <c r="BE393" s="3"/>
      <c r="BF393" s="3"/>
      <c r="BG393" s="3"/>
      <c r="BH393" s="3"/>
      <c r="BI393" s="3"/>
      <c r="BJ393" s="3"/>
      <c r="BK393" s="3"/>
      <c r="BL393" s="3"/>
      <c r="BM393" s="3"/>
      <c r="BN393" s="3"/>
      <c r="BO393" s="3"/>
      <c r="BP393" s="3"/>
      <c r="BQ393" s="3"/>
      <c r="BR393" s="3"/>
      <c r="BS393" s="3"/>
      <c r="BT393" s="3"/>
      <c r="BU393" s="3"/>
      <c r="BV393" s="3"/>
      <c r="BW393" s="3"/>
      <c r="BX393" s="3"/>
      <c r="BY393" s="3"/>
      <c r="BZ393" s="3"/>
      <c r="CA393" s="3"/>
      <c r="CB393" s="3"/>
      <c r="CC393" s="3"/>
    </row>
    <row r="394" spans="1:81" ht="15.75" customHeight="1"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c r="BA394" s="3"/>
      <c r="BB394" s="3"/>
      <c r="BC394" s="3"/>
      <c r="BD394" s="3"/>
      <c r="BE394" s="3"/>
      <c r="BF394" s="3"/>
      <c r="BG394" s="3"/>
      <c r="BH394" s="3"/>
      <c r="BI394" s="3"/>
      <c r="BJ394" s="3"/>
      <c r="BK394" s="3"/>
      <c r="BL394" s="3"/>
      <c r="BM394" s="3"/>
      <c r="BN394" s="3"/>
      <c r="BO394" s="3"/>
      <c r="BP394" s="3"/>
      <c r="BQ394" s="3"/>
      <c r="BR394" s="3"/>
      <c r="BS394" s="3"/>
      <c r="BT394" s="3"/>
      <c r="BU394" s="3"/>
      <c r="BV394" s="3"/>
      <c r="BW394" s="3"/>
      <c r="BX394" s="3"/>
      <c r="BY394" s="3"/>
      <c r="BZ394" s="3"/>
      <c r="CA394" s="3"/>
      <c r="CB394" s="3"/>
      <c r="CC394" s="3"/>
    </row>
    <row r="395" spans="1:81" ht="15.75" customHeight="1"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c r="BA395" s="3"/>
      <c r="BB395" s="3"/>
      <c r="BC395" s="3"/>
      <c r="BD395" s="3"/>
      <c r="BE395" s="3"/>
      <c r="BF395" s="3"/>
      <c r="BG395" s="3"/>
      <c r="BH395" s="3"/>
      <c r="BI395" s="3"/>
      <c r="BJ395" s="3"/>
      <c r="BK395" s="3"/>
      <c r="BL395" s="3"/>
      <c r="BM395" s="3"/>
      <c r="BN395" s="3"/>
      <c r="BO395" s="3"/>
      <c r="BP395" s="3"/>
      <c r="BQ395" s="3"/>
      <c r="BR395" s="3"/>
      <c r="BS395" s="3"/>
      <c r="BT395" s="3"/>
      <c r="BU395" s="3"/>
      <c r="BV395" s="3"/>
      <c r="BW395" s="3"/>
      <c r="BX395" s="3"/>
      <c r="BY395" s="3"/>
      <c r="BZ395" s="3"/>
      <c r="CA395" s="3"/>
      <c r="CB395" s="3"/>
      <c r="CC395" s="3"/>
    </row>
    <row r="396" spans="1:81" ht="15.75" customHeight="1"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c r="BA396" s="3"/>
      <c r="BB396" s="3"/>
      <c r="BC396" s="3"/>
      <c r="BD396" s="3"/>
      <c r="BE396" s="3"/>
      <c r="BF396" s="3"/>
      <c r="BG396" s="3"/>
      <c r="BH396" s="3"/>
      <c r="BI396" s="3"/>
      <c r="BJ396" s="3"/>
      <c r="BK396" s="3"/>
      <c r="BL396" s="3"/>
      <c r="BM396" s="3"/>
      <c r="BN396" s="3"/>
      <c r="BO396" s="3"/>
      <c r="BP396" s="3"/>
      <c r="BQ396" s="3"/>
      <c r="BR396" s="3"/>
      <c r="BS396" s="3"/>
      <c r="BT396" s="3"/>
      <c r="BU396" s="3"/>
      <c r="BV396" s="3"/>
      <c r="BW396" s="3"/>
      <c r="BX396" s="3"/>
      <c r="BY396" s="3"/>
      <c r="BZ396" s="3"/>
      <c r="CA396" s="3"/>
      <c r="CB396" s="3"/>
      <c r="CC396" s="3"/>
    </row>
    <row r="397" spans="1:81" ht="15.75" customHeight="1"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c r="BA397" s="3"/>
      <c r="BB397" s="3"/>
      <c r="BC397" s="3"/>
      <c r="BD397" s="3"/>
      <c r="BE397" s="3"/>
      <c r="BF397" s="3"/>
      <c r="BG397" s="3"/>
      <c r="BH397" s="3"/>
      <c r="BI397" s="3"/>
      <c r="BJ397" s="3"/>
      <c r="BK397" s="3"/>
      <c r="BL397" s="3"/>
      <c r="BM397" s="3"/>
      <c r="BN397" s="3"/>
      <c r="BO397" s="3"/>
      <c r="BP397" s="3"/>
      <c r="BQ397" s="3"/>
      <c r="BR397" s="3"/>
      <c r="BS397" s="3"/>
      <c r="BT397" s="3"/>
      <c r="BU397" s="3"/>
      <c r="BV397" s="3"/>
      <c r="BW397" s="3"/>
      <c r="BX397" s="3"/>
      <c r="BY397" s="3"/>
      <c r="BZ397" s="3"/>
      <c r="CA397" s="3"/>
      <c r="CB397" s="3"/>
      <c r="CC397" s="3"/>
    </row>
    <row r="398" spans="1:81" ht="15.75" customHeight="1"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c r="BA398" s="3"/>
      <c r="BB398" s="3"/>
      <c r="BC398" s="3"/>
      <c r="BD398" s="3"/>
      <c r="BE398" s="3"/>
      <c r="BF398" s="3"/>
      <c r="BG398" s="3"/>
      <c r="BH398" s="3"/>
      <c r="BI398" s="3"/>
      <c r="BJ398" s="3"/>
      <c r="BK398" s="3"/>
      <c r="BL398" s="3"/>
      <c r="BM398" s="3"/>
      <c r="BN398" s="3"/>
      <c r="BO398" s="3"/>
      <c r="BP398" s="3"/>
      <c r="BQ398" s="3"/>
      <c r="BR398" s="3"/>
      <c r="BS398" s="3"/>
      <c r="BT398" s="3"/>
      <c r="BU398" s="3"/>
      <c r="BV398" s="3"/>
      <c r="BW398" s="3"/>
      <c r="BX398" s="3"/>
      <c r="BY398" s="3"/>
      <c r="BZ398" s="3"/>
      <c r="CA398" s="3"/>
      <c r="CB398" s="3"/>
      <c r="CC398" s="3"/>
    </row>
    <row r="399" spans="1:81" ht="15.75" customHeight="1"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c r="BA399" s="3"/>
      <c r="BB399" s="3"/>
      <c r="BC399" s="3"/>
      <c r="BD399" s="3"/>
      <c r="BE399" s="3"/>
      <c r="BF399" s="3"/>
      <c r="BG399" s="3"/>
      <c r="BH399" s="3"/>
      <c r="BI399" s="3"/>
      <c r="BJ399" s="3"/>
      <c r="BK399" s="3"/>
      <c r="BL399" s="3"/>
      <c r="BM399" s="3"/>
      <c r="BN399" s="3"/>
      <c r="BO399" s="3"/>
      <c r="BP399" s="3"/>
      <c r="BQ399" s="3"/>
      <c r="BR399" s="3"/>
      <c r="BS399" s="3"/>
      <c r="BT399" s="3"/>
      <c r="BU399" s="3"/>
      <c r="BV399" s="3"/>
      <c r="BW399" s="3"/>
      <c r="BX399" s="3"/>
      <c r="BY399" s="3"/>
      <c r="BZ399" s="3"/>
      <c r="CA399" s="3"/>
      <c r="CB399" s="3"/>
      <c r="CC399" s="3"/>
    </row>
    <row r="400" spans="1:81" ht="15.75" customHeight="1"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c r="BA400" s="3"/>
      <c r="BB400" s="3"/>
      <c r="BC400" s="3"/>
      <c r="BD400" s="3"/>
      <c r="BE400" s="3"/>
      <c r="BF400" s="3"/>
      <c r="BG400" s="3"/>
      <c r="BH400" s="3"/>
      <c r="BI400" s="3"/>
      <c r="BJ400" s="3"/>
      <c r="BK400" s="3"/>
      <c r="BL400" s="3"/>
      <c r="BM400" s="3"/>
      <c r="BN400" s="3"/>
      <c r="BO400" s="3"/>
      <c r="BP400" s="3"/>
      <c r="BQ400" s="3"/>
      <c r="BR400" s="3"/>
      <c r="BS400" s="3"/>
      <c r="BT400" s="3"/>
      <c r="BU400" s="3"/>
      <c r="BV400" s="3"/>
      <c r="BW400" s="3"/>
      <c r="BX400" s="3"/>
      <c r="BY400" s="3"/>
      <c r="BZ400" s="3"/>
      <c r="CA400" s="3"/>
      <c r="CB400" s="3"/>
      <c r="CC400" s="3"/>
    </row>
    <row r="401" spans="1:81" ht="15.75" customHeight="1"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c r="BA401" s="3"/>
      <c r="BB401" s="3"/>
      <c r="BC401" s="3"/>
      <c r="BD401" s="3"/>
      <c r="BE401" s="3"/>
      <c r="BF401" s="3"/>
      <c r="BG401" s="3"/>
      <c r="BH401" s="3"/>
      <c r="BI401" s="3"/>
      <c r="BJ401" s="3"/>
      <c r="BK401" s="3"/>
      <c r="BL401" s="3"/>
      <c r="BM401" s="3"/>
      <c r="BN401" s="3"/>
      <c r="BO401" s="3"/>
      <c r="BP401" s="3"/>
      <c r="BQ401" s="3"/>
      <c r="BR401" s="3"/>
      <c r="BS401" s="3"/>
      <c r="BT401" s="3"/>
      <c r="BU401" s="3"/>
      <c r="BV401" s="3"/>
      <c r="BW401" s="3"/>
      <c r="BX401" s="3"/>
      <c r="BY401" s="3"/>
      <c r="BZ401" s="3"/>
      <c r="CA401" s="3"/>
      <c r="CB401" s="3"/>
      <c r="CC401" s="3"/>
    </row>
    <row r="402" spans="1:81" ht="15.75" customHeight="1"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c r="BA402" s="3"/>
      <c r="BB402" s="3"/>
      <c r="BC402" s="3"/>
      <c r="BD402" s="3"/>
      <c r="BE402" s="3"/>
      <c r="BF402" s="3"/>
      <c r="BG402" s="3"/>
      <c r="BH402" s="3"/>
      <c r="BI402" s="3"/>
      <c r="BJ402" s="3"/>
      <c r="BK402" s="3"/>
      <c r="BL402" s="3"/>
      <c r="BM402" s="3"/>
      <c r="BN402" s="3"/>
      <c r="BO402" s="3"/>
      <c r="BP402" s="3"/>
      <c r="BQ402" s="3"/>
      <c r="BR402" s="3"/>
      <c r="BS402" s="3"/>
      <c r="BT402" s="3"/>
      <c r="BU402" s="3"/>
      <c r="BV402" s="3"/>
      <c r="BW402" s="3"/>
      <c r="BX402" s="3"/>
      <c r="BY402" s="3"/>
      <c r="BZ402" s="3"/>
      <c r="CA402" s="3"/>
      <c r="CB402" s="3"/>
      <c r="CC402" s="3"/>
    </row>
    <row r="403" spans="1:81" ht="15.75" customHeight="1"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c r="BA403" s="3"/>
      <c r="BB403" s="3"/>
      <c r="BC403" s="3"/>
      <c r="BD403" s="3"/>
      <c r="BE403" s="3"/>
      <c r="BF403" s="3"/>
      <c r="BG403" s="3"/>
      <c r="BH403" s="3"/>
      <c r="BI403" s="3"/>
      <c r="BJ403" s="3"/>
      <c r="BK403" s="3"/>
      <c r="BL403" s="3"/>
      <c r="BM403" s="3"/>
      <c r="BN403" s="3"/>
      <c r="BO403" s="3"/>
      <c r="BP403" s="3"/>
      <c r="BQ403" s="3"/>
      <c r="BR403" s="3"/>
      <c r="BS403" s="3"/>
      <c r="BT403" s="3"/>
      <c r="BU403" s="3"/>
      <c r="BV403" s="3"/>
      <c r="BW403" s="3"/>
      <c r="BX403" s="3"/>
      <c r="BY403" s="3"/>
      <c r="BZ403" s="3"/>
      <c r="CA403" s="3"/>
      <c r="CB403" s="3"/>
      <c r="CC403" s="3"/>
    </row>
    <row r="404" spans="1:81" ht="15.75" customHeight="1"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c r="BA404" s="3"/>
      <c r="BB404" s="3"/>
      <c r="BC404" s="3"/>
      <c r="BD404" s="3"/>
      <c r="BE404" s="3"/>
      <c r="BF404" s="3"/>
      <c r="BG404" s="3"/>
      <c r="BH404" s="3"/>
      <c r="BI404" s="3"/>
      <c r="BJ404" s="3"/>
      <c r="BK404" s="3"/>
      <c r="BL404" s="3"/>
      <c r="BM404" s="3"/>
      <c r="BN404" s="3"/>
      <c r="BO404" s="3"/>
      <c r="BP404" s="3"/>
      <c r="BQ404" s="3"/>
      <c r="BR404" s="3"/>
      <c r="BS404" s="3"/>
      <c r="BT404" s="3"/>
      <c r="BU404" s="3"/>
      <c r="BV404" s="3"/>
      <c r="BW404" s="3"/>
      <c r="BX404" s="3"/>
      <c r="BY404" s="3"/>
      <c r="BZ404" s="3"/>
      <c r="CA404" s="3"/>
      <c r="CB404" s="3"/>
      <c r="CC404" s="3"/>
    </row>
    <row r="405" spans="1:81" ht="15.75" customHeight="1"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c r="BA405" s="3"/>
      <c r="BB405" s="3"/>
      <c r="BC405" s="3"/>
      <c r="BD405" s="3"/>
      <c r="BE405" s="3"/>
      <c r="BF405" s="3"/>
      <c r="BG405" s="3"/>
      <c r="BH405" s="3"/>
      <c r="BI405" s="3"/>
      <c r="BJ405" s="3"/>
      <c r="BK405" s="3"/>
      <c r="BL405" s="3"/>
      <c r="BM405" s="3"/>
      <c r="BN405" s="3"/>
      <c r="BO405" s="3"/>
      <c r="BP405" s="3"/>
      <c r="BQ405" s="3"/>
      <c r="BR405" s="3"/>
      <c r="BS405" s="3"/>
      <c r="BT405" s="3"/>
      <c r="BU405" s="3"/>
      <c r="BV405" s="3"/>
      <c r="BW405" s="3"/>
      <c r="BX405" s="3"/>
      <c r="BY405" s="3"/>
      <c r="BZ405" s="3"/>
      <c r="CA405" s="3"/>
      <c r="CB405" s="3"/>
      <c r="CC405" s="3"/>
    </row>
    <row r="406" spans="1:81" ht="15.75" customHeight="1"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c r="BA406" s="3"/>
      <c r="BB406" s="3"/>
      <c r="BC406" s="3"/>
      <c r="BD406" s="3"/>
      <c r="BE406" s="3"/>
      <c r="BF406" s="3"/>
      <c r="BG406" s="3"/>
      <c r="BH406" s="3"/>
      <c r="BI406" s="3"/>
      <c r="BJ406" s="3"/>
      <c r="BK406" s="3"/>
      <c r="BL406" s="3"/>
      <c r="BM406" s="3"/>
      <c r="BN406" s="3"/>
      <c r="BO406" s="3"/>
      <c r="BP406" s="3"/>
      <c r="BQ406" s="3"/>
      <c r="BR406" s="3"/>
      <c r="BS406" s="3"/>
      <c r="BT406" s="3"/>
      <c r="BU406" s="3"/>
      <c r="BV406" s="3"/>
      <c r="BW406" s="3"/>
      <c r="BX406" s="3"/>
      <c r="BY406" s="3"/>
      <c r="BZ406" s="3"/>
      <c r="CA406" s="3"/>
      <c r="CB406" s="3"/>
      <c r="CC406" s="3"/>
    </row>
    <row r="407" spans="1:81" ht="15.75" customHeight="1"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c r="BA407" s="3"/>
      <c r="BB407" s="3"/>
      <c r="BC407" s="3"/>
      <c r="BD407" s="3"/>
      <c r="BE407" s="3"/>
      <c r="BF407" s="3"/>
      <c r="BG407" s="3"/>
      <c r="BH407" s="3"/>
      <c r="BI407" s="3"/>
      <c r="BJ407" s="3"/>
      <c r="BK407" s="3"/>
      <c r="BL407" s="3"/>
      <c r="BM407" s="3"/>
      <c r="BN407" s="3"/>
      <c r="BO407" s="3"/>
      <c r="BP407" s="3"/>
      <c r="BQ407" s="3"/>
      <c r="BR407" s="3"/>
      <c r="BS407" s="3"/>
      <c r="BT407" s="3"/>
      <c r="BU407" s="3"/>
      <c r="BV407" s="3"/>
      <c r="BW407" s="3"/>
      <c r="BX407" s="3"/>
      <c r="BY407" s="3"/>
      <c r="BZ407" s="3"/>
      <c r="CA407" s="3"/>
      <c r="CB407" s="3"/>
      <c r="CC407" s="3"/>
    </row>
    <row r="408" spans="1:81" ht="15.75" customHeight="1"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c r="BA408" s="3"/>
      <c r="BB408" s="3"/>
      <c r="BC408" s="3"/>
      <c r="BD408" s="3"/>
      <c r="BE408" s="3"/>
      <c r="BF408" s="3"/>
      <c r="BG408" s="3"/>
      <c r="BH408" s="3"/>
      <c r="BI408" s="3"/>
      <c r="BJ408" s="3"/>
      <c r="BK408" s="3"/>
      <c r="BL408" s="3"/>
      <c r="BM408" s="3"/>
      <c r="BN408" s="3"/>
      <c r="BO408" s="3"/>
      <c r="BP408" s="3"/>
      <c r="BQ408" s="3"/>
      <c r="BR408" s="3"/>
      <c r="BS408" s="3"/>
      <c r="BT408" s="3"/>
      <c r="BU408" s="3"/>
      <c r="BV408" s="3"/>
      <c r="BW408" s="3"/>
      <c r="BX408" s="3"/>
      <c r="BY408" s="3"/>
      <c r="BZ408" s="3"/>
      <c r="CA408" s="3"/>
      <c r="CB408" s="3"/>
      <c r="CC408" s="3"/>
    </row>
    <row r="409" spans="1:81" ht="15.75" customHeight="1"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c r="BA409" s="3"/>
      <c r="BB409" s="3"/>
      <c r="BC409" s="3"/>
      <c r="BD409" s="3"/>
      <c r="BE409" s="3"/>
      <c r="BF409" s="3"/>
      <c r="BG409" s="3"/>
      <c r="BH409" s="3"/>
      <c r="BI409" s="3"/>
      <c r="BJ409" s="3"/>
      <c r="BK409" s="3"/>
      <c r="BL409" s="3"/>
      <c r="BM409" s="3"/>
      <c r="BN409" s="3"/>
      <c r="BO409" s="3"/>
      <c r="BP409" s="3"/>
      <c r="BQ409" s="3"/>
      <c r="BR409" s="3"/>
      <c r="BS409" s="3"/>
      <c r="BT409" s="3"/>
      <c r="BU409" s="3"/>
      <c r="BV409" s="3"/>
      <c r="BW409" s="3"/>
      <c r="BX409" s="3"/>
      <c r="BY409" s="3"/>
      <c r="BZ409" s="3"/>
      <c r="CA409" s="3"/>
      <c r="CB409" s="3"/>
      <c r="CC409" s="3"/>
    </row>
    <row r="410" spans="1:81" ht="15.75" customHeight="1"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c r="BA410" s="3"/>
      <c r="BB410" s="3"/>
      <c r="BC410" s="3"/>
      <c r="BD410" s="3"/>
      <c r="BE410" s="3"/>
      <c r="BF410" s="3"/>
      <c r="BG410" s="3"/>
      <c r="BH410" s="3"/>
      <c r="BI410" s="3"/>
      <c r="BJ410" s="3"/>
      <c r="BK410" s="3"/>
      <c r="BL410" s="3"/>
      <c r="BM410" s="3"/>
      <c r="BN410" s="3"/>
      <c r="BO410" s="3"/>
      <c r="BP410" s="3"/>
      <c r="BQ410" s="3"/>
      <c r="BR410" s="3"/>
      <c r="BS410" s="3"/>
      <c r="BT410" s="3"/>
      <c r="BU410" s="3"/>
      <c r="BV410" s="3"/>
      <c r="BW410" s="3"/>
      <c r="BX410" s="3"/>
      <c r="BY410" s="3"/>
      <c r="BZ410" s="3"/>
      <c r="CA410" s="3"/>
      <c r="CB410" s="3"/>
      <c r="CC410" s="3"/>
    </row>
    <row r="411" spans="1:81" ht="15.75" customHeight="1"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c r="BA411" s="3"/>
      <c r="BB411" s="3"/>
      <c r="BC411" s="3"/>
      <c r="BD411" s="3"/>
      <c r="BE411" s="3"/>
      <c r="BF411" s="3"/>
      <c r="BG411" s="3"/>
      <c r="BH411" s="3"/>
      <c r="BI411" s="3"/>
      <c r="BJ411" s="3"/>
      <c r="BK411" s="3"/>
      <c r="BL411" s="3"/>
      <c r="BM411" s="3"/>
      <c r="BN411" s="3"/>
      <c r="BO411" s="3"/>
      <c r="BP411" s="3"/>
      <c r="BQ411" s="3"/>
      <c r="BR411" s="3"/>
      <c r="BS411" s="3"/>
      <c r="BT411" s="3"/>
      <c r="BU411" s="3"/>
      <c r="BV411" s="3"/>
      <c r="BW411" s="3"/>
      <c r="BX411" s="3"/>
      <c r="BY411" s="3"/>
      <c r="BZ411" s="3"/>
      <c r="CA411" s="3"/>
      <c r="CB411" s="3"/>
      <c r="CC411" s="3"/>
    </row>
    <row r="412" spans="1:81" ht="15.75" customHeight="1"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c r="BA412" s="3"/>
      <c r="BB412" s="3"/>
      <c r="BC412" s="3"/>
      <c r="BD412" s="3"/>
      <c r="BE412" s="3"/>
      <c r="BF412" s="3"/>
      <c r="BG412" s="3"/>
      <c r="BH412" s="3"/>
      <c r="BI412" s="3"/>
      <c r="BJ412" s="3"/>
      <c r="BK412" s="3"/>
      <c r="BL412" s="3"/>
      <c r="BM412" s="3"/>
      <c r="BN412" s="3"/>
      <c r="BO412" s="3"/>
      <c r="BP412" s="3"/>
      <c r="BQ412" s="3"/>
      <c r="BR412" s="3"/>
      <c r="BS412" s="3"/>
      <c r="BT412" s="3"/>
      <c r="BU412" s="3"/>
      <c r="BV412" s="3"/>
      <c r="BW412" s="3"/>
      <c r="BX412" s="3"/>
      <c r="BY412" s="3"/>
      <c r="BZ412" s="3"/>
      <c r="CA412" s="3"/>
      <c r="CB412" s="3"/>
      <c r="CC412" s="3"/>
    </row>
    <row r="413" spans="1:81" ht="15.75" customHeight="1"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c r="BA413" s="3"/>
      <c r="BB413" s="3"/>
      <c r="BC413" s="3"/>
      <c r="BD413" s="3"/>
      <c r="BE413" s="3"/>
      <c r="BF413" s="3"/>
      <c r="BG413" s="3"/>
      <c r="BH413" s="3"/>
      <c r="BI413" s="3"/>
      <c r="BJ413" s="3"/>
      <c r="BK413" s="3"/>
      <c r="BL413" s="3"/>
      <c r="BM413" s="3"/>
      <c r="BN413" s="3"/>
      <c r="BO413" s="3"/>
      <c r="BP413" s="3"/>
      <c r="BQ413" s="3"/>
      <c r="BR413" s="3"/>
      <c r="BS413" s="3"/>
      <c r="BT413" s="3"/>
      <c r="BU413" s="3"/>
      <c r="BV413" s="3"/>
      <c r="BW413" s="3"/>
      <c r="BX413" s="3"/>
      <c r="BY413" s="3"/>
      <c r="BZ413" s="3"/>
      <c r="CA413" s="3"/>
      <c r="CB413" s="3"/>
      <c r="CC413" s="3"/>
    </row>
    <row r="414" spans="1:81" ht="15.75" customHeight="1"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c r="BA414" s="3"/>
      <c r="BB414" s="3"/>
      <c r="BC414" s="3"/>
      <c r="BD414" s="3"/>
      <c r="BE414" s="3"/>
      <c r="BF414" s="3"/>
      <c r="BG414" s="3"/>
      <c r="BH414" s="3"/>
      <c r="BI414" s="3"/>
      <c r="BJ414" s="3"/>
      <c r="BK414" s="3"/>
      <c r="BL414" s="3"/>
      <c r="BM414" s="3"/>
      <c r="BN414" s="3"/>
      <c r="BO414" s="3"/>
      <c r="BP414" s="3"/>
      <c r="BQ414" s="3"/>
      <c r="BR414" s="3"/>
      <c r="BS414" s="3"/>
      <c r="BT414" s="3"/>
      <c r="BU414" s="3"/>
      <c r="BV414" s="3"/>
      <c r="BW414" s="3"/>
      <c r="BX414" s="3"/>
      <c r="BY414" s="3"/>
      <c r="BZ414" s="3"/>
      <c r="CA414" s="3"/>
      <c r="CB414" s="3"/>
      <c r="CC414" s="3"/>
    </row>
    <row r="415" spans="1:81" ht="15.75" customHeight="1"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c r="BA415" s="3"/>
      <c r="BB415" s="3"/>
      <c r="BC415" s="3"/>
      <c r="BD415" s="3"/>
      <c r="BE415" s="3"/>
      <c r="BF415" s="3"/>
      <c r="BG415" s="3"/>
      <c r="BH415" s="3"/>
      <c r="BI415" s="3"/>
      <c r="BJ415" s="3"/>
      <c r="BK415" s="3"/>
      <c r="BL415" s="3"/>
      <c r="BM415" s="3"/>
      <c r="BN415" s="3"/>
      <c r="BO415" s="3"/>
      <c r="BP415" s="3"/>
      <c r="BQ415" s="3"/>
      <c r="BR415" s="3"/>
      <c r="BS415" s="3"/>
      <c r="BT415" s="3"/>
      <c r="BU415" s="3"/>
      <c r="BV415" s="3"/>
      <c r="BW415" s="3"/>
      <c r="BX415" s="3"/>
      <c r="BY415" s="3"/>
      <c r="BZ415" s="3"/>
      <c r="CA415" s="3"/>
      <c r="CB415" s="3"/>
      <c r="CC415" s="3"/>
    </row>
    <row r="416" spans="1:81" ht="15.75" customHeight="1"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c r="BA416" s="3"/>
      <c r="BB416" s="3"/>
      <c r="BC416" s="3"/>
      <c r="BD416" s="3"/>
      <c r="BE416" s="3"/>
      <c r="BF416" s="3"/>
      <c r="BG416" s="3"/>
      <c r="BH416" s="3"/>
      <c r="BI416" s="3"/>
      <c r="BJ416" s="3"/>
      <c r="BK416" s="3"/>
      <c r="BL416" s="3"/>
      <c r="BM416" s="3"/>
      <c r="BN416" s="3"/>
      <c r="BO416" s="3"/>
      <c r="BP416" s="3"/>
      <c r="BQ416" s="3"/>
      <c r="BR416" s="3"/>
      <c r="BS416" s="3"/>
      <c r="BT416" s="3"/>
      <c r="BU416" s="3"/>
      <c r="BV416" s="3"/>
      <c r="BW416" s="3"/>
      <c r="BX416" s="3"/>
      <c r="BY416" s="3"/>
      <c r="BZ416" s="3"/>
      <c r="CA416" s="3"/>
      <c r="CB416" s="3"/>
      <c r="CC416" s="3"/>
    </row>
    <row r="417" spans="1:81" ht="15.75" customHeight="1"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c r="BA417" s="3"/>
      <c r="BB417" s="3"/>
      <c r="BC417" s="3"/>
      <c r="BD417" s="3"/>
      <c r="BE417" s="3"/>
      <c r="BF417" s="3"/>
      <c r="BG417" s="3"/>
      <c r="BH417" s="3"/>
      <c r="BI417" s="3"/>
      <c r="BJ417" s="3"/>
      <c r="BK417" s="3"/>
      <c r="BL417" s="3"/>
      <c r="BM417" s="3"/>
      <c r="BN417" s="3"/>
      <c r="BO417" s="3"/>
      <c r="BP417" s="3"/>
      <c r="BQ417" s="3"/>
      <c r="BR417" s="3"/>
      <c r="BS417" s="3"/>
      <c r="BT417" s="3"/>
      <c r="BU417" s="3"/>
      <c r="BV417" s="3"/>
      <c r="BW417" s="3"/>
      <c r="BX417" s="3"/>
      <c r="BY417" s="3"/>
      <c r="BZ417" s="3"/>
      <c r="CA417" s="3"/>
      <c r="CB417" s="3"/>
      <c r="CC417" s="3"/>
    </row>
    <row r="418" spans="1:81" ht="15.75" customHeight="1"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c r="BA418" s="3"/>
      <c r="BB418" s="3"/>
      <c r="BC418" s="3"/>
      <c r="BD418" s="3"/>
      <c r="BE418" s="3"/>
      <c r="BF418" s="3"/>
      <c r="BG418" s="3"/>
      <c r="BH418" s="3"/>
      <c r="BI418" s="3"/>
      <c r="BJ418" s="3"/>
      <c r="BK418" s="3"/>
      <c r="BL418" s="3"/>
      <c r="BM418" s="3"/>
      <c r="BN418" s="3"/>
      <c r="BO418" s="3"/>
      <c r="BP418" s="3"/>
      <c r="BQ418" s="3"/>
      <c r="BR418" s="3"/>
      <c r="BS418" s="3"/>
      <c r="BT418" s="3"/>
      <c r="BU418" s="3"/>
      <c r="BV418" s="3"/>
      <c r="BW418" s="3"/>
      <c r="BX418" s="3"/>
      <c r="BY418" s="3"/>
      <c r="BZ418" s="3"/>
      <c r="CA418" s="3"/>
      <c r="CB418" s="3"/>
      <c r="CC418" s="3"/>
    </row>
    <row r="419" spans="1:81" ht="15.75" customHeight="1"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c r="BA419" s="3"/>
      <c r="BB419" s="3"/>
      <c r="BC419" s="3"/>
      <c r="BD419" s="3"/>
      <c r="BE419" s="3"/>
      <c r="BF419" s="3"/>
      <c r="BG419" s="3"/>
      <c r="BH419" s="3"/>
      <c r="BI419" s="3"/>
      <c r="BJ419" s="3"/>
      <c r="BK419" s="3"/>
      <c r="BL419" s="3"/>
      <c r="BM419" s="3"/>
      <c r="BN419" s="3"/>
      <c r="BO419" s="3"/>
      <c r="BP419" s="3"/>
      <c r="BQ419" s="3"/>
      <c r="BR419" s="3"/>
      <c r="BS419" s="3"/>
      <c r="BT419" s="3"/>
      <c r="BU419" s="3"/>
      <c r="BV419" s="3"/>
      <c r="BW419" s="3"/>
      <c r="BX419" s="3"/>
      <c r="BY419" s="3"/>
      <c r="BZ419" s="3"/>
      <c r="CA419" s="3"/>
      <c r="CB419" s="3"/>
      <c r="CC419" s="3"/>
    </row>
    <row r="420" spans="1:81" ht="15.75" customHeight="1"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c r="BA420" s="3"/>
      <c r="BB420" s="3"/>
      <c r="BC420" s="3"/>
      <c r="BD420" s="3"/>
      <c r="BE420" s="3"/>
      <c r="BF420" s="3"/>
      <c r="BG420" s="3"/>
      <c r="BH420" s="3"/>
      <c r="BI420" s="3"/>
      <c r="BJ420" s="3"/>
      <c r="BK420" s="3"/>
      <c r="BL420" s="3"/>
      <c r="BM420" s="3"/>
      <c r="BN420" s="3"/>
      <c r="BO420" s="3"/>
      <c r="BP420" s="3"/>
      <c r="BQ420" s="3"/>
      <c r="BR420" s="3"/>
      <c r="BS420" s="3"/>
      <c r="BT420" s="3"/>
      <c r="BU420" s="3"/>
      <c r="BV420" s="3"/>
      <c r="BW420" s="3"/>
      <c r="BX420" s="3"/>
      <c r="BY420" s="3"/>
      <c r="BZ420" s="3"/>
      <c r="CA420" s="3"/>
      <c r="CB420" s="3"/>
      <c r="CC420" s="3"/>
    </row>
    <row r="421" spans="1:81" ht="15.75" customHeight="1"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c r="BA421" s="3"/>
      <c r="BB421" s="3"/>
      <c r="BC421" s="3"/>
      <c r="BD421" s="3"/>
      <c r="BE421" s="3"/>
      <c r="BF421" s="3"/>
      <c r="BG421" s="3"/>
      <c r="BH421" s="3"/>
      <c r="BI421" s="3"/>
      <c r="BJ421" s="3"/>
      <c r="BK421" s="3"/>
      <c r="BL421" s="3"/>
      <c r="BM421" s="3"/>
      <c r="BN421" s="3"/>
      <c r="BO421" s="3"/>
      <c r="BP421" s="3"/>
      <c r="BQ421" s="3"/>
      <c r="BR421" s="3"/>
      <c r="BS421" s="3"/>
      <c r="BT421" s="3"/>
      <c r="BU421" s="3"/>
      <c r="BV421" s="3"/>
      <c r="BW421" s="3"/>
      <c r="BX421" s="3"/>
      <c r="BY421" s="3"/>
      <c r="BZ421" s="3"/>
      <c r="CA421" s="3"/>
      <c r="CB421" s="3"/>
      <c r="CC421" s="3"/>
    </row>
    <row r="422" spans="1:81" ht="15.75" customHeight="1"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c r="BA422" s="3"/>
      <c r="BB422" s="3"/>
      <c r="BC422" s="3"/>
      <c r="BD422" s="3"/>
      <c r="BE422" s="3"/>
      <c r="BF422" s="3"/>
      <c r="BG422" s="3"/>
      <c r="BH422" s="3"/>
      <c r="BI422" s="3"/>
      <c r="BJ422" s="3"/>
      <c r="BK422" s="3"/>
      <c r="BL422" s="3"/>
      <c r="BM422" s="3"/>
      <c r="BN422" s="3"/>
      <c r="BO422" s="3"/>
      <c r="BP422" s="3"/>
      <c r="BQ422" s="3"/>
      <c r="BR422" s="3"/>
      <c r="BS422" s="3"/>
      <c r="BT422" s="3"/>
      <c r="BU422" s="3"/>
      <c r="BV422" s="3"/>
      <c r="BW422" s="3"/>
      <c r="BX422" s="3"/>
      <c r="BY422" s="3"/>
      <c r="BZ422" s="3"/>
      <c r="CA422" s="3"/>
      <c r="CB422" s="3"/>
      <c r="CC422" s="3"/>
    </row>
    <row r="423" spans="1:81" ht="15.75" customHeight="1"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c r="BA423" s="3"/>
      <c r="BB423" s="3"/>
      <c r="BC423" s="3"/>
      <c r="BD423" s="3"/>
      <c r="BE423" s="3"/>
      <c r="BF423" s="3"/>
      <c r="BG423" s="3"/>
      <c r="BH423" s="3"/>
      <c r="BI423" s="3"/>
      <c r="BJ423" s="3"/>
      <c r="BK423" s="3"/>
      <c r="BL423" s="3"/>
      <c r="BM423" s="3"/>
      <c r="BN423" s="3"/>
      <c r="BO423" s="3"/>
      <c r="BP423" s="3"/>
      <c r="BQ423" s="3"/>
      <c r="BR423" s="3"/>
      <c r="BS423" s="3"/>
      <c r="BT423" s="3"/>
      <c r="BU423" s="3"/>
      <c r="BV423" s="3"/>
      <c r="BW423" s="3"/>
      <c r="BX423" s="3"/>
      <c r="BY423" s="3"/>
      <c r="BZ423" s="3"/>
      <c r="CA423" s="3"/>
      <c r="CB423" s="3"/>
      <c r="CC423" s="3"/>
    </row>
    <row r="424" spans="1:81" ht="15.75" customHeight="1"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c r="BA424" s="3"/>
      <c r="BB424" s="3"/>
      <c r="BC424" s="3"/>
      <c r="BD424" s="3"/>
      <c r="BE424" s="3"/>
      <c r="BF424" s="3"/>
      <c r="BG424" s="3"/>
      <c r="BH424" s="3"/>
      <c r="BI424" s="3"/>
      <c r="BJ424" s="3"/>
      <c r="BK424" s="3"/>
      <c r="BL424" s="3"/>
      <c r="BM424" s="3"/>
      <c r="BN424" s="3"/>
      <c r="BO424" s="3"/>
      <c r="BP424" s="3"/>
      <c r="BQ424" s="3"/>
      <c r="BR424" s="3"/>
      <c r="BS424" s="3"/>
      <c r="BT424" s="3"/>
      <c r="BU424" s="3"/>
      <c r="BV424" s="3"/>
      <c r="BW424" s="3"/>
      <c r="BX424" s="3"/>
      <c r="BY424" s="3"/>
      <c r="BZ424" s="3"/>
      <c r="CA424" s="3"/>
      <c r="CB424" s="3"/>
      <c r="CC424" s="3"/>
    </row>
    <row r="425" spans="1:81" ht="15.75" customHeight="1"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c r="BA425" s="3"/>
      <c r="BB425" s="3"/>
      <c r="BC425" s="3"/>
      <c r="BD425" s="3"/>
      <c r="BE425" s="3"/>
      <c r="BF425" s="3"/>
      <c r="BG425" s="3"/>
      <c r="BH425" s="3"/>
      <c r="BI425" s="3"/>
      <c r="BJ425" s="3"/>
      <c r="BK425" s="3"/>
      <c r="BL425" s="3"/>
      <c r="BM425" s="3"/>
      <c r="BN425" s="3"/>
      <c r="BO425" s="3"/>
      <c r="BP425" s="3"/>
      <c r="BQ425" s="3"/>
      <c r="BR425" s="3"/>
      <c r="BS425" s="3"/>
      <c r="BT425" s="3"/>
      <c r="BU425" s="3"/>
      <c r="BV425" s="3"/>
      <c r="BW425" s="3"/>
      <c r="BX425" s="3"/>
      <c r="BY425" s="3"/>
      <c r="BZ425" s="3"/>
      <c r="CA425" s="3"/>
      <c r="CB425" s="3"/>
      <c r="CC425" s="3"/>
    </row>
    <row r="426" spans="1:81" ht="15.75" customHeight="1"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c r="BA426" s="3"/>
      <c r="BB426" s="3"/>
      <c r="BC426" s="3"/>
      <c r="BD426" s="3"/>
      <c r="BE426" s="3"/>
      <c r="BF426" s="3"/>
      <c r="BG426" s="3"/>
      <c r="BH426" s="3"/>
      <c r="BI426" s="3"/>
      <c r="BJ426" s="3"/>
      <c r="BK426" s="3"/>
      <c r="BL426" s="3"/>
      <c r="BM426" s="3"/>
      <c r="BN426" s="3"/>
      <c r="BO426" s="3"/>
      <c r="BP426" s="3"/>
      <c r="BQ426" s="3"/>
      <c r="BR426" s="3"/>
      <c r="BS426" s="3"/>
      <c r="BT426" s="3"/>
      <c r="BU426" s="3"/>
      <c r="BV426" s="3"/>
      <c r="BW426" s="3"/>
      <c r="BX426" s="3"/>
      <c r="BY426" s="3"/>
      <c r="BZ426" s="3"/>
      <c r="CA426" s="3"/>
      <c r="CB426" s="3"/>
      <c r="CC426" s="3"/>
    </row>
    <row r="427" spans="1:81" ht="15.75" customHeight="1"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c r="BA427" s="3"/>
      <c r="BB427" s="3"/>
      <c r="BC427" s="3"/>
      <c r="BD427" s="3"/>
      <c r="BE427" s="3"/>
      <c r="BF427" s="3"/>
      <c r="BG427" s="3"/>
      <c r="BH427" s="3"/>
      <c r="BI427" s="3"/>
      <c r="BJ427" s="3"/>
      <c r="BK427" s="3"/>
      <c r="BL427" s="3"/>
      <c r="BM427" s="3"/>
      <c r="BN427" s="3"/>
      <c r="BO427" s="3"/>
      <c r="BP427" s="3"/>
      <c r="BQ427" s="3"/>
      <c r="BR427" s="3"/>
      <c r="BS427" s="3"/>
      <c r="BT427" s="3"/>
      <c r="BU427" s="3"/>
      <c r="BV427" s="3"/>
      <c r="BW427" s="3"/>
      <c r="BX427" s="3"/>
      <c r="BY427" s="3"/>
      <c r="BZ427" s="3"/>
      <c r="CA427" s="3"/>
      <c r="CB427" s="3"/>
      <c r="CC427" s="3"/>
    </row>
    <row r="428" spans="1:81" ht="15.75" customHeight="1"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c r="BA428" s="3"/>
      <c r="BB428" s="3"/>
      <c r="BC428" s="3"/>
      <c r="BD428" s="3"/>
      <c r="BE428" s="3"/>
      <c r="BF428" s="3"/>
      <c r="BG428" s="3"/>
      <c r="BH428" s="3"/>
      <c r="BI428" s="3"/>
      <c r="BJ428" s="3"/>
      <c r="BK428" s="3"/>
      <c r="BL428" s="3"/>
      <c r="BM428" s="3"/>
      <c r="BN428" s="3"/>
      <c r="BO428" s="3"/>
      <c r="BP428" s="3"/>
      <c r="BQ428" s="3"/>
      <c r="BR428" s="3"/>
      <c r="BS428" s="3"/>
      <c r="BT428" s="3"/>
      <c r="BU428" s="3"/>
      <c r="BV428" s="3"/>
      <c r="BW428" s="3"/>
      <c r="BX428" s="3"/>
      <c r="BY428" s="3"/>
      <c r="BZ428" s="3"/>
      <c r="CA428" s="3"/>
      <c r="CB428" s="3"/>
      <c r="CC428" s="3"/>
    </row>
    <row r="429" spans="1:81" ht="15.75" customHeight="1"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c r="BA429" s="3"/>
      <c r="BB429" s="3"/>
      <c r="BC429" s="3"/>
      <c r="BD429" s="3"/>
      <c r="BE429" s="3"/>
      <c r="BF429" s="3"/>
      <c r="BG429" s="3"/>
      <c r="BH429" s="3"/>
      <c r="BI429" s="3"/>
      <c r="BJ429" s="3"/>
      <c r="BK429" s="3"/>
      <c r="BL429" s="3"/>
      <c r="BM429" s="3"/>
      <c r="BN429" s="3"/>
      <c r="BO429" s="3"/>
      <c r="BP429" s="3"/>
      <c r="BQ429" s="3"/>
      <c r="BR429" s="3"/>
      <c r="BS429" s="3"/>
      <c r="BT429" s="3"/>
      <c r="BU429" s="3"/>
      <c r="BV429" s="3"/>
      <c r="BW429" s="3"/>
      <c r="BX429" s="3"/>
      <c r="BY429" s="3"/>
      <c r="BZ429" s="3"/>
      <c r="CA429" s="3"/>
      <c r="CB429" s="3"/>
      <c r="CC429" s="3"/>
    </row>
    <row r="430" spans="1:81" ht="15.75" customHeight="1"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c r="BA430" s="3"/>
      <c r="BB430" s="3"/>
      <c r="BC430" s="3"/>
      <c r="BD430" s="3"/>
      <c r="BE430" s="3"/>
      <c r="BF430" s="3"/>
      <c r="BG430" s="3"/>
      <c r="BH430" s="3"/>
      <c r="BI430" s="3"/>
      <c r="BJ430" s="3"/>
      <c r="BK430" s="3"/>
      <c r="BL430" s="3"/>
      <c r="BM430" s="3"/>
      <c r="BN430" s="3"/>
      <c r="BO430" s="3"/>
      <c r="BP430" s="3"/>
      <c r="BQ430" s="3"/>
      <c r="BR430" s="3"/>
      <c r="BS430" s="3"/>
      <c r="BT430" s="3"/>
      <c r="BU430" s="3"/>
      <c r="BV430" s="3"/>
      <c r="BW430" s="3"/>
      <c r="BX430" s="3"/>
      <c r="BY430" s="3"/>
      <c r="BZ430" s="3"/>
      <c r="CA430" s="3"/>
      <c r="CB430" s="3"/>
      <c r="CC430" s="3"/>
    </row>
    <row r="431" spans="1:81" ht="15.75" customHeight="1"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c r="BA431" s="3"/>
      <c r="BB431" s="3"/>
      <c r="BC431" s="3"/>
      <c r="BD431" s="3"/>
      <c r="BE431" s="3"/>
      <c r="BF431" s="3"/>
      <c r="BG431" s="3"/>
      <c r="BH431" s="3"/>
      <c r="BI431" s="3"/>
      <c r="BJ431" s="3"/>
      <c r="BK431" s="3"/>
      <c r="BL431" s="3"/>
      <c r="BM431" s="3"/>
      <c r="BN431" s="3"/>
      <c r="BO431" s="3"/>
      <c r="BP431" s="3"/>
      <c r="BQ431" s="3"/>
      <c r="BR431" s="3"/>
      <c r="BS431" s="3"/>
      <c r="BT431" s="3"/>
      <c r="BU431" s="3"/>
      <c r="BV431" s="3"/>
      <c r="BW431" s="3"/>
      <c r="BX431" s="3"/>
      <c r="BY431" s="3"/>
      <c r="BZ431" s="3"/>
      <c r="CA431" s="3"/>
      <c r="CB431" s="3"/>
      <c r="CC431" s="3"/>
    </row>
    <row r="432" spans="1:81" ht="15.75" customHeight="1"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c r="BA432" s="3"/>
      <c r="BB432" s="3"/>
      <c r="BC432" s="3"/>
      <c r="BD432" s="3"/>
      <c r="BE432" s="3"/>
      <c r="BF432" s="3"/>
      <c r="BG432" s="3"/>
      <c r="BH432" s="3"/>
      <c r="BI432" s="3"/>
      <c r="BJ432" s="3"/>
      <c r="BK432" s="3"/>
      <c r="BL432" s="3"/>
      <c r="BM432" s="3"/>
      <c r="BN432" s="3"/>
      <c r="BO432" s="3"/>
      <c r="BP432" s="3"/>
      <c r="BQ432" s="3"/>
      <c r="BR432" s="3"/>
      <c r="BS432" s="3"/>
      <c r="BT432" s="3"/>
      <c r="BU432" s="3"/>
      <c r="BV432" s="3"/>
      <c r="BW432" s="3"/>
      <c r="BX432" s="3"/>
      <c r="BY432" s="3"/>
      <c r="BZ432" s="3"/>
      <c r="CA432" s="3"/>
      <c r="CB432" s="3"/>
      <c r="CC432" s="3"/>
    </row>
    <row r="433" spans="1:81" ht="15.75" customHeight="1"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c r="BA433" s="3"/>
      <c r="BB433" s="3"/>
      <c r="BC433" s="3"/>
      <c r="BD433" s="3"/>
      <c r="BE433" s="3"/>
      <c r="BF433" s="3"/>
      <c r="BG433" s="3"/>
      <c r="BH433" s="3"/>
      <c r="BI433" s="3"/>
      <c r="BJ433" s="3"/>
      <c r="BK433" s="3"/>
      <c r="BL433" s="3"/>
      <c r="BM433" s="3"/>
      <c r="BN433" s="3"/>
      <c r="BO433" s="3"/>
      <c r="BP433" s="3"/>
      <c r="BQ433" s="3"/>
      <c r="BR433" s="3"/>
      <c r="BS433" s="3"/>
      <c r="BT433" s="3"/>
      <c r="BU433" s="3"/>
      <c r="BV433" s="3"/>
      <c r="BW433" s="3"/>
      <c r="BX433" s="3"/>
      <c r="BY433" s="3"/>
      <c r="BZ433" s="3"/>
      <c r="CA433" s="3"/>
      <c r="CB433" s="3"/>
      <c r="CC433" s="3"/>
    </row>
    <row r="434" spans="1:81" ht="15.75" customHeight="1"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c r="BA434" s="3"/>
      <c r="BB434" s="3"/>
      <c r="BC434" s="3"/>
      <c r="BD434" s="3"/>
      <c r="BE434" s="3"/>
      <c r="BF434" s="3"/>
      <c r="BG434" s="3"/>
      <c r="BH434" s="3"/>
      <c r="BI434" s="3"/>
      <c r="BJ434" s="3"/>
      <c r="BK434" s="3"/>
      <c r="BL434" s="3"/>
      <c r="BM434" s="3"/>
      <c r="BN434" s="3"/>
      <c r="BO434" s="3"/>
      <c r="BP434" s="3"/>
      <c r="BQ434" s="3"/>
      <c r="BR434" s="3"/>
      <c r="BS434" s="3"/>
      <c r="BT434" s="3"/>
      <c r="BU434" s="3"/>
      <c r="BV434" s="3"/>
      <c r="BW434" s="3"/>
      <c r="BX434" s="3"/>
      <c r="BY434" s="3"/>
      <c r="BZ434" s="3"/>
      <c r="CA434" s="3"/>
      <c r="CB434" s="3"/>
      <c r="CC434" s="3"/>
    </row>
    <row r="435" spans="1:81" ht="15.75" customHeight="1"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c r="BA435" s="3"/>
      <c r="BB435" s="3"/>
      <c r="BC435" s="3"/>
      <c r="BD435" s="3"/>
      <c r="BE435" s="3"/>
      <c r="BF435" s="3"/>
      <c r="BG435" s="3"/>
      <c r="BH435" s="3"/>
      <c r="BI435" s="3"/>
      <c r="BJ435" s="3"/>
      <c r="BK435" s="3"/>
      <c r="BL435" s="3"/>
      <c r="BM435" s="3"/>
      <c r="BN435" s="3"/>
      <c r="BO435" s="3"/>
      <c r="BP435" s="3"/>
      <c r="BQ435" s="3"/>
      <c r="BR435" s="3"/>
      <c r="BS435" s="3"/>
      <c r="BT435" s="3"/>
      <c r="BU435" s="3"/>
      <c r="BV435" s="3"/>
      <c r="BW435" s="3"/>
      <c r="BX435" s="3"/>
      <c r="BY435" s="3"/>
      <c r="BZ435" s="3"/>
      <c r="CA435" s="3"/>
      <c r="CB435" s="3"/>
      <c r="CC435" s="3"/>
    </row>
    <row r="436" spans="1:81" ht="15.75" customHeight="1"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c r="BA436" s="3"/>
      <c r="BB436" s="3"/>
      <c r="BC436" s="3"/>
      <c r="BD436" s="3"/>
      <c r="BE436" s="3"/>
      <c r="BF436" s="3"/>
      <c r="BG436" s="3"/>
      <c r="BH436" s="3"/>
      <c r="BI436" s="3"/>
      <c r="BJ436" s="3"/>
      <c r="BK436" s="3"/>
      <c r="BL436" s="3"/>
      <c r="BM436" s="3"/>
      <c r="BN436" s="3"/>
      <c r="BO436" s="3"/>
      <c r="BP436" s="3"/>
      <c r="BQ436" s="3"/>
      <c r="BR436" s="3"/>
      <c r="BS436" s="3"/>
      <c r="BT436" s="3"/>
      <c r="BU436" s="3"/>
      <c r="BV436" s="3"/>
      <c r="BW436" s="3"/>
      <c r="BX436" s="3"/>
      <c r="BY436" s="3"/>
      <c r="BZ436" s="3"/>
      <c r="CA436" s="3"/>
      <c r="CB436" s="3"/>
      <c r="CC436" s="3"/>
    </row>
    <row r="437" spans="1:81" ht="15.75" customHeight="1"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c r="BA437" s="3"/>
      <c r="BB437" s="3"/>
      <c r="BC437" s="3"/>
      <c r="BD437" s="3"/>
      <c r="BE437" s="3"/>
      <c r="BF437" s="3"/>
      <c r="BG437" s="3"/>
      <c r="BH437" s="3"/>
      <c r="BI437" s="3"/>
      <c r="BJ437" s="3"/>
      <c r="BK437" s="3"/>
      <c r="BL437" s="3"/>
      <c r="BM437" s="3"/>
      <c r="BN437" s="3"/>
      <c r="BO437" s="3"/>
      <c r="BP437" s="3"/>
      <c r="BQ437" s="3"/>
      <c r="BR437" s="3"/>
      <c r="BS437" s="3"/>
      <c r="BT437" s="3"/>
      <c r="BU437" s="3"/>
      <c r="BV437" s="3"/>
      <c r="BW437" s="3"/>
      <c r="BX437" s="3"/>
      <c r="BY437" s="3"/>
      <c r="BZ437" s="3"/>
      <c r="CA437" s="3"/>
      <c r="CB437" s="3"/>
      <c r="CC437" s="3"/>
    </row>
    <row r="438" spans="1:81" ht="15.75" customHeight="1"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c r="BA438" s="3"/>
      <c r="BB438" s="3"/>
      <c r="BC438" s="3"/>
      <c r="BD438" s="3"/>
      <c r="BE438" s="3"/>
      <c r="BF438" s="3"/>
      <c r="BG438" s="3"/>
      <c r="BH438" s="3"/>
      <c r="BI438" s="3"/>
      <c r="BJ438" s="3"/>
      <c r="BK438" s="3"/>
      <c r="BL438" s="3"/>
      <c r="BM438" s="3"/>
      <c r="BN438" s="3"/>
      <c r="BO438" s="3"/>
      <c r="BP438" s="3"/>
      <c r="BQ438" s="3"/>
      <c r="BR438" s="3"/>
      <c r="BS438" s="3"/>
      <c r="BT438" s="3"/>
      <c r="BU438" s="3"/>
      <c r="BV438" s="3"/>
      <c r="BW438" s="3"/>
      <c r="BX438" s="3"/>
      <c r="BY438" s="3"/>
      <c r="BZ438" s="3"/>
      <c r="CA438" s="3"/>
      <c r="CB438" s="3"/>
      <c r="CC438" s="3"/>
    </row>
    <row r="439" spans="1:81" ht="15.75" customHeight="1"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c r="BA439" s="3"/>
      <c r="BB439" s="3"/>
      <c r="BC439" s="3"/>
      <c r="BD439" s="3"/>
      <c r="BE439" s="3"/>
      <c r="BF439" s="3"/>
      <c r="BG439" s="3"/>
      <c r="BH439" s="3"/>
      <c r="BI439" s="3"/>
      <c r="BJ439" s="3"/>
      <c r="BK439" s="3"/>
      <c r="BL439" s="3"/>
      <c r="BM439" s="3"/>
      <c r="BN439" s="3"/>
      <c r="BO439" s="3"/>
      <c r="BP439" s="3"/>
      <c r="BQ439" s="3"/>
      <c r="BR439" s="3"/>
      <c r="BS439" s="3"/>
      <c r="BT439" s="3"/>
      <c r="BU439" s="3"/>
      <c r="BV439" s="3"/>
      <c r="BW439" s="3"/>
      <c r="BX439" s="3"/>
      <c r="BY439" s="3"/>
      <c r="BZ439" s="3"/>
      <c r="CA439" s="3"/>
      <c r="CB439" s="3"/>
      <c r="CC439" s="3"/>
    </row>
    <row r="440" spans="1:81" ht="15.75" customHeight="1"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c r="BA440" s="3"/>
      <c r="BB440" s="3"/>
      <c r="BC440" s="3"/>
      <c r="BD440" s="3"/>
      <c r="BE440" s="3"/>
      <c r="BF440" s="3"/>
      <c r="BG440" s="3"/>
      <c r="BH440" s="3"/>
      <c r="BI440" s="3"/>
      <c r="BJ440" s="3"/>
      <c r="BK440" s="3"/>
      <c r="BL440" s="3"/>
      <c r="BM440" s="3"/>
      <c r="BN440" s="3"/>
      <c r="BO440" s="3"/>
      <c r="BP440" s="3"/>
      <c r="BQ440" s="3"/>
      <c r="BR440" s="3"/>
      <c r="BS440" s="3"/>
      <c r="BT440" s="3"/>
      <c r="BU440" s="3"/>
      <c r="BV440" s="3"/>
      <c r="BW440" s="3"/>
      <c r="BX440" s="3"/>
      <c r="BY440" s="3"/>
      <c r="BZ440" s="3"/>
      <c r="CA440" s="3"/>
      <c r="CB440" s="3"/>
      <c r="CC440" s="3"/>
    </row>
    <row r="441" spans="1:81" ht="15.75" customHeight="1"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c r="BA441" s="3"/>
      <c r="BB441" s="3"/>
      <c r="BC441" s="3"/>
      <c r="BD441" s="3"/>
      <c r="BE441" s="3"/>
      <c r="BF441" s="3"/>
      <c r="BG441" s="3"/>
      <c r="BH441" s="3"/>
      <c r="BI441" s="3"/>
      <c r="BJ441" s="3"/>
      <c r="BK441" s="3"/>
      <c r="BL441" s="3"/>
      <c r="BM441" s="3"/>
      <c r="BN441" s="3"/>
      <c r="BO441" s="3"/>
      <c r="BP441" s="3"/>
      <c r="BQ441" s="3"/>
      <c r="BR441" s="3"/>
      <c r="BS441" s="3"/>
      <c r="BT441" s="3"/>
      <c r="BU441" s="3"/>
      <c r="BV441" s="3"/>
      <c r="BW441" s="3"/>
      <c r="BX441" s="3"/>
      <c r="BY441" s="3"/>
      <c r="BZ441" s="3"/>
      <c r="CA441" s="3"/>
      <c r="CB441" s="3"/>
      <c r="CC441" s="3"/>
    </row>
    <row r="442" spans="1:81" ht="15.75" customHeight="1"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c r="BA442" s="3"/>
      <c r="BB442" s="3"/>
      <c r="BC442" s="3"/>
      <c r="BD442" s="3"/>
      <c r="BE442" s="3"/>
      <c r="BF442" s="3"/>
      <c r="BG442" s="3"/>
      <c r="BH442" s="3"/>
      <c r="BI442" s="3"/>
      <c r="BJ442" s="3"/>
      <c r="BK442" s="3"/>
      <c r="BL442" s="3"/>
      <c r="BM442" s="3"/>
      <c r="BN442" s="3"/>
      <c r="BO442" s="3"/>
      <c r="BP442" s="3"/>
      <c r="BQ442" s="3"/>
      <c r="BR442" s="3"/>
      <c r="BS442" s="3"/>
      <c r="BT442" s="3"/>
      <c r="BU442" s="3"/>
      <c r="BV442" s="3"/>
      <c r="BW442" s="3"/>
      <c r="BX442" s="3"/>
      <c r="BY442" s="3"/>
      <c r="BZ442" s="3"/>
      <c r="CA442" s="3"/>
      <c r="CB442" s="3"/>
      <c r="CC442" s="3"/>
    </row>
    <row r="443" spans="1:81" ht="15.75" customHeight="1"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c r="BA443" s="3"/>
      <c r="BB443" s="3"/>
      <c r="BC443" s="3"/>
      <c r="BD443" s="3"/>
      <c r="BE443" s="3"/>
      <c r="BF443" s="3"/>
      <c r="BG443" s="3"/>
      <c r="BH443" s="3"/>
      <c r="BI443" s="3"/>
      <c r="BJ443" s="3"/>
      <c r="BK443" s="3"/>
      <c r="BL443" s="3"/>
      <c r="BM443" s="3"/>
      <c r="BN443" s="3"/>
      <c r="BO443" s="3"/>
      <c r="BP443" s="3"/>
      <c r="BQ443" s="3"/>
      <c r="BR443" s="3"/>
      <c r="BS443" s="3"/>
      <c r="BT443" s="3"/>
      <c r="BU443" s="3"/>
      <c r="BV443" s="3"/>
      <c r="BW443" s="3"/>
      <c r="BX443" s="3"/>
      <c r="BY443" s="3"/>
      <c r="BZ443" s="3"/>
      <c r="CA443" s="3"/>
      <c r="CB443" s="3"/>
      <c r="CC443" s="3"/>
    </row>
    <row r="444" spans="1:81" ht="15.75" customHeight="1"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c r="BA444" s="3"/>
      <c r="BB444" s="3"/>
      <c r="BC444" s="3"/>
      <c r="BD444" s="3"/>
      <c r="BE444" s="3"/>
      <c r="BF444" s="3"/>
      <c r="BG444" s="3"/>
      <c r="BH444" s="3"/>
      <c r="BI444" s="3"/>
      <c r="BJ444" s="3"/>
      <c r="BK444" s="3"/>
      <c r="BL444" s="3"/>
      <c r="BM444" s="3"/>
      <c r="BN444" s="3"/>
      <c r="BO444" s="3"/>
      <c r="BP444" s="3"/>
      <c r="BQ444" s="3"/>
      <c r="BR444" s="3"/>
      <c r="BS444" s="3"/>
      <c r="BT444" s="3"/>
      <c r="BU444" s="3"/>
      <c r="BV444" s="3"/>
      <c r="BW444" s="3"/>
      <c r="BX444" s="3"/>
      <c r="BY444" s="3"/>
      <c r="BZ444" s="3"/>
      <c r="CA444" s="3"/>
      <c r="CB444" s="3"/>
      <c r="CC444" s="3"/>
    </row>
    <row r="445" spans="1:81" ht="15.75" customHeight="1"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c r="BA445" s="3"/>
      <c r="BB445" s="3"/>
      <c r="BC445" s="3"/>
      <c r="BD445" s="3"/>
      <c r="BE445" s="3"/>
      <c r="BF445" s="3"/>
      <c r="BG445" s="3"/>
      <c r="BH445" s="3"/>
      <c r="BI445" s="3"/>
      <c r="BJ445" s="3"/>
      <c r="BK445" s="3"/>
      <c r="BL445" s="3"/>
      <c r="BM445" s="3"/>
      <c r="BN445" s="3"/>
      <c r="BO445" s="3"/>
      <c r="BP445" s="3"/>
      <c r="BQ445" s="3"/>
      <c r="BR445" s="3"/>
      <c r="BS445" s="3"/>
      <c r="BT445" s="3"/>
      <c r="BU445" s="3"/>
      <c r="BV445" s="3"/>
      <c r="BW445" s="3"/>
      <c r="BX445" s="3"/>
      <c r="BY445" s="3"/>
      <c r="BZ445" s="3"/>
      <c r="CA445" s="3"/>
      <c r="CB445" s="3"/>
      <c r="CC445" s="3"/>
    </row>
    <row r="446" spans="1:81" ht="15.75" customHeight="1"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c r="BA446" s="3"/>
      <c r="BB446" s="3"/>
      <c r="BC446" s="3"/>
      <c r="BD446" s="3"/>
      <c r="BE446" s="3"/>
      <c r="BF446" s="3"/>
      <c r="BG446" s="3"/>
      <c r="BH446" s="3"/>
      <c r="BI446" s="3"/>
      <c r="BJ446" s="3"/>
      <c r="BK446" s="3"/>
      <c r="BL446" s="3"/>
      <c r="BM446" s="3"/>
      <c r="BN446" s="3"/>
      <c r="BO446" s="3"/>
      <c r="BP446" s="3"/>
      <c r="BQ446" s="3"/>
      <c r="BR446" s="3"/>
      <c r="BS446" s="3"/>
      <c r="BT446" s="3"/>
      <c r="BU446" s="3"/>
      <c r="BV446" s="3"/>
      <c r="BW446" s="3"/>
      <c r="BX446" s="3"/>
      <c r="BY446" s="3"/>
      <c r="BZ446" s="3"/>
      <c r="CA446" s="3"/>
      <c r="CB446" s="3"/>
      <c r="CC446" s="3"/>
    </row>
    <row r="447" spans="1:81" ht="15.75" customHeight="1"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c r="BA447" s="3"/>
      <c r="BB447" s="3"/>
      <c r="BC447" s="3"/>
      <c r="BD447" s="3"/>
      <c r="BE447" s="3"/>
      <c r="BF447" s="3"/>
      <c r="BG447" s="3"/>
      <c r="BH447" s="3"/>
      <c r="BI447" s="3"/>
      <c r="BJ447" s="3"/>
      <c r="BK447" s="3"/>
      <c r="BL447" s="3"/>
      <c r="BM447" s="3"/>
      <c r="BN447" s="3"/>
      <c r="BO447" s="3"/>
      <c r="BP447" s="3"/>
      <c r="BQ447" s="3"/>
      <c r="BR447" s="3"/>
      <c r="BS447" s="3"/>
      <c r="BT447" s="3"/>
      <c r="BU447" s="3"/>
      <c r="BV447" s="3"/>
      <c r="BW447" s="3"/>
      <c r="BX447" s="3"/>
      <c r="BY447" s="3"/>
      <c r="BZ447" s="3"/>
      <c r="CA447" s="3"/>
      <c r="CB447" s="3"/>
      <c r="CC447" s="3"/>
    </row>
    <row r="448" spans="1:81" ht="15.75" customHeight="1"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c r="BA448" s="3"/>
      <c r="BB448" s="3"/>
      <c r="BC448" s="3"/>
      <c r="BD448" s="3"/>
      <c r="BE448" s="3"/>
      <c r="BF448" s="3"/>
      <c r="BG448" s="3"/>
      <c r="BH448" s="3"/>
      <c r="BI448" s="3"/>
      <c r="BJ448" s="3"/>
      <c r="BK448" s="3"/>
      <c r="BL448" s="3"/>
      <c r="BM448" s="3"/>
      <c r="BN448" s="3"/>
      <c r="BO448" s="3"/>
      <c r="BP448" s="3"/>
      <c r="BQ448" s="3"/>
      <c r="BR448" s="3"/>
      <c r="BS448" s="3"/>
      <c r="BT448" s="3"/>
      <c r="BU448" s="3"/>
      <c r="BV448" s="3"/>
      <c r="BW448" s="3"/>
      <c r="BX448" s="3"/>
      <c r="BY448" s="3"/>
      <c r="BZ448" s="3"/>
      <c r="CA448" s="3"/>
      <c r="CB448" s="3"/>
      <c r="CC448" s="3"/>
    </row>
    <row r="449" spans="1:81" ht="15.75" customHeight="1"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c r="BA449" s="3"/>
      <c r="BB449" s="3"/>
      <c r="BC449" s="3"/>
      <c r="BD449" s="3"/>
      <c r="BE449" s="3"/>
      <c r="BF449" s="3"/>
      <c r="BG449" s="3"/>
      <c r="BH449" s="3"/>
      <c r="BI449" s="3"/>
      <c r="BJ449" s="3"/>
      <c r="BK449" s="3"/>
      <c r="BL449" s="3"/>
      <c r="BM449" s="3"/>
      <c r="BN449" s="3"/>
      <c r="BO449" s="3"/>
      <c r="BP449" s="3"/>
      <c r="BQ449" s="3"/>
      <c r="BR449" s="3"/>
      <c r="BS449" s="3"/>
      <c r="BT449" s="3"/>
      <c r="BU449" s="3"/>
      <c r="BV449" s="3"/>
      <c r="BW449" s="3"/>
      <c r="BX449" s="3"/>
      <c r="BY449" s="3"/>
      <c r="BZ449" s="3"/>
      <c r="CA449" s="3"/>
      <c r="CB449" s="3"/>
      <c r="CC449" s="3"/>
    </row>
    <row r="450" spans="1:81" ht="15.75" customHeight="1"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c r="BA450" s="3"/>
      <c r="BB450" s="3"/>
      <c r="BC450" s="3"/>
      <c r="BD450" s="3"/>
      <c r="BE450" s="3"/>
      <c r="BF450" s="3"/>
      <c r="BG450" s="3"/>
      <c r="BH450" s="3"/>
      <c r="BI450" s="3"/>
      <c r="BJ450" s="3"/>
      <c r="BK450" s="3"/>
      <c r="BL450" s="3"/>
      <c r="BM450" s="3"/>
      <c r="BN450" s="3"/>
      <c r="BO450" s="3"/>
      <c r="BP450" s="3"/>
      <c r="BQ450" s="3"/>
      <c r="BR450" s="3"/>
      <c r="BS450" s="3"/>
      <c r="BT450" s="3"/>
      <c r="BU450" s="3"/>
      <c r="BV450" s="3"/>
      <c r="BW450" s="3"/>
      <c r="BX450" s="3"/>
      <c r="BY450" s="3"/>
      <c r="BZ450" s="3"/>
      <c r="CA450" s="3"/>
      <c r="CB450" s="3"/>
      <c r="CC450" s="3"/>
    </row>
    <row r="451" spans="1:81" ht="15.75" customHeight="1"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c r="BA451" s="3"/>
      <c r="BB451" s="3"/>
      <c r="BC451" s="3"/>
      <c r="BD451" s="3"/>
      <c r="BE451" s="3"/>
      <c r="BF451" s="3"/>
      <c r="BG451" s="3"/>
      <c r="BH451" s="3"/>
      <c r="BI451" s="3"/>
      <c r="BJ451" s="3"/>
      <c r="BK451" s="3"/>
      <c r="BL451" s="3"/>
      <c r="BM451" s="3"/>
      <c r="BN451" s="3"/>
      <c r="BO451" s="3"/>
      <c r="BP451" s="3"/>
      <c r="BQ451" s="3"/>
      <c r="BR451" s="3"/>
      <c r="BS451" s="3"/>
      <c r="BT451" s="3"/>
      <c r="BU451" s="3"/>
      <c r="BV451" s="3"/>
      <c r="BW451" s="3"/>
      <c r="BX451" s="3"/>
      <c r="BY451" s="3"/>
      <c r="BZ451" s="3"/>
      <c r="CA451" s="3"/>
      <c r="CB451" s="3"/>
      <c r="CC451" s="3"/>
    </row>
    <row r="452" spans="1:81" ht="15.75" customHeight="1"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c r="BA452" s="3"/>
      <c r="BB452" s="3"/>
      <c r="BC452" s="3"/>
      <c r="BD452" s="3"/>
      <c r="BE452" s="3"/>
      <c r="BF452" s="3"/>
      <c r="BG452" s="3"/>
      <c r="BH452" s="3"/>
      <c r="BI452" s="3"/>
      <c r="BJ452" s="3"/>
      <c r="BK452" s="3"/>
      <c r="BL452" s="3"/>
      <c r="BM452" s="3"/>
      <c r="BN452" s="3"/>
      <c r="BO452" s="3"/>
      <c r="BP452" s="3"/>
      <c r="BQ452" s="3"/>
      <c r="BR452" s="3"/>
      <c r="BS452" s="3"/>
      <c r="BT452" s="3"/>
      <c r="BU452" s="3"/>
      <c r="BV452" s="3"/>
      <c r="BW452" s="3"/>
      <c r="BX452" s="3"/>
      <c r="BY452" s="3"/>
      <c r="BZ452" s="3"/>
      <c r="CA452" s="3"/>
      <c r="CB452" s="3"/>
      <c r="CC452" s="3"/>
    </row>
    <row r="453" spans="1:81" ht="15.75" customHeight="1"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c r="BA453" s="3"/>
      <c r="BB453" s="3"/>
      <c r="BC453" s="3"/>
      <c r="BD453" s="3"/>
      <c r="BE453" s="3"/>
      <c r="BF453" s="3"/>
      <c r="BG453" s="3"/>
      <c r="BH453" s="3"/>
      <c r="BI453" s="3"/>
      <c r="BJ453" s="3"/>
      <c r="BK453" s="3"/>
      <c r="BL453" s="3"/>
      <c r="BM453" s="3"/>
      <c r="BN453" s="3"/>
      <c r="BO453" s="3"/>
      <c r="BP453" s="3"/>
      <c r="BQ453" s="3"/>
      <c r="BR453" s="3"/>
      <c r="BS453" s="3"/>
      <c r="BT453" s="3"/>
      <c r="BU453" s="3"/>
      <c r="BV453" s="3"/>
      <c r="BW453" s="3"/>
      <c r="BX453" s="3"/>
      <c r="BY453" s="3"/>
      <c r="BZ453" s="3"/>
      <c r="CA453" s="3"/>
      <c r="CB453" s="3"/>
      <c r="CC453" s="3"/>
    </row>
    <row r="454" spans="1:81" ht="15.75" customHeight="1"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c r="BA454" s="3"/>
      <c r="BB454" s="3"/>
      <c r="BC454" s="3"/>
      <c r="BD454" s="3"/>
      <c r="BE454" s="3"/>
      <c r="BF454" s="3"/>
      <c r="BG454" s="3"/>
      <c r="BH454" s="3"/>
      <c r="BI454" s="3"/>
      <c r="BJ454" s="3"/>
      <c r="BK454" s="3"/>
      <c r="BL454" s="3"/>
      <c r="BM454" s="3"/>
      <c r="BN454" s="3"/>
      <c r="BO454" s="3"/>
      <c r="BP454" s="3"/>
      <c r="BQ454" s="3"/>
      <c r="BR454" s="3"/>
      <c r="BS454" s="3"/>
      <c r="BT454" s="3"/>
      <c r="BU454" s="3"/>
      <c r="BV454" s="3"/>
      <c r="BW454" s="3"/>
      <c r="BX454" s="3"/>
      <c r="BY454" s="3"/>
      <c r="BZ454" s="3"/>
      <c r="CA454" s="3"/>
      <c r="CB454" s="3"/>
      <c r="CC454" s="3"/>
    </row>
    <row r="455" spans="1:81" ht="15.75" customHeight="1"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c r="BA455" s="3"/>
      <c r="BB455" s="3"/>
      <c r="BC455" s="3"/>
      <c r="BD455" s="3"/>
      <c r="BE455" s="3"/>
      <c r="BF455" s="3"/>
      <c r="BG455" s="3"/>
      <c r="BH455" s="3"/>
      <c r="BI455" s="3"/>
      <c r="BJ455" s="3"/>
      <c r="BK455" s="3"/>
      <c r="BL455" s="3"/>
      <c r="BM455" s="3"/>
      <c r="BN455" s="3"/>
      <c r="BO455" s="3"/>
      <c r="BP455" s="3"/>
      <c r="BQ455" s="3"/>
      <c r="BR455" s="3"/>
      <c r="BS455" s="3"/>
      <c r="BT455" s="3"/>
      <c r="BU455" s="3"/>
      <c r="BV455" s="3"/>
      <c r="BW455" s="3"/>
      <c r="BX455" s="3"/>
      <c r="BY455" s="3"/>
      <c r="BZ455" s="3"/>
      <c r="CA455" s="3"/>
      <c r="CB455" s="3"/>
      <c r="CC455" s="3"/>
    </row>
    <row r="456" spans="1:81" ht="15.75" customHeight="1"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c r="BA456" s="3"/>
      <c r="BB456" s="3"/>
      <c r="BC456" s="3"/>
      <c r="BD456" s="3"/>
      <c r="BE456" s="3"/>
      <c r="BF456" s="3"/>
      <c r="BG456" s="3"/>
      <c r="BH456" s="3"/>
      <c r="BI456" s="3"/>
      <c r="BJ456" s="3"/>
      <c r="BK456" s="3"/>
      <c r="BL456" s="3"/>
      <c r="BM456" s="3"/>
      <c r="BN456" s="3"/>
      <c r="BO456" s="3"/>
      <c r="BP456" s="3"/>
      <c r="BQ456" s="3"/>
      <c r="BR456" s="3"/>
      <c r="BS456" s="3"/>
      <c r="BT456" s="3"/>
      <c r="BU456" s="3"/>
      <c r="BV456" s="3"/>
      <c r="BW456" s="3"/>
      <c r="BX456" s="3"/>
      <c r="BY456" s="3"/>
      <c r="BZ456" s="3"/>
      <c r="CA456" s="3"/>
      <c r="CB456" s="3"/>
      <c r="CC456" s="3"/>
    </row>
    <row r="457" spans="1:81" ht="15.75" customHeight="1"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c r="BA457" s="3"/>
      <c r="BB457" s="3"/>
      <c r="BC457" s="3"/>
      <c r="BD457" s="3"/>
      <c r="BE457" s="3"/>
      <c r="BF457" s="3"/>
      <c r="BG457" s="3"/>
      <c r="BH457" s="3"/>
      <c r="BI457" s="3"/>
      <c r="BJ457" s="3"/>
      <c r="BK457" s="3"/>
      <c r="BL457" s="3"/>
      <c r="BM457" s="3"/>
      <c r="BN457" s="3"/>
      <c r="BO457" s="3"/>
      <c r="BP457" s="3"/>
      <c r="BQ457" s="3"/>
      <c r="BR457" s="3"/>
      <c r="BS457" s="3"/>
      <c r="BT457" s="3"/>
      <c r="BU457" s="3"/>
      <c r="BV457" s="3"/>
      <c r="BW457" s="3"/>
      <c r="BX457" s="3"/>
      <c r="BY457" s="3"/>
      <c r="BZ457" s="3"/>
      <c r="CA457" s="3"/>
      <c r="CB457" s="3"/>
      <c r="CC457" s="3"/>
    </row>
    <row r="458" spans="1:81" ht="15.75" customHeight="1"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c r="BA458" s="3"/>
      <c r="BB458" s="3"/>
      <c r="BC458" s="3"/>
      <c r="BD458" s="3"/>
      <c r="BE458" s="3"/>
      <c r="BF458" s="3"/>
      <c r="BG458" s="3"/>
      <c r="BH458" s="3"/>
      <c r="BI458" s="3"/>
      <c r="BJ458" s="3"/>
      <c r="BK458" s="3"/>
      <c r="BL458" s="3"/>
      <c r="BM458" s="3"/>
      <c r="BN458" s="3"/>
      <c r="BO458" s="3"/>
      <c r="BP458" s="3"/>
      <c r="BQ458" s="3"/>
      <c r="BR458" s="3"/>
      <c r="BS458" s="3"/>
      <c r="BT458" s="3"/>
      <c r="BU458" s="3"/>
      <c r="BV458" s="3"/>
      <c r="BW458" s="3"/>
      <c r="BX458" s="3"/>
      <c r="BY458" s="3"/>
      <c r="BZ458" s="3"/>
      <c r="CA458" s="3"/>
      <c r="CB458" s="3"/>
      <c r="CC458" s="3"/>
    </row>
    <row r="459" spans="1:81" ht="15.75" customHeight="1"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c r="BA459" s="3"/>
      <c r="BB459" s="3"/>
      <c r="BC459" s="3"/>
      <c r="BD459" s="3"/>
      <c r="BE459" s="3"/>
      <c r="BF459" s="3"/>
      <c r="BG459" s="3"/>
      <c r="BH459" s="3"/>
      <c r="BI459" s="3"/>
      <c r="BJ459" s="3"/>
      <c r="BK459" s="3"/>
      <c r="BL459" s="3"/>
      <c r="BM459" s="3"/>
      <c r="BN459" s="3"/>
      <c r="BO459" s="3"/>
      <c r="BP459" s="3"/>
      <c r="BQ459" s="3"/>
      <c r="BR459" s="3"/>
      <c r="BS459" s="3"/>
      <c r="BT459" s="3"/>
      <c r="BU459" s="3"/>
      <c r="BV459" s="3"/>
      <c r="BW459" s="3"/>
      <c r="BX459" s="3"/>
      <c r="BY459" s="3"/>
      <c r="BZ459" s="3"/>
      <c r="CA459" s="3"/>
      <c r="CB459" s="3"/>
      <c r="CC459" s="3"/>
    </row>
    <row r="460" spans="1:81" ht="15.75" customHeight="1"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c r="BA460" s="3"/>
      <c r="BB460" s="3"/>
      <c r="BC460" s="3"/>
      <c r="BD460" s="3"/>
      <c r="BE460" s="3"/>
      <c r="BF460" s="3"/>
      <c r="BG460" s="3"/>
      <c r="BH460" s="3"/>
      <c r="BI460" s="3"/>
      <c r="BJ460" s="3"/>
      <c r="BK460" s="3"/>
      <c r="BL460" s="3"/>
      <c r="BM460" s="3"/>
      <c r="BN460" s="3"/>
      <c r="BO460" s="3"/>
      <c r="BP460" s="3"/>
      <c r="BQ460" s="3"/>
      <c r="BR460" s="3"/>
      <c r="BS460" s="3"/>
      <c r="BT460" s="3"/>
      <c r="BU460" s="3"/>
      <c r="BV460" s="3"/>
      <c r="BW460" s="3"/>
      <c r="BX460" s="3"/>
      <c r="BY460" s="3"/>
      <c r="BZ460" s="3"/>
      <c r="CA460" s="3"/>
      <c r="CB460" s="3"/>
      <c r="CC460" s="3"/>
    </row>
    <row r="461" spans="1:81" ht="15.75" customHeight="1"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c r="BA461" s="3"/>
      <c r="BB461" s="3"/>
      <c r="BC461" s="3"/>
      <c r="BD461" s="3"/>
      <c r="BE461" s="3"/>
      <c r="BF461" s="3"/>
      <c r="BG461" s="3"/>
      <c r="BH461" s="3"/>
      <c r="BI461" s="3"/>
      <c r="BJ461" s="3"/>
      <c r="BK461" s="3"/>
      <c r="BL461" s="3"/>
      <c r="BM461" s="3"/>
      <c r="BN461" s="3"/>
      <c r="BO461" s="3"/>
      <c r="BP461" s="3"/>
      <c r="BQ461" s="3"/>
      <c r="BR461" s="3"/>
      <c r="BS461" s="3"/>
      <c r="BT461" s="3"/>
      <c r="BU461" s="3"/>
      <c r="BV461" s="3"/>
      <c r="BW461" s="3"/>
      <c r="BX461" s="3"/>
      <c r="BY461" s="3"/>
      <c r="BZ461" s="3"/>
      <c r="CA461" s="3"/>
      <c r="CB461" s="3"/>
      <c r="CC461" s="3"/>
    </row>
    <row r="462" spans="1:81" ht="15.75" customHeight="1"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c r="BA462" s="3"/>
      <c r="BB462" s="3"/>
      <c r="BC462" s="3"/>
      <c r="BD462" s="3"/>
      <c r="BE462" s="3"/>
      <c r="BF462" s="3"/>
      <c r="BG462" s="3"/>
      <c r="BH462" s="3"/>
      <c r="BI462" s="3"/>
      <c r="BJ462" s="3"/>
      <c r="BK462" s="3"/>
      <c r="BL462" s="3"/>
      <c r="BM462" s="3"/>
      <c r="BN462" s="3"/>
      <c r="BO462" s="3"/>
      <c r="BP462" s="3"/>
      <c r="BQ462" s="3"/>
      <c r="BR462" s="3"/>
      <c r="BS462" s="3"/>
      <c r="BT462" s="3"/>
      <c r="BU462" s="3"/>
      <c r="BV462" s="3"/>
      <c r="BW462" s="3"/>
      <c r="BX462" s="3"/>
      <c r="BY462" s="3"/>
      <c r="BZ462" s="3"/>
      <c r="CA462" s="3"/>
      <c r="CB462" s="3"/>
      <c r="CC462" s="3"/>
    </row>
  </sheetData>
  <mergeCells count="15">
    <mergeCell ref="CB155:CC155"/>
    <mergeCell ref="C189:E189"/>
    <mergeCell ref="C192:E192"/>
    <mergeCell ref="B2:S2"/>
    <mergeCell ref="Y4:Z4"/>
    <mergeCell ref="AH155:AN155"/>
    <mergeCell ref="AP155:AS155"/>
    <mergeCell ref="AU155:AV155"/>
    <mergeCell ref="AX155:AY155"/>
    <mergeCell ref="BA155:BF155"/>
    <mergeCell ref="BH155:BL155"/>
    <mergeCell ref="BN155:BO155"/>
    <mergeCell ref="BQ155:BS155"/>
    <mergeCell ref="BU155:BW155"/>
    <mergeCell ref="BY155:BZ155"/>
  </mergeCells>
  <pageMargins left="0.7" right="0.7" top="0.75" bottom="0.75" header="0" footer="0"/>
  <pageSetup orientation="landscape"/>
  <drawing r:id="rId1"/>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outlinePr summaryBelow="0" summaryRight="0"/>
  </sheetPr>
  <dimension ref="A1:Z1000"/>
  <sheetViews>
    <sheetView workbookViewId="0"/>
  </sheetViews>
  <sheetFormatPr defaultColWidth="16.83203125" defaultRowHeight="15" customHeight="1" x14ac:dyDescent="0.2"/>
  <cols>
    <col min="1" max="6" width="16.83203125" customWidth="1"/>
  </cols>
  <sheetData>
    <row r="1" spans="1:26" ht="15" customHeight="1" x14ac:dyDescent="0.2">
      <c r="A1" s="4"/>
      <c r="B1" s="4"/>
      <c r="C1" s="4"/>
      <c r="D1" s="4"/>
      <c r="E1" s="4"/>
      <c r="F1" s="4"/>
      <c r="G1" s="4"/>
      <c r="H1" s="4"/>
      <c r="I1" s="4"/>
      <c r="J1" s="4"/>
      <c r="K1" s="4"/>
      <c r="L1" s="4"/>
      <c r="M1" s="4"/>
      <c r="N1" s="4"/>
      <c r="O1" s="4"/>
      <c r="P1" s="4"/>
      <c r="Q1" s="4"/>
      <c r="R1" s="4"/>
      <c r="S1" s="4"/>
      <c r="T1" s="4"/>
      <c r="U1" s="4"/>
      <c r="V1" s="4"/>
      <c r="W1" s="4"/>
      <c r="X1" s="4"/>
      <c r="Y1" s="4"/>
      <c r="Z1" s="4"/>
    </row>
    <row r="2" spans="1:26" ht="15" customHeight="1" x14ac:dyDescent="0.2">
      <c r="A2" s="4"/>
      <c r="B2" s="4"/>
      <c r="C2" s="4"/>
      <c r="D2" s="4"/>
      <c r="E2" s="4"/>
      <c r="F2" s="4"/>
      <c r="G2" s="4"/>
      <c r="H2" s="4"/>
      <c r="I2" s="4"/>
      <c r="J2" s="4"/>
      <c r="K2" s="4"/>
      <c r="L2" s="4"/>
      <c r="M2" s="4"/>
      <c r="N2" s="4"/>
      <c r="O2" s="4"/>
      <c r="P2" s="4"/>
      <c r="Q2" s="4"/>
      <c r="R2" s="4"/>
      <c r="S2" s="4"/>
      <c r="T2" s="4"/>
      <c r="U2" s="4"/>
      <c r="V2" s="4"/>
      <c r="W2" s="4"/>
      <c r="X2" s="4"/>
      <c r="Y2" s="4"/>
      <c r="Z2" s="4"/>
    </row>
    <row r="3" spans="1:26" ht="15" customHeight="1" x14ac:dyDescent="0.35">
      <c r="A3" s="1479"/>
      <c r="B3" s="1480" t="s">
        <v>1193</v>
      </c>
      <c r="C3" s="1481"/>
      <c r="D3" s="1481"/>
      <c r="E3" s="1481"/>
      <c r="F3" s="1481"/>
      <c r="G3" s="4"/>
      <c r="H3" s="4"/>
      <c r="I3" s="4"/>
      <c r="J3" s="4"/>
      <c r="K3" s="4"/>
      <c r="L3" s="4"/>
      <c r="M3" s="4"/>
      <c r="N3" s="4"/>
      <c r="O3" s="4"/>
      <c r="P3" s="4"/>
      <c r="Q3" s="4"/>
      <c r="R3" s="4"/>
      <c r="S3" s="4"/>
      <c r="T3" s="4"/>
      <c r="U3" s="4"/>
      <c r="V3" s="4"/>
      <c r="W3" s="4"/>
      <c r="X3" s="4"/>
      <c r="Y3" s="4"/>
      <c r="Z3" s="4"/>
    </row>
    <row r="4" spans="1:26" ht="15" customHeight="1" x14ac:dyDescent="0.2">
      <c r="A4" s="1479"/>
      <c r="B4" s="1401"/>
      <c r="C4" s="1484"/>
      <c r="D4" s="1484"/>
      <c r="E4" s="1484"/>
      <c r="F4" s="1484"/>
      <c r="G4" s="1484"/>
      <c r="H4" s="4"/>
      <c r="I4" s="4"/>
      <c r="J4" s="4"/>
      <c r="K4" s="4"/>
      <c r="L4" s="4"/>
      <c r="M4" s="4"/>
      <c r="N4" s="4"/>
      <c r="O4" s="4"/>
      <c r="P4" s="4"/>
      <c r="Q4" s="4"/>
      <c r="R4" s="4"/>
      <c r="S4" s="4"/>
      <c r="T4" s="4"/>
      <c r="U4" s="4"/>
      <c r="V4" s="4"/>
      <c r="W4" s="4"/>
      <c r="X4" s="4"/>
      <c r="Y4" s="4"/>
      <c r="Z4" s="4"/>
    </row>
    <row r="5" spans="1:26" ht="15" customHeight="1" x14ac:dyDescent="0.3">
      <c r="A5" s="1479"/>
      <c r="B5" s="1488" t="s">
        <v>835</v>
      </c>
      <c r="C5" s="1490"/>
      <c r="D5" s="1491" t="s">
        <v>1195</v>
      </c>
      <c r="E5" s="1491" t="s">
        <v>738</v>
      </c>
      <c r="F5" s="1491" t="s">
        <v>1172</v>
      </c>
      <c r="G5" s="1491" t="s">
        <v>1172</v>
      </c>
      <c r="H5" s="4"/>
      <c r="I5" s="4"/>
      <c r="J5" s="4"/>
      <c r="K5" s="4"/>
      <c r="L5" s="4"/>
      <c r="M5" s="4"/>
      <c r="N5" s="4"/>
      <c r="O5" s="4"/>
      <c r="P5" s="4"/>
      <c r="Q5" s="4"/>
      <c r="R5" s="4"/>
      <c r="S5" s="4"/>
      <c r="T5" s="4"/>
      <c r="U5" s="4"/>
      <c r="V5" s="4"/>
      <c r="W5" s="4"/>
      <c r="X5" s="4"/>
      <c r="Y5" s="4"/>
      <c r="Z5" s="4"/>
    </row>
    <row r="6" spans="1:26" ht="15" customHeight="1" x14ac:dyDescent="0.3">
      <c r="A6" s="1479"/>
      <c r="B6" s="1493"/>
      <c r="C6" s="1490"/>
      <c r="D6" s="1491" t="s">
        <v>1188</v>
      </c>
      <c r="E6" s="1491" t="s">
        <v>1196</v>
      </c>
      <c r="F6" s="1491" t="s">
        <v>1197</v>
      </c>
      <c r="G6" s="1491" t="s">
        <v>763</v>
      </c>
      <c r="H6" s="4"/>
      <c r="I6" s="4"/>
      <c r="J6" s="4"/>
      <c r="K6" s="4"/>
      <c r="L6" s="4"/>
      <c r="M6" s="4"/>
      <c r="N6" s="4"/>
      <c r="O6" s="4"/>
      <c r="P6" s="4"/>
      <c r="Q6" s="4"/>
      <c r="R6" s="4"/>
      <c r="S6" s="4"/>
      <c r="T6" s="4"/>
      <c r="U6" s="4"/>
      <c r="V6" s="4"/>
      <c r="W6" s="4"/>
      <c r="X6" s="4"/>
      <c r="Y6" s="4"/>
      <c r="Z6" s="4"/>
    </row>
    <row r="7" spans="1:26" ht="15" customHeight="1" x14ac:dyDescent="0.2">
      <c r="A7" s="1479"/>
      <c r="B7" s="1495"/>
      <c r="C7" s="1497"/>
      <c r="D7" s="1497"/>
      <c r="E7" s="1497"/>
      <c r="F7" s="1497"/>
      <c r="G7" s="1497"/>
      <c r="H7" s="4"/>
      <c r="I7" s="4"/>
      <c r="J7" s="4"/>
      <c r="K7" s="4"/>
      <c r="L7" s="4"/>
      <c r="M7" s="4"/>
      <c r="N7" s="4"/>
      <c r="O7" s="4"/>
      <c r="P7" s="4"/>
      <c r="Q7" s="4"/>
      <c r="R7" s="4"/>
      <c r="S7" s="4"/>
      <c r="T7" s="4"/>
      <c r="U7" s="4"/>
      <c r="V7" s="4"/>
      <c r="W7" s="4"/>
      <c r="X7" s="4"/>
      <c r="Y7" s="4"/>
      <c r="Z7" s="4"/>
    </row>
    <row r="8" spans="1:26" ht="15" customHeight="1" x14ac:dyDescent="0.3">
      <c r="A8" s="1479"/>
      <c r="B8" s="1500">
        <v>2011</v>
      </c>
      <c r="C8" s="1497"/>
      <c r="D8" s="1501">
        <v>8009</v>
      </c>
      <c r="E8" s="1503">
        <v>0.2</v>
      </c>
      <c r="F8" s="1506">
        <f>D8*E8*(44/12)</f>
        <v>5873.2666666666673</v>
      </c>
      <c r="G8" s="1507">
        <f>F8/1000000</f>
        <v>5.8732666666666674E-3</v>
      </c>
      <c r="H8" s="4"/>
      <c r="I8" s="4"/>
      <c r="J8" s="4"/>
      <c r="K8" s="4"/>
      <c r="L8" s="4"/>
      <c r="M8" s="4"/>
      <c r="N8" s="4"/>
      <c r="O8" s="4"/>
      <c r="P8" s="4"/>
      <c r="Q8" s="4"/>
      <c r="R8" s="4"/>
      <c r="S8" s="4"/>
      <c r="T8" s="4"/>
      <c r="U8" s="4"/>
      <c r="V8" s="4"/>
      <c r="W8" s="4"/>
      <c r="X8" s="4"/>
      <c r="Y8" s="4"/>
      <c r="Z8" s="4"/>
    </row>
    <row r="9" spans="1:26" ht="15" customHeight="1" x14ac:dyDescent="0.2">
      <c r="A9" s="1479"/>
      <c r="B9" s="1495"/>
      <c r="C9" s="1497"/>
      <c r="D9" s="1497"/>
      <c r="E9" s="1497"/>
      <c r="F9" s="1497"/>
      <c r="G9" s="1497"/>
      <c r="H9" s="4"/>
      <c r="I9" s="4"/>
      <c r="J9" s="4"/>
      <c r="K9" s="4"/>
      <c r="L9" s="4"/>
      <c r="M9" s="4"/>
      <c r="N9" s="4"/>
      <c r="O9" s="4"/>
      <c r="P9" s="4"/>
      <c r="Q9" s="4"/>
      <c r="R9" s="4"/>
      <c r="S9" s="4"/>
      <c r="T9" s="4"/>
      <c r="U9" s="4"/>
      <c r="V9" s="4"/>
      <c r="W9" s="4"/>
      <c r="X9" s="4"/>
      <c r="Y9" s="4"/>
      <c r="Z9" s="4"/>
    </row>
    <row r="10" spans="1:26" ht="15" customHeight="1" x14ac:dyDescent="0.2">
      <c r="A10" s="1479"/>
      <c r="B10" s="1495"/>
      <c r="C10" s="1497"/>
      <c r="D10" s="1497"/>
      <c r="E10" s="1497"/>
      <c r="F10" s="1497"/>
      <c r="G10" s="1497"/>
      <c r="H10" s="4"/>
      <c r="I10" s="4"/>
      <c r="J10" s="4"/>
      <c r="K10" s="4"/>
      <c r="L10" s="4"/>
      <c r="M10" s="4"/>
      <c r="N10" s="4"/>
      <c r="O10" s="4"/>
      <c r="P10" s="4"/>
      <c r="Q10" s="4"/>
      <c r="R10" s="4"/>
      <c r="S10" s="4"/>
      <c r="T10" s="4"/>
      <c r="U10" s="4"/>
      <c r="V10" s="4"/>
      <c r="W10" s="4"/>
      <c r="X10" s="4"/>
      <c r="Y10" s="4"/>
      <c r="Z10" s="4"/>
    </row>
    <row r="11" spans="1:26" ht="15" customHeight="1" x14ac:dyDescent="0.2">
      <c r="A11" s="1479"/>
      <c r="B11" s="1495"/>
      <c r="C11" s="1497"/>
      <c r="D11" s="1497"/>
      <c r="E11" s="1497"/>
      <c r="F11" s="1497"/>
      <c r="G11" s="1497"/>
      <c r="H11" s="4"/>
      <c r="I11" s="4"/>
      <c r="J11" s="4"/>
      <c r="K11" s="4"/>
      <c r="L11" s="4"/>
      <c r="M11" s="4"/>
      <c r="N11" s="4"/>
      <c r="O11" s="4"/>
      <c r="P11" s="4"/>
      <c r="Q11" s="4"/>
      <c r="R11" s="4"/>
      <c r="S11" s="4"/>
      <c r="T11" s="4"/>
      <c r="U11" s="4"/>
      <c r="V11" s="4"/>
      <c r="W11" s="4"/>
      <c r="X11" s="4"/>
      <c r="Y11" s="4"/>
      <c r="Z11" s="4"/>
    </row>
    <row r="12" spans="1:26" ht="15" customHeight="1" x14ac:dyDescent="0.2">
      <c r="A12" s="1479"/>
      <c r="B12" s="1495"/>
      <c r="C12" s="1497"/>
      <c r="D12" s="1497"/>
      <c r="E12" s="1497"/>
      <c r="F12" s="1497"/>
      <c r="G12" s="1497"/>
      <c r="H12" s="4"/>
      <c r="I12" s="4"/>
      <c r="J12" s="4"/>
      <c r="K12" s="4"/>
      <c r="L12" s="4"/>
      <c r="M12" s="4"/>
      <c r="N12" s="4"/>
      <c r="O12" s="4"/>
      <c r="P12" s="4"/>
      <c r="Q12" s="4"/>
      <c r="R12" s="4"/>
      <c r="S12" s="4"/>
      <c r="T12" s="4"/>
      <c r="U12" s="4"/>
      <c r="V12" s="4"/>
      <c r="W12" s="4"/>
      <c r="X12" s="4"/>
      <c r="Y12" s="4"/>
      <c r="Z12" s="4"/>
    </row>
    <row r="13" spans="1:26" ht="15" customHeight="1" x14ac:dyDescent="0.2">
      <c r="A13" s="1479"/>
      <c r="B13" s="2367" t="s">
        <v>1206</v>
      </c>
      <c r="C13" s="2368"/>
      <c r="D13" s="2368"/>
      <c r="E13" s="2368"/>
      <c r="F13" s="2368"/>
      <c r="G13" s="2313"/>
      <c r="H13" s="4"/>
      <c r="I13" s="4"/>
      <c r="J13" s="4"/>
      <c r="K13" s="4"/>
      <c r="L13" s="4"/>
      <c r="M13" s="4"/>
      <c r="N13" s="4"/>
      <c r="O13" s="4"/>
      <c r="P13" s="4"/>
      <c r="Q13" s="4"/>
      <c r="R13" s="4"/>
      <c r="S13" s="4"/>
      <c r="T13" s="4"/>
      <c r="U13" s="4"/>
      <c r="V13" s="4"/>
      <c r="W13" s="4"/>
      <c r="X13" s="4"/>
      <c r="Y13" s="4"/>
      <c r="Z13" s="4"/>
    </row>
    <row r="14" spans="1:26" ht="15" customHeight="1" x14ac:dyDescent="0.2">
      <c r="A14" s="4"/>
      <c r="B14" s="4"/>
      <c r="C14" s="4"/>
      <c r="D14" s="4"/>
      <c r="E14" s="4"/>
      <c r="F14" s="4"/>
      <c r="G14" s="4"/>
      <c r="H14" s="4"/>
      <c r="I14" s="4"/>
      <c r="J14" s="4"/>
      <c r="K14" s="4"/>
      <c r="L14" s="4"/>
      <c r="M14" s="4"/>
      <c r="N14" s="4"/>
      <c r="O14" s="4"/>
      <c r="P14" s="4"/>
      <c r="Q14" s="4"/>
      <c r="R14" s="4"/>
      <c r="S14" s="4"/>
      <c r="T14" s="4"/>
      <c r="U14" s="4"/>
      <c r="V14" s="4"/>
      <c r="W14" s="4"/>
      <c r="X14" s="4"/>
      <c r="Y14" s="4"/>
      <c r="Z14" s="4"/>
    </row>
    <row r="15" spans="1:26" ht="15" customHeight="1" x14ac:dyDescent="0.35">
      <c r="A15" s="1479"/>
      <c r="B15" s="1510" t="s">
        <v>1207</v>
      </c>
      <c r="C15" s="1511"/>
      <c r="D15" s="1511"/>
      <c r="E15" s="1511"/>
      <c r="F15" s="1511"/>
      <c r="G15" s="4"/>
      <c r="H15" s="4"/>
      <c r="I15" s="4"/>
      <c r="J15" s="4"/>
      <c r="K15" s="4"/>
      <c r="L15" s="4"/>
      <c r="M15" s="4"/>
      <c r="N15" s="4"/>
      <c r="O15" s="4"/>
      <c r="P15" s="4"/>
      <c r="Q15" s="4"/>
      <c r="R15" s="4"/>
      <c r="S15" s="4"/>
      <c r="T15" s="4"/>
      <c r="U15" s="4"/>
      <c r="V15" s="4"/>
      <c r="W15" s="4"/>
      <c r="X15" s="4"/>
      <c r="Y15" s="4"/>
      <c r="Z15" s="4"/>
    </row>
    <row r="16" spans="1:26" ht="15" customHeight="1" x14ac:dyDescent="0.2">
      <c r="A16" s="4"/>
      <c r="B16" s="1512"/>
      <c r="C16" s="1512"/>
      <c r="D16" s="1512"/>
      <c r="E16" s="1512"/>
      <c r="F16" s="1512"/>
      <c r="G16" s="1512"/>
      <c r="H16" s="4"/>
      <c r="I16" s="4"/>
      <c r="J16" s="4"/>
      <c r="K16" s="4"/>
      <c r="L16" s="4"/>
      <c r="M16" s="4"/>
      <c r="N16" s="4"/>
      <c r="O16" s="4"/>
      <c r="P16" s="4"/>
      <c r="Q16" s="4"/>
      <c r="R16" s="4"/>
      <c r="S16" s="4"/>
      <c r="T16" s="4"/>
      <c r="U16" s="4"/>
      <c r="V16" s="4"/>
      <c r="W16" s="4"/>
      <c r="X16" s="4"/>
      <c r="Y16" s="4"/>
      <c r="Z16" s="4"/>
    </row>
    <row r="17" spans="1:26" ht="15" customHeight="1" x14ac:dyDescent="0.25">
      <c r="A17" s="1479"/>
      <c r="B17" s="1513" t="s">
        <v>835</v>
      </c>
      <c r="C17" s="1514"/>
      <c r="D17" s="1515" t="s">
        <v>1208</v>
      </c>
      <c r="E17" s="1515" t="s">
        <v>738</v>
      </c>
      <c r="F17" s="1515" t="s">
        <v>1172</v>
      </c>
      <c r="G17" s="1515" t="s">
        <v>1209</v>
      </c>
      <c r="H17" s="4"/>
      <c r="I17" s="4"/>
      <c r="J17" s="4"/>
      <c r="K17" s="4"/>
      <c r="L17" s="4"/>
      <c r="M17" s="4"/>
      <c r="N17" s="4"/>
      <c r="O17" s="4"/>
      <c r="P17" s="4"/>
      <c r="Q17" s="4"/>
      <c r="R17" s="4"/>
      <c r="S17" s="4"/>
      <c r="T17" s="4"/>
      <c r="U17" s="4"/>
      <c r="V17" s="4"/>
      <c r="W17" s="4"/>
      <c r="X17" s="4"/>
      <c r="Y17" s="4"/>
      <c r="Z17" s="4"/>
    </row>
    <row r="18" spans="1:26" ht="15" customHeight="1" x14ac:dyDescent="0.25">
      <c r="A18" s="1479"/>
      <c r="B18" s="1516"/>
      <c r="C18" s="1517"/>
      <c r="D18" s="1518" t="s">
        <v>1210</v>
      </c>
      <c r="E18" s="1518" t="s">
        <v>1211</v>
      </c>
      <c r="F18" s="1518" t="s">
        <v>1197</v>
      </c>
      <c r="G18" s="1518" t="s">
        <v>763</v>
      </c>
      <c r="H18" s="4"/>
      <c r="I18" s="4"/>
      <c r="J18" s="4"/>
      <c r="K18" s="4"/>
      <c r="L18" s="4"/>
      <c r="M18" s="4"/>
      <c r="N18" s="4"/>
      <c r="O18" s="4"/>
      <c r="P18" s="4"/>
      <c r="Q18" s="4"/>
      <c r="R18" s="4"/>
      <c r="S18" s="4"/>
      <c r="T18" s="4"/>
      <c r="U18" s="4"/>
      <c r="V18" s="4"/>
      <c r="W18" s="4"/>
      <c r="X18" s="4"/>
      <c r="Y18" s="4"/>
      <c r="Z18" s="4"/>
    </row>
    <row r="19" spans="1:26" ht="15" customHeight="1" x14ac:dyDescent="0.2">
      <c r="A19" s="1479"/>
      <c r="B19" s="1495"/>
      <c r="C19" s="1497"/>
      <c r="D19" s="1497"/>
      <c r="E19" s="1497"/>
      <c r="F19" s="1497"/>
      <c r="G19" s="1519"/>
      <c r="H19" s="4"/>
      <c r="I19" s="4"/>
      <c r="J19" s="4"/>
      <c r="K19" s="4"/>
      <c r="L19" s="4"/>
      <c r="M19" s="4"/>
      <c r="N19" s="4"/>
      <c r="O19" s="4"/>
      <c r="P19" s="4"/>
      <c r="Q19" s="4"/>
      <c r="R19" s="4"/>
      <c r="S19" s="4"/>
      <c r="T19" s="4"/>
      <c r="U19" s="4"/>
      <c r="V19" s="4"/>
      <c r="W19" s="4"/>
      <c r="X19" s="4"/>
      <c r="Y19" s="4"/>
      <c r="Z19" s="4"/>
    </row>
    <row r="20" spans="1:26" ht="15" customHeight="1" x14ac:dyDescent="0.25">
      <c r="A20" s="1479"/>
      <c r="B20" s="1520">
        <v>2011</v>
      </c>
      <c r="C20" s="1521" t="s">
        <v>1103</v>
      </c>
      <c r="D20" s="1522">
        <v>407.82</v>
      </c>
      <c r="E20" s="1503">
        <v>5.8999999999999997E-2</v>
      </c>
      <c r="F20" s="1523">
        <f t="shared" ref="F20:F21" si="0">D20*E20*(44/12)*1000</f>
        <v>88225.06</v>
      </c>
      <c r="G20" s="1524">
        <f t="shared" ref="G20:G21" si="1">F20/1000000</f>
        <v>8.8225059999999994E-2</v>
      </c>
      <c r="H20" s="4"/>
      <c r="I20" s="4"/>
      <c r="J20" s="4"/>
      <c r="K20" s="4"/>
      <c r="L20" s="4"/>
      <c r="M20" s="4"/>
      <c r="N20" s="4"/>
      <c r="O20" s="4"/>
      <c r="P20" s="4"/>
      <c r="Q20" s="4"/>
      <c r="R20" s="4"/>
      <c r="S20" s="4"/>
      <c r="T20" s="4"/>
      <c r="U20" s="4"/>
      <c r="V20" s="4"/>
      <c r="W20" s="4"/>
      <c r="X20" s="4"/>
      <c r="Y20" s="4"/>
      <c r="Z20" s="4"/>
    </row>
    <row r="21" spans="1:26" ht="15" customHeight="1" x14ac:dyDescent="0.25">
      <c r="A21" s="1479"/>
      <c r="B21" s="1520">
        <v>2011</v>
      </c>
      <c r="C21" s="1521" t="s">
        <v>1106</v>
      </c>
      <c r="D21" s="1522">
        <v>68.3</v>
      </c>
      <c r="E21" s="1503">
        <v>6.4000000000000001E-2</v>
      </c>
      <c r="F21" s="1523">
        <f t="shared" si="0"/>
        <v>16027.733333333334</v>
      </c>
      <c r="G21" s="1524">
        <f t="shared" si="1"/>
        <v>1.6027733333333332E-2</v>
      </c>
      <c r="H21" s="4"/>
      <c r="I21" s="4"/>
      <c r="J21" s="4"/>
      <c r="K21" s="4"/>
      <c r="L21" s="4"/>
      <c r="M21" s="4"/>
      <c r="N21" s="4"/>
      <c r="O21" s="4"/>
      <c r="P21" s="4"/>
      <c r="Q21" s="4"/>
      <c r="R21" s="4"/>
      <c r="S21" s="4"/>
      <c r="T21" s="4"/>
      <c r="U21" s="4"/>
      <c r="V21" s="4"/>
      <c r="W21" s="4"/>
      <c r="X21" s="4"/>
      <c r="Y21" s="4"/>
      <c r="Z21" s="4"/>
    </row>
    <row r="22" spans="1:26" ht="15" customHeight="1" x14ac:dyDescent="0.2">
      <c r="A22" s="4"/>
      <c r="B22" s="4"/>
      <c r="C22" s="4"/>
      <c r="D22" s="4"/>
      <c r="E22" s="4"/>
      <c r="F22" s="1497"/>
      <c r="G22" s="1525">
        <f>G20+G21</f>
        <v>0.10425279333333333</v>
      </c>
      <c r="H22" s="4"/>
      <c r="I22" s="4"/>
      <c r="J22" s="4"/>
      <c r="K22" s="4"/>
      <c r="L22" s="4"/>
      <c r="M22" s="4"/>
      <c r="N22" s="4"/>
      <c r="O22" s="4"/>
      <c r="P22" s="4"/>
      <c r="Q22" s="4"/>
      <c r="R22" s="4"/>
      <c r="S22" s="4"/>
      <c r="T22" s="4"/>
      <c r="U22" s="4"/>
      <c r="V22" s="4"/>
      <c r="W22" s="4"/>
      <c r="X22" s="4"/>
      <c r="Y22" s="4"/>
      <c r="Z22" s="4"/>
    </row>
    <row r="23" spans="1:26" ht="15" customHeight="1" x14ac:dyDescent="0.2">
      <c r="A23" s="4"/>
      <c r="B23" s="4"/>
      <c r="C23" s="4"/>
      <c r="D23" s="4"/>
      <c r="E23" s="4"/>
      <c r="F23" s="4"/>
      <c r="G23" s="4"/>
      <c r="H23" s="4"/>
      <c r="I23" s="4"/>
      <c r="J23" s="4"/>
      <c r="K23" s="4"/>
      <c r="L23" s="4"/>
      <c r="M23" s="4"/>
      <c r="N23" s="4"/>
      <c r="O23" s="4"/>
      <c r="P23" s="4"/>
      <c r="Q23" s="4"/>
      <c r="R23" s="4"/>
      <c r="S23" s="4"/>
      <c r="T23" s="4"/>
      <c r="U23" s="4"/>
      <c r="V23" s="4"/>
      <c r="W23" s="4"/>
      <c r="X23" s="4"/>
      <c r="Y23" s="4"/>
      <c r="Z23" s="4"/>
    </row>
    <row r="24" spans="1:26" ht="15" customHeight="1" x14ac:dyDescent="0.2">
      <c r="A24" s="4"/>
      <c r="B24" s="4"/>
      <c r="C24" s="4"/>
      <c r="D24" s="4"/>
      <c r="E24" s="4"/>
      <c r="F24" s="4"/>
      <c r="G24" s="4"/>
      <c r="H24" s="4"/>
      <c r="I24" s="4"/>
      <c r="J24" s="4"/>
      <c r="K24" s="4"/>
      <c r="L24" s="4"/>
      <c r="M24" s="4"/>
      <c r="N24" s="4"/>
      <c r="O24" s="4"/>
      <c r="P24" s="4"/>
      <c r="Q24" s="4"/>
      <c r="R24" s="4"/>
      <c r="S24" s="4"/>
      <c r="T24" s="4"/>
      <c r="U24" s="4"/>
      <c r="V24" s="4"/>
      <c r="W24" s="4"/>
      <c r="X24" s="4"/>
      <c r="Y24" s="4"/>
      <c r="Z24" s="4"/>
    </row>
    <row r="25" spans="1:26" ht="15" customHeight="1" x14ac:dyDescent="0.2">
      <c r="A25" s="4"/>
      <c r="B25" s="4"/>
      <c r="C25" s="4"/>
      <c r="D25" s="4"/>
      <c r="E25" s="4"/>
      <c r="F25" s="4"/>
      <c r="G25" s="4"/>
      <c r="H25" s="4"/>
      <c r="I25" s="4"/>
      <c r="J25" s="4"/>
      <c r="K25" s="4"/>
      <c r="L25" s="4"/>
      <c r="M25" s="4"/>
      <c r="N25" s="4"/>
      <c r="O25" s="4"/>
      <c r="P25" s="4"/>
      <c r="Q25" s="4"/>
      <c r="R25" s="4"/>
      <c r="S25" s="4"/>
      <c r="T25" s="4"/>
      <c r="U25" s="4"/>
      <c r="V25" s="4"/>
      <c r="W25" s="4"/>
      <c r="X25" s="4"/>
      <c r="Y25" s="4"/>
      <c r="Z25" s="4"/>
    </row>
    <row r="26" spans="1:26" ht="15" customHeight="1" x14ac:dyDescent="0.2">
      <c r="A26" s="4"/>
      <c r="B26" s="4"/>
      <c r="C26" s="4"/>
      <c r="D26" s="4"/>
      <c r="E26" s="4"/>
      <c r="F26" s="4"/>
      <c r="G26" s="4"/>
      <c r="H26" s="4"/>
      <c r="I26" s="4"/>
      <c r="J26" s="4"/>
      <c r="K26" s="4"/>
      <c r="L26" s="4"/>
      <c r="M26" s="4"/>
      <c r="N26" s="4"/>
      <c r="O26" s="4"/>
      <c r="P26" s="4"/>
      <c r="Q26" s="4"/>
      <c r="R26" s="4"/>
      <c r="S26" s="4"/>
      <c r="T26" s="4"/>
      <c r="U26" s="4"/>
      <c r="V26" s="4"/>
      <c r="W26" s="4"/>
      <c r="X26" s="4"/>
      <c r="Y26" s="4"/>
      <c r="Z26" s="4"/>
    </row>
    <row r="27" spans="1:26" ht="15" customHeight="1" x14ac:dyDescent="0.2">
      <c r="A27" s="4"/>
      <c r="B27" s="4"/>
      <c r="C27" s="4"/>
      <c r="D27" s="4"/>
      <c r="E27" s="4"/>
      <c r="F27" s="4"/>
      <c r="G27" s="4"/>
      <c r="H27" s="4"/>
      <c r="I27" s="4"/>
      <c r="J27" s="4"/>
      <c r="K27" s="4"/>
      <c r="L27" s="4"/>
      <c r="M27" s="4"/>
      <c r="N27" s="4"/>
      <c r="O27" s="4"/>
      <c r="P27" s="4"/>
      <c r="Q27" s="4"/>
      <c r="R27" s="4"/>
      <c r="S27" s="4"/>
      <c r="T27" s="4"/>
      <c r="U27" s="4"/>
      <c r="V27" s="4"/>
      <c r="W27" s="4"/>
      <c r="X27" s="4"/>
      <c r="Y27" s="4"/>
      <c r="Z27" s="4"/>
    </row>
    <row r="28" spans="1:26" ht="15" customHeight="1" x14ac:dyDescent="0.2">
      <c r="A28" s="4"/>
      <c r="B28" s="4"/>
      <c r="C28" s="4"/>
      <c r="D28" s="4"/>
      <c r="E28" s="4"/>
      <c r="F28" s="4"/>
      <c r="G28" s="4"/>
      <c r="H28" s="4"/>
      <c r="I28" s="4"/>
      <c r="J28" s="4"/>
      <c r="K28" s="4"/>
      <c r="L28" s="4"/>
      <c r="M28" s="4"/>
      <c r="N28" s="4"/>
      <c r="O28" s="4"/>
      <c r="P28" s="4"/>
      <c r="Q28" s="4"/>
      <c r="R28" s="4"/>
      <c r="S28" s="4"/>
      <c r="T28" s="4"/>
      <c r="U28" s="4"/>
      <c r="V28" s="4"/>
      <c r="W28" s="4"/>
      <c r="X28" s="4"/>
      <c r="Y28" s="4"/>
      <c r="Z28" s="4"/>
    </row>
    <row r="29" spans="1:26" ht="15" customHeight="1" x14ac:dyDescent="0.2">
      <c r="A29" s="4"/>
      <c r="B29" s="4"/>
      <c r="C29" s="4"/>
      <c r="D29" s="4"/>
      <c r="E29" s="4"/>
      <c r="F29" s="4"/>
      <c r="G29" s="4"/>
      <c r="H29" s="4"/>
      <c r="I29" s="4"/>
      <c r="J29" s="4"/>
      <c r="K29" s="4"/>
      <c r="L29" s="4"/>
      <c r="M29" s="4"/>
      <c r="N29" s="4"/>
      <c r="O29" s="4"/>
      <c r="P29" s="4"/>
      <c r="Q29" s="4"/>
      <c r="R29" s="4"/>
      <c r="S29" s="4"/>
      <c r="T29" s="4"/>
      <c r="U29" s="4"/>
      <c r="V29" s="4"/>
      <c r="W29" s="4"/>
      <c r="X29" s="4"/>
      <c r="Y29" s="4"/>
      <c r="Z29" s="4"/>
    </row>
    <row r="30" spans="1:26" ht="15" customHeight="1" x14ac:dyDescent="0.2">
      <c r="A30" s="4"/>
      <c r="B30" s="4"/>
      <c r="C30" s="4"/>
      <c r="D30" s="4"/>
      <c r="E30" s="4"/>
      <c r="F30" s="4"/>
      <c r="G30" s="4"/>
      <c r="H30" s="4"/>
      <c r="I30" s="4"/>
      <c r="J30" s="4"/>
      <c r="K30" s="4"/>
      <c r="L30" s="4"/>
      <c r="M30" s="4"/>
      <c r="N30" s="4"/>
      <c r="O30" s="4"/>
      <c r="P30" s="4"/>
      <c r="Q30" s="4"/>
      <c r="R30" s="4"/>
      <c r="S30" s="4"/>
      <c r="T30" s="4"/>
      <c r="U30" s="4"/>
      <c r="V30" s="4"/>
      <c r="W30" s="4"/>
      <c r="X30" s="4"/>
      <c r="Y30" s="4"/>
      <c r="Z30" s="4"/>
    </row>
    <row r="31" spans="1:26" ht="15" customHeight="1" x14ac:dyDescent="0.2">
      <c r="A31" s="4"/>
      <c r="B31" s="4"/>
      <c r="C31" s="4"/>
      <c r="D31" s="4"/>
      <c r="E31" s="4"/>
      <c r="F31" s="4"/>
      <c r="G31" s="4"/>
      <c r="H31" s="4"/>
      <c r="I31" s="4"/>
      <c r="J31" s="4"/>
      <c r="K31" s="4"/>
      <c r="L31" s="4"/>
      <c r="M31" s="4"/>
      <c r="N31" s="4"/>
      <c r="O31" s="4"/>
      <c r="P31" s="4"/>
      <c r="Q31" s="4"/>
      <c r="R31" s="4"/>
      <c r="S31" s="4"/>
      <c r="T31" s="4"/>
      <c r="U31" s="4"/>
      <c r="V31" s="4"/>
      <c r="W31" s="4"/>
      <c r="X31" s="4"/>
      <c r="Y31" s="4"/>
      <c r="Z31" s="4"/>
    </row>
    <row r="32" spans="1:26" ht="15" customHeight="1" x14ac:dyDescent="0.2">
      <c r="A32" s="4"/>
      <c r="B32" s="4"/>
      <c r="C32" s="4"/>
      <c r="D32" s="4"/>
      <c r="E32" s="4"/>
      <c r="F32" s="4"/>
      <c r="G32" s="4"/>
      <c r="H32" s="4"/>
      <c r="I32" s="4"/>
      <c r="J32" s="4"/>
      <c r="K32" s="4"/>
      <c r="L32" s="4"/>
      <c r="M32" s="4"/>
      <c r="N32" s="4"/>
      <c r="O32" s="4"/>
      <c r="P32" s="4"/>
      <c r="Q32" s="4"/>
      <c r="R32" s="4"/>
      <c r="S32" s="4"/>
      <c r="T32" s="4"/>
      <c r="U32" s="4"/>
      <c r="V32" s="4"/>
      <c r="W32" s="4"/>
      <c r="X32" s="4"/>
      <c r="Y32" s="4"/>
      <c r="Z32" s="4"/>
    </row>
    <row r="33" spans="1:26" ht="15" customHeight="1" x14ac:dyDescent="0.2">
      <c r="A33" s="4"/>
      <c r="B33" s="4"/>
      <c r="C33" s="4"/>
      <c r="D33" s="4"/>
      <c r="E33" s="4"/>
      <c r="F33" s="4"/>
      <c r="G33" s="4"/>
      <c r="H33" s="4"/>
      <c r="I33" s="4"/>
      <c r="J33" s="4"/>
      <c r="K33" s="4"/>
      <c r="L33" s="4"/>
      <c r="M33" s="4"/>
      <c r="N33" s="4"/>
      <c r="O33" s="4"/>
      <c r="P33" s="4"/>
      <c r="Q33" s="4"/>
      <c r="R33" s="4"/>
      <c r="S33" s="4"/>
      <c r="T33" s="4"/>
      <c r="U33" s="4"/>
      <c r="V33" s="4"/>
      <c r="W33" s="4"/>
      <c r="X33" s="4"/>
      <c r="Y33" s="4"/>
      <c r="Z33" s="4"/>
    </row>
    <row r="34" spans="1:26" ht="15" customHeight="1" x14ac:dyDescent="0.2">
      <c r="A34" s="4"/>
      <c r="B34" s="4"/>
      <c r="C34" s="4"/>
      <c r="D34" s="4"/>
      <c r="E34" s="4"/>
      <c r="F34" s="4"/>
      <c r="G34" s="4"/>
      <c r="H34" s="4"/>
      <c r="I34" s="4"/>
      <c r="J34" s="4"/>
      <c r="K34" s="4"/>
      <c r="L34" s="4"/>
      <c r="M34" s="4"/>
      <c r="N34" s="4"/>
      <c r="O34" s="4"/>
      <c r="P34" s="4"/>
      <c r="Q34" s="4"/>
      <c r="R34" s="4"/>
      <c r="S34" s="4"/>
      <c r="T34" s="4"/>
      <c r="U34" s="4"/>
      <c r="V34" s="4"/>
      <c r="W34" s="4"/>
      <c r="X34" s="4"/>
      <c r="Y34" s="4"/>
      <c r="Z34" s="4"/>
    </row>
    <row r="35" spans="1:26" ht="15" customHeight="1" x14ac:dyDescent="0.2">
      <c r="A35" s="4"/>
      <c r="B35" s="4"/>
      <c r="C35" s="4"/>
      <c r="D35" s="4"/>
      <c r="E35" s="4"/>
      <c r="F35" s="4"/>
      <c r="G35" s="4"/>
      <c r="H35" s="4"/>
      <c r="I35" s="4"/>
      <c r="J35" s="4"/>
      <c r="K35" s="4"/>
      <c r="L35" s="4"/>
      <c r="M35" s="4"/>
      <c r="N35" s="4"/>
      <c r="O35" s="4"/>
      <c r="P35" s="4"/>
      <c r="Q35" s="4"/>
      <c r="R35" s="4"/>
      <c r="S35" s="4"/>
      <c r="T35" s="4"/>
      <c r="U35" s="4"/>
      <c r="V35" s="4"/>
      <c r="W35" s="4"/>
      <c r="X35" s="4"/>
      <c r="Y35" s="4"/>
      <c r="Z35" s="4"/>
    </row>
    <row r="36" spans="1:26" ht="15" customHeight="1" x14ac:dyDescent="0.2">
      <c r="A36" s="4"/>
      <c r="B36" s="4"/>
      <c r="C36" s="4"/>
      <c r="D36" s="4"/>
      <c r="E36" s="4"/>
      <c r="F36" s="4"/>
      <c r="G36" s="4"/>
      <c r="H36" s="4"/>
      <c r="I36" s="4"/>
      <c r="J36" s="4"/>
      <c r="K36" s="4"/>
      <c r="L36" s="4"/>
      <c r="M36" s="4"/>
      <c r="N36" s="4"/>
      <c r="O36" s="4"/>
      <c r="P36" s="4"/>
      <c r="Q36" s="4"/>
      <c r="R36" s="4"/>
      <c r="S36" s="4"/>
      <c r="T36" s="4"/>
      <c r="U36" s="4"/>
      <c r="V36" s="4"/>
      <c r="W36" s="4"/>
      <c r="X36" s="4"/>
      <c r="Y36" s="4"/>
      <c r="Z36" s="4"/>
    </row>
    <row r="37" spans="1:26" ht="15" customHeight="1" x14ac:dyDescent="0.2">
      <c r="A37" s="4"/>
      <c r="B37" s="4"/>
      <c r="C37" s="4"/>
      <c r="D37" s="4"/>
      <c r="E37" s="4"/>
      <c r="F37" s="4"/>
      <c r="G37" s="4"/>
      <c r="H37" s="4"/>
      <c r="I37" s="4"/>
      <c r="J37" s="4"/>
      <c r="K37" s="4"/>
      <c r="L37" s="4"/>
      <c r="M37" s="4"/>
      <c r="N37" s="4"/>
      <c r="O37" s="4"/>
      <c r="P37" s="4"/>
      <c r="Q37" s="4"/>
      <c r="R37" s="4"/>
      <c r="S37" s="4"/>
      <c r="T37" s="4"/>
      <c r="U37" s="4"/>
      <c r="V37" s="4"/>
      <c r="W37" s="4"/>
      <c r="X37" s="4"/>
      <c r="Y37" s="4"/>
      <c r="Z37" s="4"/>
    </row>
    <row r="38" spans="1:26" ht="15" customHeight="1" x14ac:dyDescent="0.2">
      <c r="A38" s="4"/>
      <c r="B38" s="4"/>
      <c r="C38" s="4"/>
      <c r="D38" s="4"/>
      <c r="E38" s="4"/>
      <c r="F38" s="4"/>
      <c r="G38" s="4"/>
      <c r="H38" s="4"/>
      <c r="I38" s="4"/>
      <c r="J38" s="4"/>
      <c r="K38" s="4"/>
      <c r="L38" s="4"/>
      <c r="M38" s="4"/>
      <c r="N38" s="4"/>
      <c r="O38" s="4"/>
      <c r="P38" s="4"/>
      <c r="Q38" s="4"/>
      <c r="R38" s="4"/>
      <c r="S38" s="4"/>
      <c r="T38" s="4"/>
      <c r="U38" s="4"/>
      <c r="V38" s="4"/>
      <c r="W38" s="4"/>
      <c r="X38" s="4"/>
      <c r="Y38" s="4"/>
      <c r="Z38" s="4"/>
    </row>
    <row r="39" spans="1:26" ht="15" customHeight="1" x14ac:dyDescent="0.2">
      <c r="A39" s="4"/>
      <c r="B39" s="4"/>
      <c r="C39" s="4"/>
      <c r="D39" s="4"/>
      <c r="E39" s="4"/>
      <c r="F39" s="4"/>
      <c r="G39" s="4"/>
      <c r="H39" s="4"/>
      <c r="I39" s="4"/>
      <c r="J39" s="4"/>
      <c r="K39" s="4"/>
      <c r="L39" s="4"/>
      <c r="M39" s="4"/>
      <c r="N39" s="4"/>
      <c r="O39" s="4"/>
      <c r="P39" s="4"/>
      <c r="Q39" s="4"/>
      <c r="R39" s="4"/>
      <c r="S39" s="4"/>
      <c r="T39" s="4"/>
      <c r="U39" s="4"/>
      <c r="V39" s="4"/>
      <c r="W39" s="4"/>
      <c r="X39" s="4"/>
      <c r="Y39" s="4"/>
      <c r="Z39" s="4"/>
    </row>
    <row r="40" spans="1:26" ht="15" customHeight="1" x14ac:dyDescent="0.2">
      <c r="A40" s="4"/>
      <c r="B40" s="4"/>
      <c r="C40" s="4"/>
      <c r="D40" s="4"/>
      <c r="E40" s="4"/>
      <c r="F40" s="4"/>
      <c r="G40" s="4"/>
      <c r="H40" s="4"/>
      <c r="I40" s="4"/>
      <c r="J40" s="4"/>
      <c r="K40" s="4"/>
      <c r="L40" s="4"/>
      <c r="M40" s="4"/>
      <c r="N40" s="4"/>
      <c r="O40" s="4"/>
      <c r="P40" s="4"/>
      <c r="Q40" s="4"/>
      <c r="R40" s="4"/>
      <c r="S40" s="4"/>
      <c r="T40" s="4"/>
      <c r="U40" s="4"/>
      <c r="V40" s="4"/>
      <c r="W40" s="4"/>
      <c r="X40" s="4"/>
      <c r="Y40" s="4"/>
      <c r="Z40" s="4"/>
    </row>
    <row r="41" spans="1:26" ht="15" customHeight="1" x14ac:dyDescent="0.2">
      <c r="A41" s="4"/>
      <c r="B41" s="4"/>
      <c r="C41" s="4"/>
      <c r="D41" s="4"/>
      <c r="E41" s="4"/>
      <c r="F41" s="4"/>
      <c r="G41" s="4"/>
      <c r="H41" s="4"/>
      <c r="I41" s="4"/>
      <c r="J41" s="4"/>
      <c r="K41" s="4"/>
      <c r="L41" s="4"/>
      <c r="M41" s="4"/>
      <c r="N41" s="4"/>
      <c r="O41" s="4"/>
      <c r="P41" s="4"/>
      <c r="Q41" s="4"/>
      <c r="R41" s="4"/>
      <c r="S41" s="4"/>
      <c r="T41" s="4"/>
      <c r="U41" s="4"/>
      <c r="V41" s="4"/>
      <c r="W41" s="4"/>
      <c r="X41" s="4"/>
      <c r="Y41" s="4"/>
      <c r="Z41" s="4"/>
    </row>
    <row r="42" spans="1:26" ht="15" customHeight="1" x14ac:dyDescent="0.2">
      <c r="A42" s="4"/>
      <c r="B42" s="4"/>
      <c r="C42" s="4"/>
      <c r="D42" s="4"/>
      <c r="E42" s="4"/>
      <c r="F42" s="4"/>
      <c r="G42" s="4"/>
      <c r="H42" s="4"/>
      <c r="I42" s="4"/>
      <c r="J42" s="4"/>
      <c r="K42" s="4"/>
      <c r="L42" s="4"/>
      <c r="M42" s="4"/>
      <c r="N42" s="4"/>
      <c r="O42" s="4"/>
      <c r="P42" s="4"/>
      <c r="Q42" s="4"/>
      <c r="R42" s="4"/>
      <c r="S42" s="4"/>
      <c r="T42" s="4"/>
      <c r="U42" s="4"/>
      <c r="V42" s="4"/>
      <c r="W42" s="4"/>
      <c r="X42" s="4"/>
      <c r="Y42" s="4"/>
      <c r="Z42" s="4"/>
    </row>
    <row r="43" spans="1:26" ht="15" customHeight="1" x14ac:dyDescent="0.2">
      <c r="A43" s="4"/>
      <c r="B43" s="4"/>
      <c r="C43" s="4"/>
      <c r="D43" s="4"/>
      <c r="E43" s="4"/>
      <c r="F43" s="4"/>
      <c r="G43" s="4"/>
      <c r="H43" s="4"/>
      <c r="I43" s="4"/>
      <c r="J43" s="4"/>
      <c r="K43" s="4"/>
      <c r="L43" s="4"/>
      <c r="M43" s="4"/>
      <c r="N43" s="4"/>
      <c r="O43" s="4"/>
      <c r="P43" s="4"/>
      <c r="Q43" s="4"/>
      <c r="R43" s="4"/>
      <c r="S43" s="4"/>
      <c r="T43" s="4"/>
      <c r="U43" s="4"/>
      <c r="V43" s="4"/>
      <c r="W43" s="4"/>
      <c r="X43" s="4"/>
      <c r="Y43" s="4"/>
      <c r="Z43" s="4"/>
    </row>
    <row r="44" spans="1:26" ht="15" customHeight="1" x14ac:dyDescent="0.2">
      <c r="A44" s="4"/>
      <c r="B44" s="4"/>
      <c r="C44" s="4"/>
      <c r="D44" s="4"/>
      <c r="E44" s="4"/>
      <c r="F44" s="4"/>
      <c r="G44" s="4"/>
      <c r="H44" s="4"/>
      <c r="I44" s="4"/>
      <c r="J44" s="4"/>
      <c r="K44" s="4"/>
      <c r="L44" s="4"/>
      <c r="M44" s="4"/>
      <c r="N44" s="4"/>
      <c r="O44" s="4"/>
      <c r="P44" s="4"/>
      <c r="Q44" s="4"/>
      <c r="R44" s="4"/>
      <c r="S44" s="4"/>
      <c r="T44" s="4"/>
      <c r="U44" s="4"/>
      <c r="V44" s="4"/>
      <c r="W44" s="4"/>
      <c r="X44" s="4"/>
      <c r="Y44" s="4"/>
      <c r="Z44" s="4"/>
    </row>
    <row r="45" spans="1:26" ht="15" customHeight="1" x14ac:dyDescent="0.2">
      <c r="A45" s="4"/>
      <c r="B45" s="4"/>
      <c r="C45" s="4"/>
      <c r="D45" s="4"/>
      <c r="E45" s="4"/>
      <c r="F45" s="4"/>
      <c r="G45" s="4"/>
      <c r="H45" s="4"/>
      <c r="I45" s="4"/>
      <c r="J45" s="4"/>
      <c r="K45" s="4"/>
      <c r="L45" s="4"/>
      <c r="M45" s="4"/>
      <c r="N45" s="4"/>
      <c r="O45" s="4"/>
      <c r="P45" s="4"/>
      <c r="Q45" s="4"/>
      <c r="R45" s="4"/>
      <c r="S45" s="4"/>
      <c r="T45" s="4"/>
      <c r="U45" s="4"/>
      <c r="V45" s="4"/>
      <c r="W45" s="4"/>
      <c r="X45" s="4"/>
      <c r="Y45" s="4"/>
      <c r="Z45" s="4"/>
    </row>
    <row r="46" spans="1:26" ht="15" customHeight="1" x14ac:dyDescent="0.2">
      <c r="A46" s="4"/>
      <c r="B46" s="4"/>
      <c r="C46" s="4"/>
      <c r="D46" s="4"/>
      <c r="E46" s="4"/>
      <c r="F46" s="4"/>
      <c r="G46" s="4"/>
      <c r="H46" s="4"/>
      <c r="I46" s="4"/>
      <c r="J46" s="4"/>
      <c r="K46" s="4"/>
      <c r="L46" s="4"/>
      <c r="M46" s="4"/>
      <c r="N46" s="4"/>
      <c r="O46" s="4"/>
      <c r="P46" s="4"/>
      <c r="Q46" s="4"/>
      <c r="R46" s="4"/>
      <c r="S46" s="4"/>
      <c r="T46" s="4"/>
      <c r="U46" s="4"/>
      <c r="V46" s="4"/>
      <c r="W46" s="4"/>
      <c r="X46" s="4"/>
      <c r="Y46" s="4"/>
      <c r="Z46" s="4"/>
    </row>
    <row r="47" spans="1:26" ht="15" customHeight="1" x14ac:dyDescent="0.2">
      <c r="A47" s="4"/>
      <c r="B47" s="4"/>
      <c r="C47" s="4"/>
      <c r="D47" s="4"/>
      <c r="E47" s="4"/>
      <c r="F47" s="4"/>
      <c r="G47" s="4"/>
      <c r="H47" s="4"/>
      <c r="I47" s="4"/>
      <c r="J47" s="4"/>
      <c r="K47" s="4"/>
      <c r="L47" s="4"/>
      <c r="M47" s="4"/>
      <c r="N47" s="4"/>
      <c r="O47" s="4"/>
      <c r="P47" s="4"/>
      <c r="Q47" s="4"/>
      <c r="R47" s="4"/>
      <c r="S47" s="4"/>
      <c r="T47" s="4"/>
      <c r="U47" s="4"/>
      <c r="V47" s="4"/>
      <c r="W47" s="4"/>
      <c r="X47" s="4"/>
      <c r="Y47" s="4"/>
      <c r="Z47" s="4"/>
    </row>
    <row r="48" spans="1:26" ht="15" customHeight="1" x14ac:dyDescent="0.2">
      <c r="A48" s="4"/>
      <c r="B48" s="4"/>
      <c r="C48" s="4"/>
      <c r="D48" s="4"/>
      <c r="E48" s="4"/>
      <c r="F48" s="4"/>
      <c r="G48" s="4"/>
      <c r="H48" s="4"/>
      <c r="I48" s="4"/>
      <c r="J48" s="4"/>
      <c r="K48" s="4"/>
      <c r="L48" s="4"/>
      <c r="M48" s="4"/>
      <c r="N48" s="4"/>
      <c r="O48" s="4"/>
      <c r="P48" s="4"/>
      <c r="Q48" s="4"/>
      <c r="R48" s="4"/>
      <c r="S48" s="4"/>
      <c r="T48" s="4"/>
      <c r="U48" s="4"/>
      <c r="V48" s="4"/>
      <c r="W48" s="4"/>
      <c r="X48" s="4"/>
      <c r="Y48" s="4"/>
      <c r="Z48" s="4"/>
    </row>
    <row r="49" spans="1:26" ht="15" customHeight="1" x14ac:dyDescent="0.2">
      <c r="A49" s="4"/>
      <c r="B49" s="4"/>
      <c r="C49" s="4"/>
      <c r="D49" s="4"/>
      <c r="E49" s="4"/>
      <c r="F49" s="4"/>
      <c r="G49" s="4"/>
      <c r="H49" s="4"/>
      <c r="I49" s="4"/>
      <c r="J49" s="4"/>
      <c r="K49" s="4"/>
      <c r="L49" s="4"/>
      <c r="M49" s="4"/>
      <c r="N49" s="4"/>
      <c r="O49" s="4"/>
      <c r="P49" s="4"/>
      <c r="Q49" s="4"/>
      <c r="R49" s="4"/>
      <c r="S49" s="4"/>
      <c r="T49" s="4"/>
      <c r="U49" s="4"/>
      <c r="V49" s="4"/>
      <c r="W49" s="4"/>
      <c r="X49" s="4"/>
      <c r="Y49" s="4"/>
      <c r="Z49" s="4"/>
    </row>
    <row r="50" spans="1:26" ht="15" customHeight="1" x14ac:dyDescent="0.2">
      <c r="A50" s="4"/>
      <c r="B50" s="4"/>
      <c r="C50" s="4"/>
      <c r="D50" s="4"/>
      <c r="E50" s="4"/>
      <c r="F50" s="4"/>
      <c r="G50" s="4"/>
      <c r="H50" s="4"/>
      <c r="I50" s="4"/>
      <c r="J50" s="4"/>
      <c r="K50" s="4"/>
      <c r="L50" s="4"/>
      <c r="M50" s="4"/>
      <c r="N50" s="4"/>
      <c r="O50" s="4"/>
      <c r="P50" s="4"/>
      <c r="Q50" s="4"/>
      <c r="R50" s="4"/>
      <c r="S50" s="4"/>
      <c r="T50" s="4"/>
      <c r="U50" s="4"/>
      <c r="V50" s="4"/>
      <c r="W50" s="4"/>
      <c r="X50" s="4"/>
      <c r="Y50" s="4"/>
      <c r="Z50" s="4"/>
    </row>
    <row r="51" spans="1:26" ht="15" customHeight="1" x14ac:dyDescent="0.2">
      <c r="A51" s="4"/>
      <c r="B51" s="4"/>
      <c r="C51" s="4"/>
      <c r="D51" s="4"/>
      <c r="E51" s="4"/>
      <c r="F51" s="4"/>
      <c r="G51" s="4"/>
      <c r="H51" s="4"/>
      <c r="I51" s="4"/>
      <c r="J51" s="4"/>
      <c r="K51" s="4"/>
      <c r="L51" s="4"/>
      <c r="M51" s="4"/>
      <c r="N51" s="4"/>
      <c r="O51" s="4"/>
      <c r="P51" s="4"/>
      <c r="Q51" s="4"/>
      <c r="R51" s="4"/>
      <c r="S51" s="4"/>
      <c r="T51" s="4"/>
      <c r="U51" s="4"/>
      <c r="V51" s="4"/>
      <c r="W51" s="4"/>
      <c r="X51" s="4"/>
      <c r="Y51" s="4"/>
      <c r="Z51" s="4"/>
    </row>
    <row r="52" spans="1:26" ht="15" customHeight="1" x14ac:dyDescent="0.2">
      <c r="A52" s="4"/>
      <c r="B52" s="4"/>
      <c r="C52" s="4"/>
      <c r="D52" s="4"/>
      <c r="E52" s="4"/>
      <c r="F52" s="4"/>
      <c r="G52" s="4"/>
      <c r="H52" s="4"/>
      <c r="I52" s="4"/>
      <c r="J52" s="4"/>
      <c r="K52" s="4"/>
      <c r="L52" s="4"/>
      <c r="M52" s="4"/>
      <c r="N52" s="4"/>
      <c r="O52" s="4"/>
      <c r="P52" s="4"/>
      <c r="Q52" s="4"/>
      <c r="R52" s="4"/>
      <c r="S52" s="4"/>
      <c r="T52" s="4"/>
      <c r="U52" s="4"/>
      <c r="V52" s="4"/>
      <c r="W52" s="4"/>
      <c r="X52" s="4"/>
      <c r="Y52" s="4"/>
      <c r="Z52" s="4"/>
    </row>
    <row r="53" spans="1:26" ht="15" customHeight="1" x14ac:dyDescent="0.2">
      <c r="A53" s="4"/>
      <c r="B53" s="4"/>
      <c r="C53" s="4"/>
      <c r="D53" s="4"/>
      <c r="E53" s="4"/>
      <c r="F53" s="4"/>
      <c r="G53" s="4"/>
      <c r="H53" s="4"/>
      <c r="I53" s="4"/>
      <c r="J53" s="4"/>
      <c r="K53" s="4"/>
      <c r="L53" s="4"/>
      <c r="M53" s="4"/>
      <c r="N53" s="4"/>
      <c r="O53" s="4"/>
      <c r="P53" s="4"/>
      <c r="Q53" s="4"/>
      <c r="R53" s="4"/>
      <c r="S53" s="4"/>
      <c r="T53" s="4"/>
      <c r="U53" s="4"/>
      <c r="V53" s="4"/>
      <c r="W53" s="4"/>
      <c r="X53" s="4"/>
      <c r="Y53" s="4"/>
      <c r="Z53" s="4"/>
    </row>
    <row r="54" spans="1:26" ht="15" customHeight="1" x14ac:dyDescent="0.2">
      <c r="A54" s="4"/>
      <c r="B54" s="4"/>
      <c r="C54" s="4"/>
      <c r="D54" s="4"/>
      <c r="E54" s="4"/>
      <c r="F54" s="4"/>
      <c r="G54" s="4"/>
      <c r="H54" s="4"/>
      <c r="I54" s="4"/>
      <c r="J54" s="4"/>
      <c r="K54" s="4"/>
      <c r="L54" s="4"/>
      <c r="M54" s="4"/>
      <c r="N54" s="4"/>
      <c r="O54" s="4"/>
      <c r="P54" s="4"/>
      <c r="Q54" s="4"/>
      <c r="R54" s="4"/>
      <c r="S54" s="4"/>
      <c r="T54" s="4"/>
      <c r="U54" s="4"/>
      <c r="V54" s="4"/>
      <c r="W54" s="4"/>
      <c r="X54" s="4"/>
      <c r="Y54" s="4"/>
      <c r="Z54" s="4"/>
    </row>
    <row r="55" spans="1:26" ht="15" customHeight="1" x14ac:dyDescent="0.2">
      <c r="A55" s="4"/>
      <c r="B55" s="4"/>
      <c r="C55" s="4"/>
      <c r="D55" s="4"/>
      <c r="E55" s="4"/>
      <c r="F55" s="4"/>
      <c r="G55" s="4"/>
      <c r="H55" s="4"/>
      <c r="I55" s="4"/>
      <c r="J55" s="4"/>
      <c r="K55" s="4"/>
      <c r="L55" s="4"/>
      <c r="M55" s="4"/>
      <c r="N55" s="4"/>
      <c r="O55" s="4"/>
      <c r="P55" s="4"/>
      <c r="Q55" s="4"/>
      <c r="R55" s="4"/>
      <c r="S55" s="4"/>
      <c r="T55" s="4"/>
      <c r="U55" s="4"/>
      <c r="V55" s="4"/>
      <c r="W55" s="4"/>
      <c r="X55" s="4"/>
      <c r="Y55" s="4"/>
      <c r="Z55" s="4"/>
    </row>
    <row r="56" spans="1:26" ht="15" customHeight="1" x14ac:dyDescent="0.2">
      <c r="A56" s="4"/>
      <c r="B56" s="4"/>
      <c r="C56" s="4"/>
      <c r="D56" s="4"/>
      <c r="E56" s="4"/>
      <c r="F56" s="4"/>
      <c r="G56" s="4"/>
      <c r="H56" s="4"/>
      <c r="I56" s="4"/>
      <c r="J56" s="4"/>
      <c r="K56" s="4"/>
      <c r="L56" s="4"/>
      <c r="M56" s="4"/>
      <c r="N56" s="4"/>
      <c r="O56" s="4"/>
      <c r="P56" s="4"/>
      <c r="Q56" s="4"/>
      <c r="R56" s="4"/>
      <c r="S56" s="4"/>
      <c r="T56" s="4"/>
      <c r="U56" s="4"/>
      <c r="V56" s="4"/>
      <c r="W56" s="4"/>
      <c r="X56" s="4"/>
      <c r="Y56" s="4"/>
      <c r="Z56" s="4"/>
    </row>
    <row r="57" spans="1:26" ht="15.75" customHeight="1" x14ac:dyDescent="0.2">
      <c r="A57" s="4"/>
      <c r="B57" s="4"/>
      <c r="C57" s="4"/>
      <c r="D57" s="4"/>
      <c r="E57" s="4"/>
      <c r="F57" s="4"/>
      <c r="G57" s="4"/>
      <c r="H57" s="4"/>
      <c r="I57" s="4"/>
      <c r="J57" s="4"/>
      <c r="K57" s="4"/>
      <c r="L57" s="4"/>
      <c r="M57" s="4"/>
      <c r="N57" s="4"/>
      <c r="O57" s="4"/>
      <c r="P57" s="4"/>
      <c r="Q57" s="4"/>
      <c r="R57" s="4"/>
      <c r="S57" s="4"/>
      <c r="T57" s="4"/>
      <c r="U57" s="4"/>
      <c r="V57" s="4"/>
      <c r="W57" s="4"/>
      <c r="X57" s="4"/>
      <c r="Y57" s="4"/>
      <c r="Z57" s="4"/>
    </row>
    <row r="58" spans="1:26" ht="15.75" customHeight="1" x14ac:dyDescent="0.2">
      <c r="A58" s="4"/>
      <c r="B58" s="4"/>
      <c r="C58" s="4"/>
      <c r="D58" s="4"/>
      <c r="E58" s="4"/>
      <c r="F58" s="4"/>
      <c r="G58" s="4"/>
      <c r="H58" s="4"/>
      <c r="I58" s="4"/>
      <c r="J58" s="4"/>
      <c r="K58" s="4"/>
      <c r="L58" s="4"/>
      <c r="M58" s="4"/>
      <c r="N58" s="4"/>
      <c r="O58" s="4"/>
      <c r="P58" s="4"/>
      <c r="Q58" s="4"/>
      <c r="R58" s="4"/>
      <c r="S58" s="4"/>
      <c r="T58" s="4"/>
      <c r="U58" s="4"/>
      <c r="V58" s="4"/>
      <c r="W58" s="4"/>
      <c r="X58" s="4"/>
      <c r="Y58" s="4"/>
      <c r="Z58" s="4"/>
    </row>
    <row r="59" spans="1:26" ht="15.75" customHeight="1" x14ac:dyDescent="0.2">
      <c r="A59" s="4"/>
      <c r="B59" s="4"/>
      <c r="C59" s="4"/>
      <c r="D59" s="4"/>
      <c r="E59" s="4"/>
      <c r="F59" s="4"/>
      <c r="G59" s="4"/>
      <c r="H59" s="4"/>
      <c r="I59" s="4"/>
      <c r="J59" s="4"/>
      <c r="K59" s="4"/>
      <c r="L59" s="4"/>
      <c r="M59" s="4"/>
      <c r="N59" s="4"/>
      <c r="O59" s="4"/>
      <c r="P59" s="4"/>
      <c r="Q59" s="4"/>
      <c r="R59" s="4"/>
      <c r="S59" s="4"/>
      <c r="T59" s="4"/>
      <c r="U59" s="4"/>
      <c r="V59" s="4"/>
      <c r="W59" s="4"/>
      <c r="X59" s="4"/>
      <c r="Y59" s="4"/>
      <c r="Z59" s="4"/>
    </row>
    <row r="60" spans="1:26" ht="15.75" customHeight="1" x14ac:dyDescent="0.2">
      <c r="A60" s="4"/>
      <c r="B60" s="4"/>
      <c r="C60" s="4"/>
      <c r="D60" s="4"/>
      <c r="E60" s="4"/>
      <c r="F60" s="4"/>
      <c r="G60" s="4"/>
      <c r="H60" s="4"/>
      <c r="I60" s="4"/>
      <c r="J60" s="4"/>
      <c r="K60" s="4"/>
      <c r="L60" s="4"/>
      <c r="M60" s="4"/>
      <c r="N60" s="4"/>
      <c r="O60" s="4"/>
      <c r="P60" s="4"/>
      <c r="Q60" s="4"/>
      <c r="R60" s="4"/>
      <c r="S60" s="4"/>
      <c r="T60" s="4"/>
      <c r="U60" s="4"/>
      <c r="V60" s="4"/>
      <c r="W60" s="4"/>
      <c r="X60" s="4"/>
      <c r="Y60" s="4"/>
      <c r="Z60" s="4"/>
    </row>
    <row r="61" spans="1:26" ht="15.75" customHeight="1" x14ac:dyDescent="0.2">
      <c r="A61" s="4"/>
      <c r="B61" s="4"/>
      <c r="C61" s="4"/>
      <c r="D61" s="4"/>
      <c r="E61" s="4"/>
      <c r="F61" s="4"/>
      <c r="G61" s="4"/>
      <c r="H61" s="4"/>
      <c r="I61" s="4"/>
      <c r="J61" s="4"/>
      <c r="K61" s="4"/>
      <c r="L61" s="4"/>
      <c r="M61" s="4"/>
      <c r="N61" s="4"/>
      <c r="O61" s="4"/>
      <c r="P61" s="4"/>
      <c r="Q61" s="4"/>
      <c r="R61" s="4"/>
      <c r="S61" s="4"/>
      <c r="T61" s="4"/>
      <c r="U61" s="4"/>
      <c r="V61" s="4"/>
      <c r="W61" s="4"/>
      <c r="X61" s="4"/>
      <c r="Y61" s="4"/>
      <c r="Z61" s="4"/>
    </row>
    <row r="62" spans="1:26" ht="15.75" customHeight="1" x14ac:dyDescent="0.2">
      <c r="A62" s="4"/>
      <c r="B62" s="4"/>
      <c r="C62" s="4"/>
      <c r="D62" s="4"/>
      <c r="E62" s="4"/>
      <c r="F62" s="4"/>
      <c r="G62" s="4"/>
      <c r="H62" s="4"/>
      <c r="I62" s="4"/>
      <c r="J62" s="4"/>
      <c r="K62" s="4"/>
      <c r="L62" s="4"/>
      <c r="M62" s="4"/>
      <c r="N62" s="4"/>
      <c r="O62" s="4"/>
      <c r="P62" s="4"/>
      <c r="Q62" s="4"/>
      <c r="R62" s="4"/>
      <c r="S62" s="4"/>
      <c r="T62" s="4"/>
      <c r="U62" s="4"/>
      <c r="V62" s="4"/>
      <c r="W62" s="4"/>
      <c r="X62" s="4"/>
      <c r="Y62" s="4"/>
      <c r="Z62" s="4"/>
    </row>
    <row r="63" spans="1:26" ht="15.75" customHeight="1" x14ac:dyDescent="0.2">
      <c r="A63" s="4"/>
      <c r="B63" s="4"/>
      <c r="C63" s="4"/>
      <c r="D63" s="4"/>
      <c r="E63" s="4"/>
      <c r="F63" s="4"/>
      <c r="G63" s="4"/>
      <c r="H63" s="4"/>
      <c r="I63" s="4"/>
      <c r="J63" s="4"/>
      <c r="K63" s="4"/>
      <c r="L63" s="4"/>
      <c r="M63" s="4"/>
      <c r="N63" s="4"/>
      <c r="O63" s="4"/>
      <c r="P63" s="4"/>
      <c r="Q63" s="4"/>
      <c r="R63" s="4"/>
      <c r="S63" s="4"/>
      <c r="T63" s="4"/>
      <c r="U63" s="4"/>
      <c r="V63" s="4"/>
      <c r="W63" s="4"/>
      <c r="X63" s="4"/>
      <c r="Y63" s="4"/>
      <c r="Z63" s="4"/>
    </row>
    <row r="64" spans="1:26" ht="15.75" customHeight="1" x14ac:dyDescent="0.2">
      <c r="A64" s="4"/>
      <c r="B64" s="4"/>
      <c r="C64" s="4"/>
      <c r="D64" s="4"/>
      <c r="E64" s="4"/>
      <c r="F64" s="4"/>
      <c r="G64" s="4"/>
      <c r="H64" s="4"/>
      <c r="I64" s="4"/>
      <c r="J64" s="4"/>
      <c r="K64" s="4"/>
      <c r="L64" s="4"/>
      <c r="M64" s="4"/>
      <c r="N64" s="4"/>
      <c r="O64" s="4"/>
      <c r="P64" s="4"/>
      <c r="Q64" s="4"/>
      <c r="R64" s="4"/>
      <c r="S64" s="4"/>
      <c r="T64" s="4"/>
      <c r="U64" s="4"/>
      <c r="V64" s="4"/>
      <c r="W64" s="4"/>
      <c r="X64" s="4"/>
      <c r="Y64" s="4"/>
      <c r="Z64" s="4"/>
    </row>
    <row r="65" spans="1:26" ht="15.75" customHeight="1" x14ac:dyDescent="0.2">
      <c r="A65" s="4"/>
      <c r="B65" s="4"/>
      <c r="C65" s="4"/>
      <c r="D65" s="4"/>
      <c r="E65" s="4"/>
      <c r="F65" s="4"/>
      <c r="G65" s="4"/>
      <c r="H65" s="4"/>
      <c r="I65" s="4"/>
      <c r="J65" s="4"/>
      <c r="K65" s="4"/>
      <c r="L65" s="4"/>
      <c r="M65" s="4"/>
      <c r="N65" s="4"/>
      <c r="O65" s="4"/>
      <c r="P65" s="4"/>
      <c r="Q65" s="4"/>
      <c r="R65" s="4"/>
      <c r="S65" s="4"/>
      <c r="T65" s="4"/>
      <c r="U65" s="4"/>
      <c r="V65" s="4"/>
      <c r="W65" s="4"/>
      <c r="X65" s="4"/>
      <c r="Y65" s="4"/>
      <c r="Z65" s="4"/>
    </row>
    <row r="66" spans="1:26" ht="15.75" customHeight="1" x14ac:dyDescent="0.2">
      <c r="A66" s="4"/>
      <c r="B66" s="4"/>
      <c r="C66" s="4"/>
      <c r="D66" s="4"/>
      <c r="E66" s="4"/>
      <c r="F66" s="4"/>
      <c r="G66" s="4"/>
      <c r="H66" s="4"/>
      <c r="I66" s="4"/>
      <c r="J66" s="4"/>
      <c r="K66" s="4"/>
      <c r="L66" s="4"/>
      <c r="M66" s="4"/>
      <c r="N66" s="4"/>
      <c r="O66" s="4"/>
      <c r="P66" s="4"/>
      <c r="Q66" s="4"/>
      <c r="R66" s="4"/>
      <c r="S66" s="4"/>
      <c r="T66" s="4"/>
      <c r="U66" s="4"/>
      <c r="V66" s="4"/>
      <c r="W66" s="4"/>
      <c r="X66" s="4"/>
      <c r="Y66" s="4"/>
      <c r="Z66" s="4"/>
    </row>
    <row r="67" spans="1:26" ht="15.75" customHeight="1" x14ac:dyDescent="0.2">
      <c r="A67" s="4"/>
      <c r="B67" s="4"/>
      <c r="C67" s="4"/>
      <c r="D67" s="4"/>
      <c r="E67" s="4"/>
      <c r="F67" s="4"/>
      <c r="G67" s="4"/>
      <c r="H67" s="4"/>
      <c r="I67" s="4"/>
      <c r="J67" s="4"/>
      <c r="K67" s="4"/>
      <c r="L67" s="4"/>
      <c r="M67" s="4"/>
      <c r="N67" s="4"/>
      <c r="O67" s="4"/>
      <c r="P67" s="4"/>
      <c r="Q67" s="4"/>
      <c r="R67" s="4"/>
      <c r="S67" s="4"/>
      <c r="T67" s="4"/>
      <c r="U67" s="4"/>
      <c r="V67" s="4"/>
      <c r="W67" s="4"/>
      <c r="X67" s="4"/>
      <c r="Y67" s="4"/>
      <c r="Z67" s="4"/>
    </row>
    <row r="68" spans="1:26" ht="15.75" customHeight="1" x14ac:dyDescent="0.2">
      <c r="A68" s="4"/>
      <c r="B68" s="4"/>
      <c r="C68" s="4"/>
      <c r="D68" s="4"/>
      <c r="E68" s="4"/>
      <c r="F68" s="4"/>
      <c r="G68" s="4"/>
      <c r="H68" s="4"/>
      <c r="I68" s="4"/>
      <c r="J68" s="4"/>
      <c r="K68" s="4"/>
      <c r="L68" s="4"/>
      <c r="M68" s="4"/>
      <c r="N68" s="4"/>
      <c r="O68" s="4"/>
      <c r="P68" s="4"/>
      <c r="Q68" s="4"/>
      <c r="R68" s="4"/>
      <c r="S68" s="4"/>
      <c r="T68" s="4"/>
      <c r="U68" s="4"/>
      <c r="V68" s="4"/>
      <c r="W68" s="4"/>
      <c r="X68" s="4"/>
      <c r="Y68" s="4"/>
      <c r="Z68" s="4"/>
    </row>
    <row r="69" spans="1:26" ht="15.75" customHeight="1" x14ac:dyDescent="0.2">
      <c r="A69" s="4"/>
      <c r="B69" s="4"/>
      <c r="C69" s="4"/>
      <c r="D69" s="4"/>
      <c r="E69" s="4"/>
      <c r="F69" s="4"/>
      <c r="G69" s="4"/>
      <c r="H69" s="4"/>
      <c r="I69" s="4"/>
      <c r="J69" s="4"/>
      <c r="K69" s="4"/>
      <c r="L69" s="4"/>
      <c r="M69" s="4"/>
      <c r="N69" s="4"/>
      <c r="O69" s="4"/>
      <c r="P69" s="4"/>
      <c r="Q69" s="4"/>
      <c r="R69" s="4"/>
      <c r="S69" s="4"/>
      <c r="T69" s="4"/>
      <c r="U69" s="4"/>
      <c r="V69" s="4"/>
      <c r="W69" s="4"/>
      <c r="X69" s="4"/>
      <c r="Y69" s="4"/>
      <c r="Z69" s="4"/>
    </row>
    <row r="70" spans="1:26" ht="15.75" customHeight="1" x14ac:dyDescent="0.2">
      <c r="A70" s="4"/>
      <c r="B70" s="4"/>
      <c r="C70" s="4"/>
      <c r="D70" s="4"/>
      <c r="E70" s="4"/>
      <c r="F70" s="4"/>
      <c r="G70" s="4"/>
      <c r="H70" s="4"/>
      <c r="I70" s="4"/>
      <c r="J70" s="4"/>
      <c r="K70" s="4"/>
      <c r="L70" s="4"/>
      <c r="M70" s="4"/>
      <c r="N70" s="4"/>
      <c r="O70" s="4"/>
      <c r="P70" s="4"/>
      <c r="Q70" s="4"/>
      <c r="R70" s="4"/>
      <c r="S70" s="4"/>
      <c r="T70" s="4"/>
      <c r="U70" s="4"/>
      <c r="V70" s="4"/>
      <c r="W70" s="4"/>
      <c r="X70" s="4"/>
      <c r="Y70" s="4"/>
      <c r="Z70" s="4"/>
    </row>
    <row r="71" spans="1:26" ht="15.75" customHeight="1" x14ac:dyDescent="0.2">
      <c r="A71" s="4"/>
      <c r="B71" s="4"/>
      <c r="C71" s="4"/>
      <c r="D71" s="4"/>
      <c r="E71" s="4"/>
      <c r="F71" s="4"/>
      <c r="G71" s="4"/>
      <c r="H71" s="4"/>
      <c r="I71" s="4"/>
      <c r="J71" s="4"/>
      <c r="K71" s="4"/>
      <c r="L71" s="4"/>
      <c r="M71" s="4"/>
      <c r="N71" s="4"/>
      <c r="O71" s="4"/>
      <c r="P71" s="4"/>
      <c r="Q71" s="4"/>
      <c r="R71" s="4"/>
      <c r="S71" s="4"/>
      <c r="T71" s="4"/>
      <c r="U71" s="4"/>
      <c r="V71" s="4"/>
      <c r="W71" s="4"/>
      <c r="X71" s="4"/>
      <c r="Y71" s="4"/>
      <c r="Z71" s="4"/>
    </row>
    <row r="72" spans="1:26" ht="15.75" customHeight="1" x14ac:dyDescent="0.2">
      <c r="A72" s="4"/>
      <c r="B72" s="4"/>
      <c r="C72" s="4"/>
      <c r="D72" s="4"/>
      <c r="E72" s="4"/>
      <c r="F72" s="4"/>
      <c r="G72" s="4"/>
      <c r="H72" s="4"/>
      <c r="I72" s="4"/>
      <c r="J72" s="4"/>
      <c r="K72" s="4"/>
      <c r="L72" s="4"/>
      <c r="M72" s="4"/>
      <c r="N72" s="4"/>
      <c r="O72" s="4"/>
      <c r="P72" s="4"/>
      <c r="Q72" s="4"/>
      <c r="R72" s="4"/>
      <c r="S72" s="4"/>
      <c r="T72" s="4"/>
      <c r="U72" s="4"/>
      <c r="V72" s="4"/>
      <c r="W72" s="4"/>
      <c r="X72" s="4"/>
      <c r="Y72" s="4"/>
      <c r="Z72" s="4"/>
    </row>
    <row r="73" spans="1:26" ht="15.75" customHeight="1" x14ac:dyDescent="0.2">
      <c r="A73" s="4"/>
      <c r="B73" s="4"/>
      <c r="C73" s="4"/>
      <c r="D73" s="4"/>
      <c r="E73" s="4"/>
      <c r="F73" s="4"/>
      <c r="G73" s="4"/>
      <c r="H73" s="4"/>
      <c r="I73" s="4"/>
      <c r="J73" s="4"/>
      <c r="K73" s="4"/>
      <c r="L73" s="4"/>
      <c r="M73" s="4"/>
      <c r="N73" s="4"/>
      <c r="O73" s="4"/>
      <c r="P73" s="4"/>
      <c r="Q73" s="4"/>
      <c r="R73" s="4"/>
      <c r="S73" s="4"/>
      <c r="T73" s="4"/>
      <c r="U73" s="4"/>
      <c r="V73" s="4"/>
      <c r="W73" s="4"/>
      <c r="X73" s="4"/>
      <c r="Y73" s="4"/>
      <c r="Z73" s="4"/>
    </row>
    <row r="74" spans="1:26" ht="15.75" customHeight="1" x14ac:dyDescent="0.2">
      <c r="A74" s="4"/>
      <c r="B74" s="4"/>
      <c r="C74" s="4"/>
      <c r="D74" s="4"/>
      <c r="E74" s="4"/>
      <c r="F74" s="4"/>
      <c r="G74" s="4"/>
      <c r="H74" s="4"/>
      <c r="I74" s="4"/>
      <c r="J74" s="4"/>
      <c r="K74" s="4"/>
      <c r="L74" s="4"/>
      <c r="M74" s="4"/>
      <c r="N74" s="4"/>
      <c r="O74" s="4"/>
      <c r="P74" s="4"/>
      <c r="Q74" s="4"/>
      <c r="R74" s="4"/>
      <c r="S74" s="4"/>
      <c r="T74" s="4"/>
      <c r="U74" s="4"/>
      <c r="V74" s="4"/>
      <c r="W74" s="4"/>
      <c r="X74" s="4"/>
      <c r="Y74" s="4"/>
      <c r="Z74" s="4"/>
    </row>
    <row r="75" spans="1:26" ht="15.75" customHeight="1" x14ac:dyDescent="0.2">
      <c r="A75" s="4"/>
      <c r="B75" s="4"/>
      <c r="C75" s="4"/>
      <c r="D75" s="4"/>
      <c r="E75" s="4"/>
      <c r="F75" s="4"/>
      <c r="G75" s="4"/>
      <c r="H75" s="4"/>
      <c r="I75" s="4"/>
      <c r="J75" s="4"/>
      <c r="K75" s="4"/>
      <c r="L75" s="4"/>
      <c r="M75" s="4"/>
      <c r="N75" s="4"/>
      <c r="O75" s="4"/>
      <c r="P75" s="4"/>
      <c r="Q75" s="4"/>
      <c r="R75" s="4"/>
      <c r="S75" s="4"/>
      <c r="T75" s="4"/>
      <c r="U75" s="4"/>
      <c r="V75" s="4"/>
      <c r="W75" s="4"/>
      <c r="X75" s="4"/>
      <c r="Y75" s="4"/>
      <c r="Z75" s="4"/>
    </row>
    <row r="76" spans="1:26" ht="15.75" customHeight="1" x14ac:dyDescent="0.2">
      <c r="A76" s="4"/>
      <c r="B76" s="4"/>
      <c r="C76" s="4"/>
      <c r="D76" s="4"/>
      <c r="E76" s="4"/>
      <c r="F76" s="4"/>
      <c r="G76" s="4"/>
      <c r="H76" s="4"/>
      <c r="I76" s="4"/>
      <c r="J76" s="4"/>
      <c r="K76" s="4"/>
      <c r="L76" s="4"/>
      <c r="M76" s="4"/>
      <c r="N76" s="4"/>
      <c r="O76" s="4"/>
      <c r="P76" s="4"/>
      <c r="Q76" s="4"/>
      <c r="R76" s="4"/>
      <c r="S76" s="4"/>
      <c r="T76" s="4"/>
      <c r="U76" s="4"/>
      <c r="V76" s="4"/>
      <c r="W76" s="4"/>
      <c r="X76" s="4"/>
      <c r="Y76" s="4"/>
      <c r="Z76" s="4"/>
    </row>
    <row r="77" spans="1:26" ht="15.75" customHeight="1" x14ac:dyDescent="0.2">
      <c r="A77" s="4"/>
      <c r="B77" s="4"/>
      <c r="C77" s="4"/>
      <c r="D77" s="4"/>
      <c r="E77" s="4"/>
      <c r="F77" s="4"/>
      <c r="G77" s="4"/>
      <c r="H77" s="4"/>
      <c r="I77" s="4"/>
      <c r="J77" s="4"/>
      <c r="K77" s="4"/>
      <c r="L77" s="4"/>
      <c r="M77" s="4"/>
      <c r="N77" s="4"/>
      <c r="O77" s="4"/>
      <c r="P77" s="4"/>
      <c r="Q77" s="4"/>
      <c r="R77" s="4"/>
      <c r="S77" s="4"/>
      <c r="T77" s="4"/>
      <c r="U77" s="4"/>
      <c r="V77" s="4"/>
      <c r="W77" s="4"/>
      <c r="X77" s="4"/>
      <c r="Y77" s="4"/>
      <c r="Z77" s="4"/>
    </row>
    <row r="78" spans="1:26" ht="15.75" customHeight="1" x14ac:dyDescent="0.2">
      <c r="A78" s="4"/>
      <c r="B78" s="4"/>
      <c r="C78" s="4"/>
      <c r="D78" s="4"/>
      <c r="E78" s="4"/>
      <c r="F78" s="4"/>
      <c r="G78" s="4"/>
      <c r="H78" s="4"/>
      <c r="I78" s="4"/>
      <c r="J78" s="4"/>
      <c r="K78" s="4"/>
      <c r="L78" s="4"/>
      <c r="M78" s="4"/>
      <c r="N78" s="4"/>
      <c r="O78" s="4"/>
      <c r="P78" s="4"/>
      <c r="Q78" s="4"/>
      <c r="R78" s="4"/>
      <c r="S78" s="4"/>
      <c r="T78" s="4"/>
      <c r="U78" s="4"/>
      <c r="V78" s="4"/>
      <c r="W78" s="4"/>
      <c r="X78" s="4"/>
      <c r="Y78" s="4"/>
      <c r="Z78" s="4"/>
    </row>
    <row r="79" spans="1:26" ht="15.75" customHeight="1" x14ac:dyDescent="0.2">
      <c r="A79" s="4"/>
      <c r="B79" s="4"/>
      <c r="C79" s="4"/>
      <c r="D79" s="4"/>
      <c r="E79" s="4"/>
      <c r="F79" s="4"/>
      <c r="G79" s="4"/>
      <c r="H79" s="4"/>
      <c r="I79" s="4"/>
      <c r="J79" s="4"/>
      <c r="K79" s="4"/>
      <c r="L79" s="4"/>
      <c r="M79" s="4"/>
      <c r="N79" s="4"/>
      <c r="O79" s="4"/>
      <c r="P79" s="4"/>
      <c r="Q79" s="4"/>
      <c r="R79" s="4"/>
      <c r="S79" s="4"/>
      <c r="T79" s="4"/>
      <c r="U79" s="4"/>
      <c r="V79" s="4"/>
      <c r="W79" s="4"/>
      <c r="X79" s="4"/>
      <c r="Y79" s="4"/>
      <c r="Z79" s="4"/>
    </row>
    <row r="80" spans="1:26" ht="15.75" customHeight="1" x14ac:dyDescent="0.2">
      <c r="A80" s="4"/>
      <c r="B80" s="4"/>
      <c r="C80" s="4"/>
      <c r="D80" s="4"/>
      <c r="E80" s="4"/>
      <c r="F80" s="4"/>
      <c r="G80" s="4"/>
      <c r="H80" s="4"/>
      <c r="I80" s="4"/>
      <c r="J80" s="4"/>
      <c r="K80" s="4"/>
      <c r="L80" s="4"/>
      <c r="M80" s="4"/>
      <c r="N80" s="4"/>
      <c r="O80" s="4"/>
      <c r="P80" s="4"/>
      <c r="Q80" s="4"/>
      <c r="R80" s="4"/>
      <c r="S80" s="4"/>
      <c r="T80" s="4"/>
      <c r="U80" s="4"/>
      <c r="V80" s="4"/>
      <c r="W80" s="4"/>
      <c r="X80" s="4"/>
      <c r="Y80" s="4"/>
      <c r="Z80" s="4"/>
    </row>
    <row r="81" spans="1:26" ht="15.75" customHeight="1" x14ac:dyDescent="0.2">
      <c r="A81" s="4"/>
      <c r="B81" s="4"/>
      <c r="C81" s="4"/>
      <c r="D81" s="4"/>
      <c r="E81" s="4"/>
      <c r="F81" s="4"/>
      <c r="G81" s="4"/>
      <c r="H81" s="4"/>
      <c r="I81" s="4"/>
      <c r="J81" s="4"/>
      <c r="K81" s="4"/>
      <c r="L81" s="4"/>
      <c r="M81" s="4"/>
      <c r="N81" s="4"/>
      <c r="O81" s="4"/>
      <c r="P81" s="4"/>
      <c r="Q81" s="4"/>
      <c r="R81" s="4"/>
      <c r="S81" s="4"/>
      <c r="T81" s="4"/>
      <c r="U81" s="4"/>
      <c r="V81" s="4"/>
      <c r="W81" s="4"/>
      <c r="X81" s="4"/>
      <c r="Y81" s="4"/>
      <c r="Z81" s="4"/>
    </row>
    <row r="82" spans="1:26" ht="15.75" customHeight="1" x14ac:dyDescent="0.2">
      <c r="A82" s="4"/>
      <c r="B82" s="4"/>
      <c r="C82" s="4"/>
      <c r="D82" s="4"/>
      <c r="E82" s="4"/>
      <c r="F82" s="4"/>
      <c r="G82" s="4"/>
      <c r="H82" s="4"/>
      <c r="I82" s="4"/>
      <c r="J82" s="4"/>
      <c r="K82" s="4"/>
      <c r="L82" s="4"/>
      <c r="M82" s="4"/>
      <c r="N82" s="4"/>
      <c r="O82" s="4"/>
      <c r="P82" s="4"/>
      <c r="Q82" s="4"/>
      <c r="R82" s="4"/>
      <c r="S82" s="4"/>
      <c r="T82" s="4"/>
      <c r="U82" s="4"/>
      <c r="V82" s="4"/>
      <c r="W82" s="4"/>
      <c r="X82" s="4"/>
      <c r="Y82" s="4"/>
      <c r="Z82" s="4"/>
    </row>
    <row r="83" spans="1:26" ht="15.75" customHeight="1" x14ac:dyDescent="0.2">
      <c r="A83" s="4"/>
      <c r="B83" s="4"/>
      <c r="C83" s="4"/>
      <c r="D83" s="4"/>
      <c r="E83" s="4"/>
      <c r="F83" s="4"/>
      <c r="G83" s="4"/>
      <c r="H83" s="4"/>
      <c r="I83" s="4"/>
      <c r="J83" s="4"/>
      <c r="K83" s="4"/>
      <c r="L83" s="4"/>
      <c r="M83" s="4"/>
      <c r="N83" s="4"/>
      <c r="O83" s="4"/>
      <c r="P83" s="4"/>
      <c r="Q83" s="4"/>
      <c r="R83" s="4"/>
      <c r="S83" s="4"/>
      <c r="T83" s="4"/>
      <c r="U83" s="4"/>
      <c r="V83" s="4"/>
      <c r="W83" s="4"/>
      <c r="X83" s="4"/>
      <c r="Y83" s="4"/>
      <c r="Z83" s="4"/>
    </row>
    <row r="84" spans="1:26" ht="15.75" customHeight="1" x14ac:dyDescent="0.2">
      <c r="A84" s="4"/>
      <c r="B84" s="4"/>
      <c r="C84" s="4"/>
      <c r="D84" s="4"/>
      <c r="E84" s="4"/>
      <c r="F84" s="4"/>
      <c r="G84" s="4"/>
      <c r="H84" s="4"/>
      <c r="I84" s="4"/>
      <c r="J84" s="4"/>
      <c r="K84" s="4"/>
      <c r="L84" s="4"/>
      <c r="M84" s="4"/>
      <c r="N84" s="4"/>
      <c r="O84" s="4"/>
      <c r="P84" s="4"/>
      <c r="Q84" s="4"/>
      <c r="R84" s="4"/>
      <c r="S84" s="4"/>
      <c r="T84" s="4"/>
      <c r="U84" s="4"/>
      <c r="V84" s="4"/>
      <c r="W84" s="4"/>
      <c r="X84" s="4"/>
      <c r="Y84" s="4"/>
      <c r="Z84" s="4"/>
    </row>
    <row r="85" spans="1:26" ht="15.75" customHeight="1" x14ac:dyDescent="0.2">
      <c r="A85" s="4"/>
      <c r="B85" s="4"/>
      <c r="C85" s="4"/>
      <c r="D85" s="4"/>
      <c r="E85" s="4"/>
      <c r="F85" s="4"/>
      <c r="G85" s="4"/>
      <c r="H85" s="4"/>
      <c r="I85" s="4"/>
      <c r="J85" s="4"/>
      <c r="K85" s="4"/>
      <c r="L85" s="4"/>
      <c r="M85" s="4"/>
      <c r="N85" s="4"/>
      <c r="O85" s="4"/>
      <c r="P85" s="4"/>
      <c r="Q85" s="4"/>
      <c r="R85" s="4"/>
      <c r="S85" s="4"/>
      <c r="T85" s="4"/>
      <c r="U85" s="4"/>
      <c r="V85" s="4"/>
      <c r="W85" s="4"/>
      <c r="X85" s="4"/>
      <c r="Y85" s="4"/>
      <c r="Z85" s="4"/>
    </row>
    <row r="86" spans="1:26" ht="15.75" customHeight="1" x14ac:dyDescent="0.2">
      <c r="A86" s="4"/>
      <c r="B86" s="4"/>
      <c r="C86" s="4"/>
      <c r="D86" s="4"/>
      <c r="E86" s="4"/>
      <c r="F86" s="4"/>
      <c r="G86" s="4"/>
      <c r="H86" s="4"/>
      <c r="I86" s="4"/>
      <c r="J86" s="4"/>
      <c r="K86" s="4"/>
      <c r="L86" s="4"/>
      <c r="M86" s="4"/>
      <c r="N86" s="4"/>
      <c r="O86" s="4"/>
      <c r="P86" s="4"/>
      <c r="Q86" s="4"/>
      <c r="R86" s="4"/>
      <c r="S86" s="4"/>
      <c r="T86" s="4"/>
      <c r="U86" s="4"/>
      <c r="V86" s="4"/>
      <c r="W86" s="4"/>
      <c r="X86" s="4"/>
      <c r="Y86" s="4"/>
      <c r="Z86" s="4"/>
    </row>
    <row r="87" spans="1:26" ht="15.75" customHeight="1" x14ac:dyDescent="0.2">
      <c r="A87" s="4"/>
      <c r="B87" s="4"/>
      <c r="C87" s="4"/>
      <c r="D87" s="4"/>
      <c r="E87" s="4"/>
      <c r="F87" s="4"/>
      <c r="G87" s="4"/>
      <c r="H87" s="4"/>
      <c r="I87" s="4"/>
      <c r="J87" s="4"/>
      <c r="K87" s="4"/>
      <c r="L87" s="4"/>
      <c r="M87" s="4"/>
      <c r="N87" s="4"/>
      <c r="O87" s="4"/>
      <c r="P87" s="4"/>
      <c r="Q87" s="4"/>
      <c r="R87" s="4"/>
      <c r="S87" s="4"/>
      <c r="T87" s="4"/>
      <c r="U87" s="4"/>
      <c r="V87" s="4"/>
      <c r="W87" s="4"/>
      <c r="X87" s="4"/>
      <c r="Y87" s="4"/>
      <c r="Z87" s="4"/>
    </row>
    <row r="88" spans="1:26" ht="15.75" customHeight="1" x14ac:dyDescent="0.2">
      <c r="A88" s="4"/>
      <c r="B88" s="4"/>
      <c r="C88" s="4"/>
      <c r="D88" s="4"/>
      <c r="E88" s="4"/>
      <c r="F88" s="4"/>
      <c r="G88" s="4"/>
      <c r="H88" s="4"/>
      <c r="I88" s="4"/>
      <c r="J88" s="4"/>
      <c r="K88" s="4"/>
      <c r="L88" s="4"/>
      <c r="M88" s="4"/>
      <c r="N88" s="4"/>
      <c r="O88" s="4"/>
      <c r="P88" s="4"/>
      <c r="Q88" s="4"/>
      <c r="R88" s="4"/>
      <c r="S88" s="4"/>
      <c r="T88" s="4"/>
      <c r="U88" s="4"/>
      <c r="V88" s="4"/>
      <c r="W88" s="4"/>
      <c r="X88" s="4"/>
      <c r="Y88" s="4"/>
      <c r="Z88" s="4"/>
    </row>
    <row r="89" spans="1:26" ht="15.75" customHeight="1" x14ac:dyDescent="0.2">
      <c r="A89" s="4"/>
      <c r="B89" s="4"/>
      <c r="C89" s="4"/>
      <c r="D89" s="4"/>
      <c r="E89" s="4"/>
      <c r="F89" s="4"/>
      <c r="G89" s="4"/>
      <c r="H89" s="4"/>
      <c r="I89" s="4"/>
      <c r="J89" s="4"/>
      <c r="K89" s="4"/>
      <c r="L89" s="4"/>
      <c r="M89" s="4"/>
      <c r="N89" s="4"/>
      <c r="O89" s="4"/>
      <c r="P89" s="4"/>
      <c r="Q89" s="4"/>
      <c r="R89" s="4"/>
      <c r="S89" s="4"/>
      <c r="T89" s="4"/>
      <c r="U89" s="4"/>
      <c r="V89" s="4"/>
      <c r="W89" s="4"/>
      <c r="X89" s="4"/>
      <c r="Y89" s="4"/>
      <c r="Z89" s="4"/>
    </row>
    <row r="90" spans="1:26" ht="15.75" customHeight="1" x14ac:dyDescent="0.2">
      <c r="A90" s="4"/>
      <c r="B90" s="4"/>
      <c r="C90" s="4"/>
      <c r="D90" s="4"/>
      <c r="E90" s="4"/>
      <c r="F90" s="4"/>
      <c r="G90" s="4"/>
      <c r="H90" s="4"/>
      <c r="I90" s="4"/>
      <c r="J90" s="4"/>
      <c r="K90" s="4"/>
      <c r="L90" s="4"/>
      <c r="M90" s="4"/>
      <c r="N90" s="4"/>
      <c r="O90" s="4"/>
      <c r="P90" s="4"/>
      <c r="Q90" s="4"/>
      <c r="R90" s="4"/>
      <c r="S90" s="4"/>
      <c r="T90" s="4"/>
      <c r="U90" s="4"/>
      <c r="V90" s="4"/>
      <c r="W90" s="4"/>
      <c r="X90" s="4"/>
      <c r="Y90" s="4"/>
      <c r="Z90" s="4"/>
    </row>
    <row r="91" spans="1:26" ht="15.75" customHeight="1" x14ac:dyDescent="0.2">
      <c r="A91" s="4"/>
      <c r="B91" s="4"/>
      <c r="C91" s="4"/>
      <c r="D91" s="4"/>
      <c r="E91" s="4"/>
      <c r="F91" s="4"/>
      <c r="G91" s="4"/>
      <c r="H91" s="4"/>
      <c r="I91" s="4"/>
      <c r="J91" s="4"/>
      <c r="K91" s="4"/>
      <c r="L91" s="4"/>
      <c r="M91" s="4"/>
      <c r="N91" s="4"/>
      <c r="O91" s="4"/>
      <c r="P91" s="4"/>
      <c r="Q91" s="4"/>
      <c r="R91" s="4"/>
      <c r="S91" s="4"/>
      <c r="T91" s="4"/>
      <c r="U91" s="4"/>
      <c r="V91" s="4"/>
      <c r="W91" s="4"/>
      <c r="X91" s="4"/>
      <c r="Y91" s="4"/>
      <c r="Z91" s="4"/>
    </row>
    <row r="92" spans="1:26" ht="15.75" customHeight="1" x14ac:dyDescent="0.2">
      <c r="A92" s="4"/>
      <c r="B92" s="4"/>
      <c r="C92" s="4"/>
      <c r="D92" s="4"/>
      <c r="E92" s="4"/>
      <c r="F92" s="4"/>
      <c r="G92" s="4"/>
      <c r="H92" s="4"/>
      <c r="I92" s="4"/>
      <c r="J92" s="4"/>
      <c r="K92" s="4"/>
      <c r="L92" s="4"/>
      <c r="M92" s="4"/>
      <c r="N92" s="4"/>
      <c r="O92" s="4"/>
      <c r="P92" s="4"/>
      <c r="Q92" s="4"/>
      <c r="R92" s="4"/>
      <c r="S92" s="4"/>
      <c r="T92" s="4"/>
      <c r="U92" s="4"/>
      <c r="V92" s="4"/>
      <c r="W92" s="4"/>
      <c r="X92" s="4"/>
      <c r="Y92" s="4"/>
      <c r="Z92" s="4"/>
    </row>
    <row r="93" spans="1:26" ht="15.75" customHeight="1" x14ac:dyDescent="0.2">
      <c r="A93" s="4"/>
      <c r="B93" s="4"/>
      <c r="C93" s="4"/>
      <c r="D93" s="4"/>
      <c r="E93" s="4"/>
      <c r="F93" s="4"/>
      <c r="G93" s="4"/>
      <c r="H93" s="4"/>
      <c r="I93" s="4"/>
      <c r="J93" s="4"/>
      <c r="K93" s="4"/>
      <c r="L93" s="4"/>
      <c r="M93" s="4"/>
      <c r="N93" s="4"/>
      <c r="O93" s="4"/>
      <c r="P93" s="4"/>
      <c r="Q93" s="4"/>
      <c r="R93" s="4"/>
      <c r="S93" s="4"/>
      <c r="T93" s="4"/>
      <c r="U93" s="4"/>
      <c r="V93" s="4"/>
      <c r="W93" s="4"/>
      <c r="X93" s="4"/>
      <c r="Y93" s="4"/>
      <c r="Z93" s="4"/>
    </row>
    <row r="94" spans="1:26" ht="15.75" customHeight="1" x14ac:dyDescent="0.2">
      <c r="A94" s="4"/>
      <c r="B94" s="4"/>
      <c r="C94" s="4"/>
      <c r="D94" s="4"/>
      <c r="E94" s="4"/>
      <c r="F94" s="4"/>
      <c r="G94" s="4"/>
      <c r="H94" s="4"/>
      <c r="I94" s="4"/>
      <c r="J94" s="4"/>
      <c r="K94" s="4"/>
      <c r="L94" s="4"/>
      <c r="M94" s="4"/>
      <c r="N94" s="4"/>
      <c r="O94" s="4"/>
      <c r="P94" s="4"/>
      <c r="Q94" s="4"/>
      <c r="R94" s="4"/>
      <c r="S94" s="4"/>
      <c r="T94" s="4"/>
      <c r="U94" s="4"/>
      <c r="V94" s="4"/>
      <c r="W94" s="4"/>
      <c r="X94" s="4"/>
      <c r="Y94" s="4"/>
      <c r="Z94" s="4"/>
    </row>
    <row r="95" spans="1:26" ht="15.75" customHeight="1" x14ac:dyDescent="0.2">
      <c r="A95" s="4"/>
      <c r="B95" s="4"/>
      <c r="C95" s="4"/>
      <c r="D95" s="4"/>
      <c r="E95" s="4"/>
      <c r="F95" s="4"/>
      <c r="G95" s="4"/>
      <c r="H95" s="4"/>
      <c r="I95" s="4"/>
      <c r="J95" s="4"/>
      <c r="K95" s="4"/>
      <c r="L95" s="4"/>
      <c r="M95" s="4"/>
      <c r="N95" s="4"/>
      <c r="O95" s="4"/>
      <c r="P95" s="4"/>
      <c r="Q95" s="4"/>
      <c r="R95" s="4"/>
      <c r="S95" s="4"/>
      <c r="T95" s="4"/>
      <c r="U95" s="4"/>
      <c r="V95" s="4"/>
      <c r="W95" s="4"/>
      <c r="X95" s="4"/>
      <c r="Y95" s="4"/>
      <c r="Z95" s="4"/>
    </row>
    <row r="96" spans="1:26" ht="15.75" customHeight="1" x14ac:dyDescent="0.2">
      <c r="A96" s="4"/>
      <c r="B96" s="4"/>
      <c r="C96" s="4"/>
      <c r="D96" s="4"/>
      <c r="E96" s="4"/>
      <c r="F96" s="4"/>
      <c r="G96" s="4"/>
      <c r="H96" s="4"/>
      <c r="I96" s="4"/>
      <c r="J96" s="4"/>
      <c r="K96" s="4"/>
      <c r="L96" s="4"/>
      <c r="M96" s="4"/>
      <c r="N96" s="4"/>
      <c r="O96" s="4"/>
      <c r="P96" s="4"/>
      <c r="Q96" s="4"/>
      <c r="R96" s="4"/>
      <c r="S96" s="4"/>
      <c r="T96" s="4"/>
      <c r="U96" s="4"/>
      <c r="V96" s="4"/>
      <c r="W96" s="4"/>
      <c r="X96" s="4"/>
      <c r="Y96" s="4"/>
      <c r="Z96" s="4"/>
    </row>
    <row r="97" spans="1:26" ht="15.75" customHeight="1" x14ac:dyDescent="0.2">
      <c r="A97" s="4"/>
      <c r="B97" s="4"/>
      <c r="C97" s="4"/>
      <c r="D97" s="4"/>
      <c r="E97" s="4"/>
      <c r="F97" s="4"/>
      <c r="G97" s="4"/>
      <c r="H97" s="4"/>
      <c r="I97" s="4"/>
      <c r="J97" s="4"/>
      <c r="K97" s="4"/>
      <c r="L97" s="4"/>
      <c r="M97" s="4"/>
      <c r="N97" s="4"/>
      <c r="O97" s="4"/>
      <c r="P97" s="4"/>
      <c r="Q97" s="4"/>
      <c r="R97" s="4"/>
      <c r="S97" s="4"/>
      <c r="T97" s="4"/>
      <c r="U97" s="4"/>
      <c r="V97" s="4"/>
      <c r="W97" s="4"/>
      <c r="X97" s="4"/>
      <c r="Y97" s="4"/>
      <c r="Z97" s="4"/>
    </row>
    <row r="98" spans="1:26" ht="15.75" customHeight="1" x14ac:dyDescent="0.2">
      <c r="A98" s="4"/>
      <c r="B98" s="4"/>
      <c r="C98" s="4"/>
      <c r="D98" s="4"/>
      <c r="E98" s="4"/>
      <c r="F98" s="4"/>
      <c r="G98" s="4"/>
      <c r="H98" s="4"/>
      <c r="I98" s="4"/>
      <c r="J98" s="4"/>
      <c r="K98" s="4"/>
      <c r="L98" s="4"/>
      <c r="M98" s="4"/>
      <c r="N98" s="4"/>
      <c r="O98" s="4"/>
      <c r="P98" s="4"/>
      <c r="Q98" s="4"/>
      <c r="R98" s="4"/>
      <c r="S98" s="4"/>
      <c r="T98" s="4"/>
      <c r="U98" s="4"/>
      <c r="V98" s="4"/>
      <c r="W98" s="4"/>
      <c r="X98" s="4"/>
      <c r="Y98" s="4"/>
      <c r="Z98" s="4"/>
    </row>
    <row r="99" spans="1:26" ht="15.75" customHeight="1" x14ac:dyDescent="0.2">
      <c r="A99" s="4"/>
      <c r="B99" s="4"/>
      <c r="C99" s="4"/>
      <c r="D99" s="4"/>
      <c r="E99" s="4"/>
      <c r="F99" s="4"/>
      <c r="G99" s="4"/>
      <c r="H99" s="4"/>
      <c r="I99" s="4"/>
      <c r="J99" s="4"/>
      <c r="K99" s="4"/>
      <c r="L99" s="4"/>
      <c r="M99" s="4"/>
      <c r="N99" s="4"/>
      <c r="O99" s="4"/>
      <c r="P99" s="4"/>
      <c r="Q99" s="4"/>
      <c r="R99" s="4"/>
      <c r="S99" s="4"/>
      <c r="T99" s="4"/>
      <c r="U99" s="4"/>
      <c r="V99" s="4"/>
      <c r="W99" s="4"/>
      <c r="X99" s="4"/>
      <c r="Y99" s="4"/>
      <c r="Z99" s="4"/>
    </row>
    <row r="100" spans="1:26" ht="15.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row>
    <row r="101" spans="1:26" ht="15.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row>
    <row r="102" spans="1:26" ht="15.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row>
    <row r="103" spans="1:26" ht="15.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row>
    <row r="104" spans="1:26" ht="15.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row>
    <row r="105" spans="1:26" ht="15.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row>
    <row r="106" spans="1:26" ht="15.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row>
    <row r="107" spans="1:26" ht="15.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row>
    <row r="108" spans="1:26" ht="15.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row>
    <row r="109" spans="1:26" ht="15.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row>
    <row r="110" spans="1:26" ht="15.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row>
    <row r="111" spans="1:26" ht="15.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row>
    <row r="112" spans="1:26" ht="15.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row>
    <row r="113" spans="1:26" ht="15.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row>
    <row r="114" spans="1:26" ht="15.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row>
    <row r="115" spans="1:26" ht="15.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row>
    <row r="116" spans="1:26" ht="15.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row>
    <row r="117" spans="1:26" ht="15.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row>
    <row r="118" spans="1:26" ht="15.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row>
    <row r="119" spans="1:26" ht="15.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row>
    <row r="120" spans="1:26" ht="15.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row>
    <row r="121" spans="1:26" ht="15.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row>
    <row r="122" spans="1:26" ht="15.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row>
    <row r="123" spans="1:26" ht="15.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row>
    <row r="124" spans="1:26" ht="15.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row>
    <row r="125" spans="1:26" ht="15.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row>
    <row r="126" spans="1:26" ht="15.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row>
    <row r="127" spans="1:26" ht="15.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row>
    <row r="128" spans="1:26" ht="15.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row>
    <row r="129" spans="1:26" ht="15.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row>
    <row r="130" spans="1:26" ht="15.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row>
    <row r="131" spans="1:26" ht="15.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row>
    <row r="132" spans="1:26" ht="15.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row>
    <row r="133" spans="1:26" ht="15.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row>
    <row r="134" spans="1:26" ht="15.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row>
    <row r="135" spans="1:26" ht="15.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row>
    <row r="136" spans="1:26" ht="15.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row>
    <row r="137" spans="1:26" ht="15.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row>
    <row r="138" spans="1:26" ht="15.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row>
    <row r="139" spans="1:26" ht="15.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row>
    <row r="140" spans="1:26" ht="15.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row>
    <row r="141" spans="1:26" ht="15.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row>
    <row r="142" spans="1:26" ht="15.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row>
    <row r="143" spans="1:26" ht="15.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row>
    <row r="144" spans="1:26" ht="15.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row>
    <row r="145" spans="1:26" ht="15.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row>
    <row r="146" spans="1:26" ht="15.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row>
    <row r="147" spans="1:26" ht="15.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row>
    <row r="148" spans="1:26" ht="15.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row>
    <row r="149" spans="1:26" ht="15.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row>
    <row r="150" spans="1:26" ht="15.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row>
    <row r="151" spans="1:26" ht="15.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row>
    <row r="152" spans="1:26" ht="15.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row>
    <row r="153" spans="1:26" ht="15.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row>
    <row r="154" spans="1:26" ht="15.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row>
    <row r="155" spans="1:26" ht="15.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row>
    <row r="156" spans="1:26" ht="15.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row>
    <row r="157" spans="1:26" ht="15.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row>
    <row r="158" spans="1:26" ht="15.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row>
    <row r="159" spans="1:26" ht="15.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row>
    <row r="160" spans="1:26" ht="15.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row>
    <row r="161" spans="1:26" ht="15.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row>
    <row r="162" spans="1:26" ht="15.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row>
    <row r="163" spans="1:26" ht="15.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row>
    <row r="164" spans="1:26" ht="15.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row>
    <row r="165" spans="1:26" ht="15.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row>
    <row r="166" spans="1:26" ht="15.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row>
    <row r="167" spans="1:26" ht="15.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row>
    <row r="168" spans="1:26" ht="15.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row>
    <row r="169" spans="1:26" ht="15.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row>
    <row r="170" spans="1:26" ht="15.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row>
    <row r="171" spans="1:26" ht="15.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row>
    <row r="172" spans="1:26" ht="15.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row>
    <row r="173" spans="1:26" ht="15.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row>
    <row r="174" spans="1:26" ht="15.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row>
    <row r="175" spans="1:26" ht="15.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row>
    <row r="176" spans="1:26" ht="15.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row>
    <row r="177" spans="1:26" ht="15.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row>
    <row r="178" spans="1:26" ht="15.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row>
    <row r="179" spans="1:26" ht="15.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row>
    <row r="180" spans="1:26" ht="15.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row>
    <row r="181" spans="1:26" ht="15.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row>
    <row r="182" spans="1:26" ht="15.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row>
    <row r="183" spans="1:26" ht="15.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row>
    <row r="184" spans="1:26" ht="15.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row>
    <row r="185" spans="1:26" ht="15.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row>
    <row r="186" spans="1:26" ht="15.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row>
    <row r="187" spans="1:26" ht="15.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row>
    <row r="188" spans="1:26" ht="15.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row>
    <row r="189" spans="1:26" ht="15.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row>
    <row r="190" spans="1:26" ht="15.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row>
    <row r="191" spans="1:26" ht="15.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row>
    <row r="192" spans="1:26" ht="15.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row>
    <row r="193" spans="1:26" ht="15.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row>
    <row r="194" spans="1:26" ht="15.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row>
    <row r="195" spans="1:26" ht="15.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row>
    <row r="196" spans="1:26" ht="15.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row>
    <row r="197" spans="1:26" ht="15.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row>
    <row r="198" spans="1:26" ht="15.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row>
    <row r="199" spans="1:26" ht="15.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row>
    <row r="200" spans="1:26" ht="15.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row>
    <row r="201" spans="1:26" ht="15.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row>
    <row r="202" spans="1:26" ht="15.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row>
    <row r="203" spans="1:26" ht="15.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row>
    <row r="204" spans="1:26" ht="15.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row>
    <row r="205" spans="1:26" ht="15.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row>
    <row r="206" spans="1:26" ht="15.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row>
    <row r="207" spans="1:26" ht="15.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row>
    <row r="208" spans="1:26" ht="15.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row>
    <row r="209" spans="1:26" ht="15.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row>
    <row r="210" spans="1:26" ht="15.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row>
    <row r="211" spans="1:26" ht="15.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row>
    <row r="212" spans="1:26" ht="15.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row>
    <row r="213" spans="1:26" ht="15.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row>
    <row r="214" spans="1:26" ht="15.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row>
    <row r="215" spans="1:26" ht="15.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row>
    <row r="216" spans="1:26" ht="15.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row>
    <row r="217" spans="1:26" ht="15.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row>
    <row r="218" spans="1:26" ht="15.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row>
    <row r="219" spans="1:26" ht="15.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row>
    <row r="220" spans="1:26" ht="15.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row>
    <row r="221" spans="1:26" ht="15.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row>
    <row r="222" spans="1:26" ht="15.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row>
    <row r="223" spans="1:26" ht="15.75" customHeight="1" x14ac:dyDescent="0.2"/>
    <row r="224" spans="1:26"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B13:G13"/>
  </mergeCells>
  <pageMargins left="0.7" right="0.7" top="0.75" bottom="0.75" header="0" footer="0"/>
  <pageSetup orientation="landscape"/>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D1000"/>
  <sheetViews>
    <sheetView workbookViewId="0"/>
  </sheetViews>
  <sheetFormatPr defaultColWidth="16.83203125" defaultRowHeight="15" customHeight="1" x14ac:dyDescent="0.2"/>
  <cols>
    <col min="1" max="1" width="6.33203125" customWidth="1"/>
    <col min="2" max="2" width="35.6640625" customWidth="1"/>
    <col min="3" max="3" width="21.6640625" customWidth="1"/>
    <col min="4" max="5" width="18.1640625" customWidth="1"/>
    <col min="6" max="6" width="17.1640625" customWidth="1"/>
    <col min="7" max="7" width="11.5" customWidth="1"/>
    <col min="8" max="8" width="3" customWidth="1"/>
    <col min="9" max="9" width="33.6640625" customWidth="1"/>
    <col min="10" max="10" width="25.5" customWidth="1"/>
    <col min="11" max="12" width="20.5" customWidth="1"/>
    <col min="13" max="13" width="16.33203125" customWidth="1"/>
    <col min="14" max="14" width="11.5" customWidth="1"/>
    <col min="15" max="15" width="2" customWidth="1"/>
    <col min="16" max="16" width="32.33203125" customWidth="1"/>
    <col min="17" max="18" width="15.5" customWidth="1"/>
    <col min="19" max="20" width="14.83203125" customWidth="1"/>
    <col min="21" max="21" width="9.5" customWidth="1"/>
    <col min="22" max="22" width="9.33203125" customWidth="1"/>
    <col min="23" max="23" width="4.1640625" customWidth="1"/>
    <col min="24" max="24" width="31.6640625" customWidth="1"/>
    <col min="25" max="25" width="21.33203125" customWidth="1"/>
    <col min="26" max="26" width="9.33203125" customWidth="1"/>
    <col min="27" max="27" width="4" customWidth="1"/>
    <col min="28" max="28" width="38.1640625" customWidth="1"/>
    <col min="29" max="29" width="19.83203125" customWidth="1"/>
    <col min="30" max="30" width="12.5" customWidth="1"/>
  </cols>
  <sheetData>
    <row r="1" spans="1:30" x14ac:dyDescent="0.25">
      <c r="A1" s="3" t="s">
        <v>1240</v>
      </c>
      <c r="B1" s="16"/>
      <c r="C1" s="22"/>
      <c r="D1" s="3"/>
      <c r="E1" s="3"/>
      <c r="F1" s="3"/>
      <c r="G1" s="3"/>
      <c r="H1" s="3"/>
      <c r="I1" s="3"/>
      <c r="J1" s="3"/>
      <c r="K1" s="3"/>
      <c r="L1" s="3"/>
      <c r="M1" s="3"/>
      <c r="N1" s="3"/>
      <c r="O1" s="3"/>
      <c r="P1" s="3"/>
      <c r="Q1" s="3"/>
      <c r="R1" s="3"/>
      <c r="S1" s="3"/>
      <c r="T1" s="3"/>
      <c r="U1" s="3"/>
      <c r="V1" s="3"/>
      <c r="W1" s="3"/>
      <c r="X1" s="3"/>
      <c r="Y1" s="3"/>
      <c r="Z1" s="3"/>
      <c r="AA1" s="3"/>
      <c r="AB1" s="3"/>
      <c r="AC1" s="3"/>
      <c r="AD1" s="3"/>
    </row>
    <row r="2" spans="1:30" ht="60.75" customHeight="1" x14ac:dyDescent="0.25">
      <c r="A2" s="3"/>
      <c r="B2" s="3"/>
      <c r="C2" s="3"/>
      <c r="D2" s="3"/>
      <c r="E2" s="3"/>
      <c r="F2" s="3"/>
      <c r="G2" s="3"/>
      <c r="H2" s="3"/>
      <c r="I2" s="3"/>
      <c r="J2" s="3"/>
      <c r="K2" s="3"/>
      <c r="L2" s="3"/>
      <c r="M2" s="3"/>
      <c r="N2" s="3"/>
      <c r="O2" s="3"/>
      <c r="P2" s="3"/>
      <c r="Q2" s="3"/>
      <c r="R2" s="3"/>
      <c r="S2" s="3"/>
      <c r="T2" s="3"/>
      <c r="U2" s="3"/>
      <c r="V2" s="3"/>
      <c r="W2" s="3"/>
      <c r="X2" s="3"/>
      <c r="Y2" s="3"/>
      <c r="Z2" s="3"/>
      <c r="AA2" s="3"/>
      <c r="AB2" s="3"/>
      <c r="AC2" s="3"/>
      <c r="AD2" s="3"/>
    </row>
    <row r="3" spans="1:30"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row>
    <row r="4" spans="1:30" x14ac:dyDescent="0.25">
      <c r="A4" s="3"/>
      <c r="B4" s="3"/>
      <c r="C4" s="3"/>
      <c r="D4" s="3"/>
      <c r="E4" s="3"/>
      <c r="F4" s="3"/>
      <c r="G4" s="3"/>
      <c r="H4" s="3"/>
      <c r="I4" s="3"/>
      <c r="J4" s="3"/>
      <c r="K4" s="3"/>
      <c r="L4" s="3"/>
      <c r="M4" s="3"/>
      <c r="N4" s="3"/>
      <c r="O4" s="3"/>
      <c r="P4" s="3"/>
      <c r="Q4" s="3"/>
      <c r="R4" s="3"/>
      <c r="S4" s="3"/>
      <c r="T4" s="3"/>
      <c r="U4" s="3"/>
      <c r="V4" s="3"/>
      <c r="W4" s="3"/>
      <c r="X4" s="3"/>
      <c r="Y4" s="3"/>
      <c r="Z4" s="3"/>
      <c r="AA4" s="3"/>
      <c r="AB4" s="3"/>
      <c r="AC4" s="3"/>
      <c r="AD4" s="3"/>
    </row>
    <row r="5" spans="1:30" x14ac:dyDescent="0.25">
      <c r="A5" s="3"/>
      <c r="B5" s="194"/>
      <c r="C5" s="739">
        <v>2011</v>
      </c>
      <c r="D5" s="195"/>
      <c r="E5" s="195"/>
      <c r="F5" s="195"/>
      <c r="G5" s="1559"/>
      <c r="H5" s="3"/>
      <c r="I5" s="194"/>
      <c r="J5" s="195">
        <v>2011</v>
      </c>
      <c r="K5" s="195"/>
      <c r="L5" s="195"/>
      <c r="M5" s="195"/>
      <c r="N5" s="1559"/>
      <c r="O5" s="3"/>
      <c r="P5" s="194"/>
      <c r="Q5" s="195">
        <v>2011</v>
      </c>
      <c r="R5" s="195"/>
      <c r="S5" s="195"/>
      <c r="T5" s="195"/>
      <c r="U5" s="195"/>
      <c r="V5" s="1559"/>
      <c r="W5" s="3"/>
      <c r="X5" s="194"/>
      <c r="Y5" s="195">
        <v>2011</v>
      </c>
      <c r="Z5" s="1559"/>
      <c r="AA5" s="3"/>
      <c r="AB5" s="1453"/>
      <c r="AC5" s="1561">
        <v>2011</v>
      </c>
      <c r="AD5" s="1562"/>
    </row>
    <row r="6" spans="1:30" x14ac:dyDescent="0.25">
      <c r="A6" s="3"/>
      <c r="B6" s="201"/>
      <c r="C6" s="81"/>
      <c r="D6" s="81"/>
      <c r="E6" s="81"/>
      <c r="F6" s="81"/>
      <c r="G6" s="206"/>
      <c r="H6" s="3"/>
      <c r="I6" s="201"/>
      <c r="J6" s="81"/>
      <c r="K6" s="81"/>
      <c r="L6" s="81"/>
      <c r="M6" s="81"/>
      <c r="N6" s="206"/>
      <c r="O6" s="3"/>
      <c r="P6" s="201"/>
      <c r="Q6" s="81"/>
      <c r="R6" s="81"/>
      <c r="S6" s="81"/>
      <c r="T6" s="81"/>
      <c r="U6" s="81"/>
      <c r="V6" s="206"/>
      <c r="W6" s="3"/>
      <c r="X6" s="1564" t="s">
        <v>1241</v>
      </c>
      <c r="Y6" s="81"/>
      <c r="Z6" s="206"/>
      <c r="AA6" s="3"/>
      <c r="AB6" s="1565" t="s">
        <v>1242</v>
      </c>
      <c r="AC6" s="81"/>
      <c r="AD6" s="928"/>
    </row>
    <row r="7" spans="1:30" x14ac:dyDescent="0.25">
      <c r="A7" s="3"/>
      <c r="B7" s="1415" t="s">
        <v>1243</v>
      </c>
      <c r="C7" s="58" t="s">
        <v>89</v>
      </c>
      <c r="D7" s="58" t="s">
        <v>98</v>
      </c>
      <c r="E7" s="58" t="s">
        <v>122</v>
      </c>
      <c r="F7" s="58" t="s">
        <v>205</v>
      </c>
      <c r="G7" s="206"/>
      <c r="H7" s="3"/>
      <c r="I7" s="1415" t="s">
        <v>1244</v>
      </c>
      <c r="J7" s="58" t="s">
        <v>89</v>
      </c>
      <c r="K7" s="58" t="s">
        <v>98</v>
      </c>
      <c r="L7" s="58" t="s">
        <v>122</v>
      </c>
      <c r="M7" s="58" t="s">
        <v>205</v>
      </c>
      <c r="N7" s="206"/>
      <c r="O7" s="3"/>
      <c r="P7" s="1415" t="s">
        <v>1245</v>
      </c>
      <c r="Q7" s="81" t="s">
        <v>1246</v>
      </c>
      <c r="R7" s="81" t="s">
        <v>1247</v>
      </c>
      <c r="S7" s="81" t="s">
        <v>1248</v>
      </c>
      <c r="T7" s="81" t="s">
        <v>1249</v>
      </c>
      <c r="U7" s="58" t="s">
        <v>205</v>
      </c>
      <c r="V7" s="206"/>
      <c r="W7" s="3"/>
      <c r="X7" s="201"/>
      <c r="Y7" s="81"/>
      <c r="Z7" s="206"/>
      <c r="AA7" s="3"/>
      <c r="AB7" s="623"/>
      <c r="AC7" s="81"/>
      <c r="AD7" s="928"/>
    </row>
    <row r="8" spans="1:30" x14ac:dyDescent="0.25">
      <c r="A8" s="3"/>
      <c r="B8" s="201"/>
      <c r="C8" s="81"/>
      <c r="D8" s="81"/>
      <c r="E8" s="81"/>
      <c r="F8" s="81"/>
      <c r="G8" s="206"/>
      <c r="H8" s="3"/>
      <c r="I8" s="201"/>
      <c r="J8" s="81"/>
      <c r="K8" s="81"/>
      <c r="L8" s="81"/>
      <c r="M8" s="81"/>
      <c r="N8" s="206"/>
      <c r="O8" s="3"/>
      <c r="P8" s="201"/>
      <c r="Q8" s="81"/>
      <c r="R8" s="81"/>
      <c r="S8" s="81"/>
      <c r="T8" s="81"/>
      <c r="U8" s="81"/>
      <c r="V8" s="206"/>
      <c r="W8" s="3"/>
      <c r="X8" s="201"/>
      <c r="Y8" s="81"/>
      <c r="Z8" s="206"/>
      <c r="AA8" s="3"/>
      <c r="AB8" s="623"/>
      <c r="AC8" s="81"/>
      <c r="AD8" s="928"/>
    </row>
    <row r="9" spans="1:30" x14ac:dyDescent="0.25">
      <c r="A9" s="3"/>
      <c r="B9" s="201" t="s">
        <v>1250</v>
      </c>
      <c r="C9" s="624">
        <v>237676</v>
      </c>
      <c r="D9" s="624">
        <v>234367</v>
      </c>
      <c r="E9" s="624">
        <v>231974</v>
      </c>
      <c r="F9" s="1007">
        <f>SUM(C9:E9)</f>
        <v>704017</v>
      </c>
      <c r="G9" s="206"/>
      <c r="H9" s="3"/>
      <c r="I9" s="201" t="s">
        <v>1250</v>
      </c>
      <c r="J9" s="624">
        <v>183061</v>
      </c>
      <c r="K9" s="624">
        <v>185329</v>
      </c>
      <c r="L9" s="624">
        <v>188523</v>
      </c>
      <c r="M9" s="1007">
        <f>SUM(J9:L9)</f>
        <v>556913</v>
      </c>
      <c r="N9" s="206"/>
      <c r="O9" s="3"/>
      <c r="P9" s="201" t="s">
        <v>1250</v>
      </c>
      <c r="Q9" s="672">
        <f>1945493*0.0005</f>
        <v>972.74649999999997</v>
      </c>
      <c r="R9" s="672">
        <f>1687072*0.0005</f>
        <v>843.53600000000006</v>
      </c>
      <c r="S9" s="672">
        <f>653682*0.0005</f>
        <v>326.84100000000001</v>
      </c>
      <c r="T9" s="672">
        <f>600688*0.0005</f>
        <v>300.34399999999999</v>
      </c>
      <c r="U9" s="891">
        <f>SUM(Q9:S9)</f>
        <v>2143.1235000000001</v>
      </c>
      <c r="V9" s="206"/>
      <c r="W9" s="3"/>
      <c r="X9" s="201" t="s">
        <v>1250</v>
      </c>
      <c r="Y9" s="1007">
        <v>118186</v>
      </c>
      <c r="Z9" s="206"/>
      <c r="AA9" s="3"/>
      <c r="AB9" s="623" t="s">
        <v>1250</v>
      </c>
      <c r="AC9" s="624">
        <f>F9+M9+U9+Y9</f>
        <v>1381259.1235</v>
      </c>
      <c r="AD9" s="928"/>
    </row>
    <row r="10" spans="1:30" x14ac:dyDescent="0.25">
      <c r="A10" s="3"/>
      <c r="B10" s="201"/>
      <c r="C10" s="624"/>
      <c r="D10" s="624"/>
      <c r="E10" s="624"/>
      <c r="F10" s="624"/>
      <c r="G10" s="206"/>
      <c r="H10" s="3"/>
      <c r="I10" s="201"/>
      <c r="J10" s="672"/>
      <c r="K10" s="672"/>
      <c r="L10" s="672"/>
      <c r="M10" s="672"/>
      <c r="N10" s="206"/>
      <c r="O10" s="3"/>
      <c r="P10" s="201"/>
      <c r="Q10" s="81"/>
      <c r="R10" s="81"/>
      <c r="S10" s="81"/>
      <c r="T10" s="81"/>
      <c r="U10" s="81"/>
      <c r="V10" s="206"/>
      <c r="W10" s="3"/>
      <c r="X10" s="201"/>
      <c r="Y10" s="81"/>
      <c r="Z10" s="206"/>
      <c r="AA10" s="3"/>
      <c r="AB10" s="623"/>
      <c r="AC10" s="81"/>
      <c r="AD10" s="928"/>
    </row>
    <row r="11" spans="1:30" x14ac:dyDescent="0.25">
      <c r="A11" s="3"/>
      <c r="B11" s="201" t="s">
        <v>1251</v>
      </c>
      <c r="C11" s="672">
        <v>9.9499999999999993</v>
      </c>
      <c r="D11" s="672">
        <v>9.9499999999999993</v>
      </c>
      <c r="E11" s="672">
        <v>9.9499999999999993</v>
      </c>
      <c r="F11" s="672"/>
      <c r="G11" s="206"/>
      <c r="H11" s="3"/>
      <c r="I11" s="201" t="s">
        <v>1251</v>
      </c>
      <c r="J11" s="672">
        <v>9.9499999999999993</v>
      </c>
      <c r="K11" s="672">
        <v>9.9499999999999993</v>
      </c>
      <c r="L11" s="672">
        <v>9.9499999999999993</v>
      </c>
      <c r="M11" s="672"/>
      <c r="N11" s="206" t="s">
        <v>1252</v>
      </c>
      <c r="O11" s="3"/>
      <c r="P11" s="201" t="s">
        <v>1251</v>
      </c>
      <c r="Q11" s="81">
        <v>9.9499999999999993</v>
      </c>
      <c r="R11" s="81">
        <v>9.9499999999999993</v>
      </c>
      <c r="S11" s="81">
        <v>9.9499999999999993</v>
      </c>
      <c r="T11" s="81">
        <v>9.9499999999999993</v>
      </c>
      <c r="U11" s="81"/>
      <c r="V11" s="206" t="s">
        <v>1252</v>
      </c>
      <c r="W11" s="3"/>
      <c r="X11" s="201" t="s">
        <v>1251</v>
      </c>
      <c r="Y11" s="81">
        <v>9.9499999999999993</v>
      </c>
      <c r="Z11" s="206" t="s">
        <v>1252</v>
      </c>
      <c r="AA11" s="3"/>
      <c r="AB11" s="623" t="s">
        <v>1251</v>
      </c>
      <c r="AC11" s="81">
        <v>9.9499999999999993</v>
      </c>
      <c r="AD11" s="928" t="s">
        <v>1252</v>
      </c>
    </row>
    <row r="12" spans="1:30" x14ac:dyDescent="0.25">
      <c r="A12" s="3"/>
      <c r="B12" s="201"/>
      <c r="C12" s="672"/>
      <c r="D12" s="672"/>
      <c r="E12" s="672"/>
      <c r="F12" s="672"/>
      <c r="G12" s="206"/>
      <c r="H12" s="3"/>
      <c r="I12" s="201"/>
      <c r="J12" s="672"/>
      <c r="K12" s="672"/>
      <c r="L12" s="672"/>
      <c r="M12" s="672"/>
      <c r="N12" s="206"/>
      <c r="O12" s="3"/>
      <c r="P12" s="201"/>
      <c r="Q12" s="81"/>
      <c r="R12" s="81"/>
      <c r="S12" s="81"/>
      <c r="T12" s="81"/>
      <c r="U12" s="81"/>
      <c r="V12" s="206"/>
      <c r="W12" s="3"/>
      <c r="X12" s="201"/>
      <c r="Y12" s="81"/>
      <c r="Z12" s="206"/>
      <c r="AA12" s="3"/>
      <c r="AB12" s="623"/>
      <c r="AC12" s="81"/>
      <c r="AD12" s="928"/>
    </row>
    <row r="13" spans="1:30" x14ac:dyDescent="0.25">
      <c r="A13" s="3"/>
      <c r="B13" s="201" t="s">
        <v>1253</v>
      </c>
      <c r="C13" s="672">
        <f t="shared" ref="C13:E13" si="0">C9*C11</f>
        <v>2364876.1999999997</v>
      </c>
      <c r="D13" s="672">
        <f t="shared" si="0"/>
        <v>2331951.65</v>
      </c>
      <c r="E13" s="672">
        <f t="shared" si="0"/>
        <v>2308141.2999999998</v>
      </c>
      <c r="F13" s="672"/>
      <c r="G13" s="206"/>
      <c r="H13" s="3"/>
      <c r="I13" s="201" t="s">
        <v>1253</v>
      </c>
      <c r="J13" s="672">
        <f t="shared" ref="J13:L13" si="1">J9*J11</f>
        <v>1821456.95</v>
      </c>
      <c r="K13" s="672">
        <f t="shared" si="1"/>
        <v>1844023.5499999998</v>
      </c>
      <c r="L13" s="672">
        <f t="shared" si="1"/>
        <v>1875803.8499999999</v>
      </c>
      <c r="M13" s="672"/>
      <c r="N13" s="206"/>
      <c r="O13" s="3"/>
      <c r="P13" s="201" t="s">
        <v>1253</v>
      </c>
      <c r="Q13" s="672">
        <f t="shared" ref="Q13:T13" si="2">Q9*Q11</f>
        <v>9678.8276749999986</v>
      </c>
      <c r="R13" s="672">
        <f t="shared" si="2"/>
        <v>8393.1831999999995</v>
      </c>
      <c r="S13" s="672">
        <f t="shared" si="2"/>
        <v>3252.0679499999997</v>
      </c>
      <c r="T13" s="672">
        <f t="shared" si="2"/>
        <v>2988.4227999999998</v>
      </c>
      <c r="U13" s="81"/>
      <c r="V13" s="206"/>
      <c r="W13" s="3"/>
      <c r="X13" s="201" t="s">
        <v>1253</v>
      </c>
      <c r="Y13" s="624">
        <f>Y9*Y11</f>
        <v>1175950.7</v>
      </c>
      <c r="Z13" s="206"/>
      <c r="AA13" s="3"/>
      <c r="AB13" s="623" t="s">
        <v>1253</v>
      </c>
      <c r="AC13" s="624">
        <f>AC9*AC11</f>
        <v>13743528.278824998</v>
      </c>
      <c r="AD13" s="928"/>
    </row>
    <row r="14" spans="1:30" x14ac:dyDescent="0.25">
      <c r="A14" s="3"/>
      <c r="B14" s="201"/>
      <c r="C14" s="672"/>
      <c r="D14" s="672"/>
      <c r="E14" s="672"/>
      <c r="F14" s="672"/>
      <c r="G14" s="206"/>
      <c r="H14" s="3"/>
      <c r="I14" s="201"/>
      <c r="J14" s="672"/>
      <c r="K14" s="672"/>
      <c r="L14" s="672"/>
      <c r="M14" s="672"/>
      <c r="N14" s="206"/>
      <c r="O14" s="3"/>
      <c r="P14" s="201"/>
      <c r="Q14" s="81"/>
      <c r="R14" s="81"/>
      <c r="S14" s="81"/>
      <c r="T14" s="81"/>
      <c r="U14" s="81"/>
      <c r="V14" s="206"/>
      <c r="W14" s="3"/>
      <c r="X14" s="201"/>
      <c r="Y14" s="81"/>
      <c r="Z14" s="206"/>
      <c r="AA14" s="3"/>
      <c r="AB14" s="623"/>
      <c r="AC14" s="81"/>
      <c r="AD14" s="928"/>
    </row>
    <row r="15" spans="1:30" x14ac:dyDescent="0.25">
      <c r="A15" s="3"/>
      <c r="B15" s="201" t="s">
        <v>1255</v>
      </c>
      <c r="C15" s="672">
        <v>90.7</v>
      </c>
      <c r="D15" s="672">
        <v>90.7</v>
      </c>
      <c r="E15" s="672">
        <v>90.7</v>
      </c>
      <c r="F15" s="672"/>
      <c r="G15" s="206"/>
      <c r="H15" s="3"/>
      <c r="I15" s="201" t="s">
        <v>1256</v>
      </c>
      <c r="J15" s="672">
        <v>90.7</v>
      </c>
      <c r="K15" s="672">
        <v>90.7</v>
      </c>
      <c r="L15" s="672">
        <v>90.7</v>
      </c>
      <c r="M15" s="672"/>
      <c r="N15" s="206" t="s">
        <v>1252</v>
      </c>
      <c r="O15" s="3"/>
      <c r="P15" s="201" t="s">
        <v>1257</v>
      </c>
      <c r="Q15" s="81">
        <v>90.7</v>
      </c>
      <c r="R15" s="81">
        <v>90.7</v>
      </c>
      <c r="S15" s="81">
        <v>90.7</v>
      </c>
      <c r="T15" s="81">
        <v>90.7</v>
      </c>
      <c r="U15" s="81"/>
      <c r="V15" s="206"/>
      <c r="W15" s="3"/>
      <c r="X15" s="201" t="s">
        <v>1258</v>
      </c>
      <c r="Y15" s="81">
        <v>90.7</v>
      </c>
      <c r="Z15" s="206" t="s">
        <v>1252</v>
      </c>
      <c r="AA15" s="3"/>
      <c r="AB15" s="623" t="s">
        <v>1259</v>
      </c>
      <c r="AC15" s="81">
        <v>90.7</v>
      </c>
      <c r="AD15" s="928" t="s">
        <v>1252</v>
      </c>
    </row>
    <row r="16" spans="1:30" x14ac:dyDescent="0.25">
      <c r="A16" s="3"/>
      <c r="B16" s="201"/>
      <c r="C16" s="672"/>
      <c r="D16" s="672"/>
      <c r="E16" s="672"/>
      <c r="F16" s="672"/>
      <c r="G16" s="206"/>
      <c r="H16" s="3"/>
      <c r="I16" s="201"/>
      <c r="J16" s="672"/>
      <c r="K16" s="672"/>
      <c r="L16" s="672"/>
      <c r="M16" s="672"/>
      <c r="N16" s="206"/>
      <c r="O16" s="3"/>
      <c r="P16" s="201"/>
      <c r="Q16" s="81"/>
      <c r="R16" s="81"/>
      <c r="S16" s="81"/>
      <c r="T16" s="81"/>
      <c r="U16" s="81"/>
      <c r="V16" s="206"/>
      <c r="W16" s="3"/>
      <c r="X16" s="201"/>
      <c r="Y16" s="81"/>
      <c r="Z16" s="206"/>
      <c r="AA16" s="3"/>
      <c r="AB16" s="623"/>
      <c r="AC16" s="81"/>
      <c r="AD16" s="928"/>
    </row>
    <row r="17" spans="1:30" x14ac:dyDescent="0.25">
      <c r="A17" s="3"/>
      <c r="B17" s="201" t="s">
        <v>1260</v>
      </c>
      <c r="C17" s="624">
        <f t="shared" ref="C17:E17" si="3">C13*C15</f>
        <v>214494271.33999997</v>
      </c>
      <c r="D17" s="624">
        <f t="shared" si="3"/>
        <v>211508014.655</v>
      </c>
      <c r="E17" s="624">
        <f t="shared" si="3"/>
        <v>209348415.91</v>
      </c>
      <c r="F17" s="672"/>
      <c r="G17" s="206"/>
      <c r="H17" s="3"/>
      <c r="I17" s="201" t="s">
        <v>1261</v>
      </c>
      <c r="J17" s="672">
        <f t="shared" ref="J17:L17" si="4">J13*J15</f>
        <v>165206145.36500001</v>
      </c>
      <c r="K17" s="672">
        <f t="shared" si="4"/>
        <v>167252935.98499998</v>
      </c>
      <c r="L17" s="672">
        <f t="shared" si="4"/>
        <v>170135409.19499999</v>
      </c>
      <c r="M17" s="672"/>
      <c r="N17" s="206"/>
      <c r="O17" s="3"/>
      <c r="P17" s="201" t="s">
        <v>1262</v>
      </c>
      <c r="Q17" s="672">
        <f t="shared" ref="Q17:T17" si="5">Q13*Q15</f>
        <v>877869.67012249993</v>
      </c>
      <c r="R17" s="672">
        <f t="shared" si="5"/>
        <v>761261.71623999998</v>
      </c>
      <c r="S17" s="672">
        <f t="shared" si="5"/>
        <v>294962.56306499999</v>
      </c>
      <c r="T17" s="672">
        <f t="shared" si="5"/>
        <v>271049.94796000002</v>
      </c>
      <c r="U17" s="81"/>
      <c r="V17" s="206"/>
      <c r="W17" s="3"/>
      <c r="X17" s="201" t="s">
        <v>1263</v>
      </c>
      <c r="Y17" s="672">
        <f>Y13*Y15</f>
        <v>106658728.48999999</v>
      </c>
      <c r="Z17" s="206"/>
      <c r="AA17" s="3"/>
      <c r="AB17" s="623" t="s">
        <v>1264</v>
      </c>
      <c r="AC17" s="624">
        <f>AC13*AC15</f>
        <v>1246538014.8894274</v>
      </c>
      <c r="AD17" s="928"/>
    </row>
    <row r="18" spans="1:30" x14ac:dyDescent="0.25">
      <c r="A18" s="3"/>
      <c r="B18" s="201"/>
      <c r="C18" s="672"/>
      <c r="D18" s="672"/>
      <c r="E18" s="672"/>
      <c r="F18" s="672"/>
      <c r="G18" s="206"/>
      <c r="H18" s="3"/>
      <c r="I18" s="201"/>
      <c r="J18" s="672"/>
      <c r="K18" s="672"/>
      <c r="L18" s="672"/>
      <c r="M18" s="672"/>
      <c r="N18" s="206"/>
      <c r="O18" s="3"/>
      <c r="P18" s="201"/>
      <c r="Q18" s="81"/>
      <c r="R18" s="81"/>
      <c r="S18" s="81"/>
      <c r="T18" s="81"/>
      <c r="U18" s="81"/>
      <c r="V18" s="206"/>
      <c r="W18" s="3"/>
      <c r="X18" s="201"/>
      <c r="Y18" s="81"/>
      <c r="Z18" s="206"/>
      <c r="AA18" s="3"/>
      <c r="AB18" s="623"/>
      <c r="AC18" s="81"/>
      <c r="AD18" s="928"/>
    </row>
    <row r="19" spans="1:30" x14ac:dyDescent="0.25">
      <c r="A19" s="3"/>
      <c r="B19" s="201" t="s">
        <v>1265</v>
      </c>
      <c r="C19" s="624">
        <f t="shared" ref="C19:E19" si="6">C17*0.0011023</f>
        <v>236437.03529808199</v>
      </c>
      <c r="D19" s="624">
        <f t="shared" si="6"/>
        <v>233145.2845542065</v>
      </c>
      <c r="E19" s="624">
        <f t="shared" si="6"/>
        <v>230764.758857593</v>
      </c>
      <c r="F19" s="891">
        <f>SUM(C19:E19)</f>
        <v>700347.07870988152</v>
      </c>
      <c r="G19" s="206" t="s">
        <v>1252</v>
      </c>
      <c r="H19" s="3"/>
      <c r="I19" s="201" t="s">
        <v>1266</v>
      </c>
      <c r="J19" s="672">
        <f t="shared" ref="J19:L19" si="7">J17*0.0011023</f>
        <v>182106.73403583953</v>
      </c>
      <c r="K19" s="672">
        <f t="shared" si="7"/>
        <v>184362.9113362655</v>
      </c>
      <c r="L19" s="672">
        <f t="shared" si="7"/>
        <v>187540.2615556485</v>
      </c>
      <c r="M19" s="672">
        <v>554009.90692775359</v>
      </c>
      <c r="N19" s="206" t="s">
        <v>1252</v>
      </c>
      <c r="O19" s="3"/>
      <c r="P19" s="201" t="s">
        <v>1267</v>
      </c>
      <c r="Q19" s="672">
        <f t="shared" ref="Q19:T19" si="8">Q17*0.0011023</f>
        <v>967.67573737603175</v>
      </c>
      <c r="R19" s="672">
        <f t="shared" si="8"/>
        <v>839.13878981135201</v>
      </c>
      <c r="S19" s="672">
        <f t="shared" si="8"/>
        <v>325.13723326654952</v>
      </c>
      <c r="T19" s="672">
        <f t="shared" si="8"/>
        <v>298.77835763630804</v>
      </c>
      <c r="U19" s="672">
        <f>SUM(Q19:S19)</f>
        <v>2131.9517604539333</v>
      </c>
      <c r="V19" s="206" t="s">
        <v>1252</v>
      </c>
      <c r="W19" s="3"/>
      <c r="X19" s="201" t="s">
        <v>1268</v>
      </c>
      <c r="Y19" s="1568">
        <f>Y17*0.0011023</f>
        <v>117569.916414527</v>
      </c>
      <c r="Z19" s="206" t="s">
        <v>1252</v>
      </c>
      <c r="AA19" s="3"/>
      <c r="AB19" s="623" t="s">
        <v>1269</v>
      </c>
      <c r="AC19" s="624">
        <f>AC17*0.0011023</f>
        <v>1374058.8538126159</v>
      </c>
      <c r="AD19" s="928" t="s">
        <v>1252</v>
      </c>
    </row>
    <row r="20" spans="1:30" x14ac:dyDescent="0.25">
      <c r="A20" s="3"/>
      <c r="B20" s="201"/>
      <c r="C20" s="672"/>
      <c r="D20" s="672"/>
      <c r="E20" s="672"/>
      <c r="F20" s="672"/>
      <c r="G20" s="206"/>
      <c r="H20" s="3"/>
      <c r="I20" s="201"/>
      <c r="J20" s="672"/>
      <c r="K20" s="672"/>
      <c r="L20" s="672"/>
      <c r="M20" s="672"/>
      <c r="N20" s="206"/>
      <c r="O20" s="3"/>
      <c r="P20" s="201"/>
      <c r="Q20" s="81"/>
      <c r="R20" s="81"/>
      <c r="S20" s="81"/>
      <c r="T20" s="81"/>
      <c r="U20" s="81"/>
      <c r="V20" s="206"/>
      <c r="W20" s="3"/>
      <c r="X20" s="201"/>
      <c r="Y20" s="1568"/>
      <c r="Z20" s="206"/>
      <c r="AA20" s="3"/>
      <c r="AB20" s="623"/>
      <c r="AC20" s="81"/>
      <c r="AD20" s="928"/>
    </row>
    <row r="21" spans="1:30" ht="15.75" customHeight="1" x14ac:dyDescent="0.25">
      <c r="A21" s="3"/>
      <c r="B21" s="201" t="s">
        <v>1270</v>
      </c>
      <c r="C21" s="624">
        <v>238291</v>
      </c>
      <c r="D21" s="624">
        <v>199914</v>
      </c>
      <c r="E21" s="624">
        <v>233471</v>
      </c>
      <c r="F21" s="672">
        <v>671676</v>
      </c>
      <c r="G21" s="206" t="s">
        <v>531</v>
      </c>
      <c r="H21" s="3"/>
      <c r="I21" s="201" t="s">
        <v>1271</v>
      </c>
      <c r="J21" s="672">
        <f t="shared" ref="J21:L21" si="9">J23*0.90718474</f>
        <v>222307.79778037601</v>
      </c>
      <c r="K21" s="672">
        <f t="shared" si="9"/>
        <v>214955.88192894199</v>
      </c>
      <c r="L21" s="672">
        <f t="shared" si="9"/>
        <v>213570.06652011801</v>
      </c>
      <c r="M21" s="672"/>
      <c r="N21" s="1569" t="s">
        <v>1272</v>
      </c>
      <c r="O21" s="3"/>
      <c r="P21" s="201" t="s">
        <v>1273</v>
      </c>
      <c r="Q21" s="672">
        <f t="shared" ref="Q21:T21" si="10">Q23*0.90718474</f>
        <v>563.36172354000007</v>
      </c>
      <c r="R21" s="672">
        <f t="shared" si="10"/>
        <v>445.42770734000004</v>
      </c>
      <c r="S21" s="672">
        <f t="shared" si="10"/>
        <v>273.96979148000003</v>
      </c>
      <c r="T21" s="672">
        <f t="shared" si="10"/>
        <v>288.48474732</v>
      </c>
      <c r="U21" s="81"/>
      <c r="V21" s="1569" t="s">
        <v>1272</v>
      </c>
      <c r="W21" s="3"/>
      <c r="X21" s="201" t="s">
        <v>1274</v>
      </c>
      <c r="Y21" s="1568">
        <f>Y23*0.90718474</f>
        <v>105608.09713762</v>
      </c>
      <c r="Z21" s="1569" t="s">
        <v>1272</v>
      </c>
      <c r="AA21" s="3"/>
      <c r="AB21" s="623"/>
      <c r="AC21" s="81"/>
      <c r="AD21" s="928"/>
    </row>
    <row r="22" spans="1:30" ht="15.75" customHeight="1" x14ac:dyDescent="0.25">
      <c r="A22" s="3"/>
      <c r="B22" s="201"/>
      <c r="C22" s="672"/>
      <c r="D22" s="672"/>
      <c r="E22" s="672"/>
      <c r="F22" s="672"/>
      <c r="G22" s="206"/>
      <c r="H22" s="3"/>
      <c r="I22" s="201"/>
      <c r="J22" s="672"/>
      <c r="K22" s="672"/>
      <c r="L22" s="672"/>
      <c r="M22" s="672"/>
      <c r="N22" s="206"/>
      <c r="O22" s="3"/>
      <c r="P22" s="201"/>
      <c r="Q22" s="81"/>
      <c r="R22" s="81"/>
      <c r="S22" s="81"/>
      <c r="T22" s="81"/>
      <c r="U22" s="81"/>
      <c r="V22" s="206"/>
      <c r="W22" s="3"/>
      <c r="X22" s="201"/>
      <c r="Y22" s="1568"/>
      <c r="Z22" s="206"/>
      <c r="AA22" s="3"/>
      <c r="AB22" s="623"/>
      <c r="AC22" s="81"/>
      <c r="AD22" s="928"/>
    </row>
    <row r="23" spans="1:30" ht="15.75" customHeight="1" x14ac:dyDescent="0.25">
      <c r="A23" s="3"/>
      <c r="B23" s="1564" t="s">
        <v>1276</v>
      </c>
      <c r="C23" s="1570">
        <f t="shared" ref="C23:E23" si="11">C21*1.1023</f>
        <v>262668.16930000001</v>
      </c>
      <c r="D23" s="1570">
        <f t="shared" si="11"/>
        <v>220365.2022</v>
      </c>
      <c r="E23" s="1570">
        <f t="shared" si="11"/>
        <v>257355.08330000003</v>
      </c>
      <c r="F23" s="1571">
        <f>SUM(C23:E23)</f>
        <v>740388.45480000007</v>
      </c>
      <c r="G23" s="1569" t="s">
        <v>531</v>
      </c>
      <c r="H23" s="3"/>
      <c r="I23" s="1564" t="s">
        <v>1277</v>
      </c>
      <c r="J23" s="1570">
        <v>245052.4</v>
      </c>
      <c r="K23" s="1570">
        <v>236948.3</v>
      </c>
      <c r="L23" s="1570">
        <v>235420.7</v>
      </c>
      <c r="M23" s="1571">
        <f>SUM(J23:L23)</f>
        <v>717421.39999999991</v>
      </c>
      <c r="N23" s="1569" t="s">
        <v>1272</v>
      </c>
      <c r="O23" s="3"/>
      <c r="P23" s="1564" t="s">
        <v>1278</v>
      </c>
      <c r="Q23" s="1572">
        <v>621</v>
      </c>
      <c r="R23" s="1572">
        <v>491</v>
      </c>
      <c r="S23" s="1572">
        <v>302</v>
      </c>
      <c r="T23" s="1572">
        <v>318</v>
      </c>
      <c r="U23" s="1573">
        <f>SUM(Q23:S23)</f>
        <v>1414</v>
      </c>
      <c r="V23" s="1569" t="s">
        <v>1272</v>
      </c>
      <c r="W23" s="3"/>
      <c r="X23" s="1564" t="s">
        <v>1279</v>
      </c>
      <c r="Y23" s="1574">
        <v>116413</v>
      </c>
      <c r="Z23" s="1569" t="s">
        <v>1272</v>
      </c>
      <c r="AA23" s="3"/>
      <c r="AB23" s="1575" t="s">
        <v>1280</v>
      </c>
      <c r="AC23" s="1573">
        <f>F23+M23+U23+Y23</f>
        <v>1575636.8547999999</v>
      </c>
      <c r="AD23" s="928"/>
    </row>
    <row r="24" spans="1:30" ht="15.75" customHeight="1" x14ac:dyDescent="0.25">
      <c r="A24" s="3"/>
      <c r="B24" s="201"/>
      <c r="C24" s="672"/>
      <c r="D24" s="672"/>
      <c r="E24" s="672"/>
      <c r="F24" s="672"/>
      <c r="G24" s="206"/>
      <c r="H24" s="3"/>
      <c r="I24" s="201"/>
      <c r="J24" s="672"/>
      <c r="K24" s="672"/>
      <c r="L24" s="672"/>
      <c r="M24" s="672"/>
      <c r="N24" s="206"/>
      <c r="O24" s="3"/>
      <c r="P24" s="201"/>
      <c r="Q24" s="81"/>
      <c r="R24" s="81"/>
      <c r="S24" s="81"/>
      <c r="T24" s="81"/>
      <c r="U24" s="81"/>
      <c r="V24" s="206"/>
      <c r="W24" s="3"/>
      <c r="X24" s="201"/>
      <c r="Y24" s="1568"/>
      <c r="Z24" s="206"/>
      <c r="AA24" s="3"/>
      <c r="AB24" s="623"/>
      <c r="AC24" s="81"/>
      <c r="AD24" s="928"/>
    </row>
    <row r="25" spans="1:30" ht="15.75" customHeight="1" x14ac:dyDescent="0.25">
      <c r="A25" s="3"/>
      <c r="B25" s="201" t="s">
        <v>1281</v>
      </c>
      <c r="C25" s="672">
        <v>3.2000000000000001E-2</v>
      </c>
      <c r="D25" s="672">
        <v>3.2000000000000001E-2</v>
      </c>
      <c r="E25" s="672">
        <v>3.2000000000000001E-2</v>
      </c>
      <c r="F25" s="672"/>
      <c r="G25" s="206"/>
      <c r="H25" s="3"/>
      <c r="I25" s="201" t="s">
        <v>1282</v>
      </c>
      <c r="J25" s="672">
        <v>3.2000000000000001E-2</v>
      </c>
      <c r="K25" s="672">
        <v>3.2000000000000001E-2</v>
      </c>
      <c r="L25" s="672">
        <v>3.2000000000000001E-2</v>
      </c>
      <c r="M25" s="672"/>
      <c r="N25" s="206"/>
      <c r="O25" s="3"/>
      <c r="P25" s="201" t="s">
        <v>1283</v>
      </c>
      <c r="Q25" s="81">
        <v>3.2000000000000001E-2</v>
      </c>
      <c r="R25" s="81">
        <v>3.2000000000000001E-2</v>
      </c>
      <c r="S25" s="81">
        <v>3.2000000000000001E-2</v>
      </c>
      <c r="T25" s="81">
        <v>3.2000000000000001E-2</v>
      </c>
      <c r="U25" s="81"/>
      <c r="V25" s="206" t="s">
        <v>1252</v>
      </c>
      <c r="W25" s="3"/>
      <c r="X25" s="201" t="s">
        <v>1284</v>
      </c>
      <c r="Y25" s="1568">
        <v>3.2000000000000001E-2</v>
      </c>
      <c r="Z25" s="206"/>
      <c r="AA25" s="3"/>
      <c r="AB25" s="623" t="s">
        <v>1285</v>
      </c>
      <c r="AC25" s="81">
        <v>3.2000000000000001E-2</v>
      </c>
      <c r="AD25" s="928"/>
    </row>
    <row r="26" spans="1:30" ht="15.75" customHeight="1" x14ac:dyDescent="0.25">
      <c r="A26" s="3"/>
      <c r="B26" s="201" t="s">
        <v>1286</v>
      </c>
      <c r="C26" s="672">
        <f t="shared" ref="C26:E26" si="12">C13*C25</f>
        <v>75676.03839999999</v>
      </c>
      <c r="D26" s="672">
        <f t="shared" si="12"/>
        <v>74622.452799999999</v>
      </c>
      <c r="E26" s="672">
        <f t="shared" si="12"/>
        <v>73860.521599999993</v>
      </c>
      <c r="F26" s="672"/>
      <c r="G26" s="206"/>
      <c r="H26" s="3"/>
      <c r="I26" s="201" t="s">
        <v>1288</v>
      </c>
      <c r="J26" s="672">
        <f t="shared" ref="J26:L26" si="13">J13*J25</f>
        <v>58286.6224</v>
      </c>
      <c r="K26" s="672">
        <f t="shared" si="13"/>
        <v>59008.753599999996</v>
      </c>
      <c r="L26" s="672">
        <f t="shared" si="13"/>
        <v>60025.7232</v>
      </c>
      <c r="M26" s="672"/>
      <c r="N26" s="206"/>
      <c r="O26" s="3"/>
      <c r="P26" s="201" t="s">
        <v>1289</v>
      </c>
      <c r="Q26" s="672">
        <f t="shared" ref="Q26:T26" si="14">Q13*Q25</f>
        <v>309.72248559999997</v>
      </c>
      <c r="R26" s="672">
        <f t="shared" si="14"/>
        <v>268.58186239999998</v>
      </c>
      <c r="S26" s="672">
        <f t="shared" si="14"/>
        <v>104.06617439999999</v>
      </c>
      <c r="T26" s="672">
        <f t="shared" si="14"/>
        <v>95.629529599999998</v>
      </c>
      <c r="U26" s="81"/>
      <c r="V26" s="206"/>
      <c r="W26" s="3"/>
      <c r="X26" s="201" t="s">
        <v>1290</v>
      </c>
      <c r="Y26" s="1568">
        <v>37630.422399999996</v>
      </c>
      <c r="Z26" s="206"/>
      <c r="AA26" s="3"/>
      <c r="AB26" s="623" t="s">
        <v>1291</v>
      </c>
      <c r="AC26" s="672">
        <f>AC13*AC25</f>
        <v>439792.90492239996</v>
      </c>
      <c r="AD26" s="928"/>
    </row>
    <row r="27" spans="1:30" ht="15.75" customHeight="1" x14ac:dyDescent="0.25">
      <c r="A27" s="3"/>
      <c r="B27" s="201" t="s">
        <v>1293</v>
      </c>
      <c r="C27" s="672">
        <f t="shared" ref="C27:E27" si="15">C26*0.0011023</f>
        <v>83.41769712832</v>
      </c>
      <c r="D27" s="672">
        <f t="shared" si="15"/>
        <v>82.256329721440011</v>
      </c>
      <c r="E27" s="672">
        <f t="shared" si="15"/>
        <v>81.416452959680001</v>
      </c>
      <c r="F27" s="672">
        <f>SUM(C27:E27)</f>
        <v>247.09047980944001</v>
      </c>
      <c r="G27" s="206" t="s">
        <v>1252</v>
      </c>
      <c r="H27" s="3"/>
      <c r="I27" s="201" t="s">
        <v>1294</v>
      </c>
      <c r="J27" s="672">
        <v>83.394994316799981</v>
      </c>
      <c r="K27" s="672">
        <v>82.256329721440011</v>
      </c>
      <c r="L27" s="672">
        <v>81.416452959680001</v>
      </c>
      <c r="M27" s="672">
        <v>195.44356166143999</v>
      </c>
      <c r="N27" s="206" t="s">
        <v>1252</v>
      </c>
      <c r="O27" s="3"/>
      <c r="P27" s="201" t="s">
        <v>1295</v>
      </c>
      <c r="Q27" s="672">
        <f t="shared" ref="Q27:T27" si="16">Q26*0.0011023</f>
        <v>0.34140709587688001</v>
      </c>
      <c r="R27" s="672">
        <f t="shared" si="16"/>
        <v>0.29605778692351997</v>
      </c>
      <c r="S27" s="672">
        <f t="shared" si="16"/>
        <v>0.11471214404112</v>
      </c>
      <c r="T27" s="672">
        <f t="shared" si="16"/>
        <v>0.10541243047808001</v>
      </c>
      <c r="U27" s="672">
        <f>SUM(Q27:S27)</f>
        <v>0.75217702684151988</v>
      </c>
      <c r="V27" s="206"/>
      <c r="W27" s="3"/>
      <c r="X27" s="201" t="s">
        <v>1297</v>
      </c>
      <c r="Y27" s="1568">
        <v>41.46872548479999</v>
      </c>
      <c r="Z27" s="206" t="s">
        <v>1252</v>
      </c>
      <c r="AA27" s="3"/>
      <c r="AB27" s="623" t="s">
        <v>1298</v>
      </c>
      <c r="AC27" s="672">
        <f>AC26*0.0011023</f>
        <v>484.78371909596149</v>
      </c>
      <c r="AD27" s="928" t="s">
        <v>1252</v>
      </c>
    </row>
    <row r="28" spans="1:30" ht="15.75" customHeight="1" x14ac:dyDescent="0.25">
      <c r="A28" s="3"/>
      <c r="B28" s="201"/>
      <c r="C28" s="672"/>
      <c r="D28" s="672"/>
      <c r="E28" s="672"/>
      <c r="F28" s="891"/>
      <c r="G28" s="206"/>
      <c r="H28" s="3"/>
      <c r="I28" s="201"/>
      <c r="J28" s="672"/>
      <c r="K28" s="672"/>
      <c r="L28" s="672"/>
      <c r="M28" s="672"/>
      <c r="N28" s="206"/>
      <c r="O28" s="3"/>
      <c r="P28" s="201"/>
      <c r="Q28" s="672"/>
      <c r="R28" s="672"/>
      <c r="S28" s="672"/>
      <c r="T28" s="672"/>
      <c r="U28" s="81"/>
      <c r="V28" s="206"/>
      <c r="W28" s="3"/>
      <c r="X28" s="201"/>
      <c r="Y28" s="1568"/>
      <c r="Z28" s="206"/>
      <c r="AA28" s="3"/>
      <c r="AB28" s="623"/>
      <c r="AC28" s="81"/>
      <c r="AD28" s="928"/>
    </row>
    <row r="29" spans="1:30" ht="15.75" customHeight="1" x14ac:dyDescent="0.25">
      <c r="A29" s="3"/>
      <c r="B29" s="1576" t="s">
        <v>1300</v>
      </c>
      <c r="C29" s="1577">
        <v>1.44</v>
      </c>
      <c r="D29" s="1577">
        <v>1.42</v>
      </c>
      <c r="E29" s="1577">
        <v>1.4</v>
      </c>
      <c r="F29" s="1578">
        <f>SUM(C29:E29)</f>
        <v>4.26</v>
      </c>
      <c r="G29" s="1579" t="s">
        <v>531</v>
      </c>
      <c r="H29" s="3"/>
      <c r="I29" s="1576" t="s">
        <v>1301</v>
      </c>
      <c r="J29" s="1580">
        <v>1.29E-2</v>
      </c>
      <c r="K29" s="1580">
        <v>9.5999999999999992E-3</v>
      </c>
      <c r="L29" s="1580">
        <v>7.6E-3</v>
      </c>
      <c r="M29" s="1580">
        <f>SUM(J29:L29)</f>
        <v>3.0099999999999998E-2</v>
      </c>
      <c r="N29" s="1579" t="s">
        <v>1272</v>
      </c>
      <c r="O29" s="3"/>
      <c r="P29" s="1576" t="s">
        <v>1303</v>
      </c>
      <c r="Q29" s="1582">
        <v>1.1900000000000001E-2</v>
      </c>
      <c r="R29" s="1582">
        <v>9.41E-3</v>
      </c>
      <c r="S29" s="1582">
        <v>5.79E-3</v>
      </c>
      <c r="T29" s="1582">
        <v>6.1000000000000004E-3</v>
      </c>
      <c r="U29" s="1583">
        <f>SUM(Q29:T29)</f>
        <v>3.32E-2</v>
      </c>
      <c r="V29" s="1579" t="s">
        <v>1272</v>
      </c>
      <c r="W29" s="3"/>
      <c r="X29" s="1576" t="s">
        <v>1305</v>
      </c>
      <c r="Y29" s="1587">
        <f>Y33</f>
        <v>5.4442519177619992</v>
      </c>
      <c r="Z29" s="1579"/>
      <c r="AA29" s="3"/>
      <c r="AB29" s="1589" t="s">
        <v>1306</v>
      </c>
      <c r="AC29" s="1578">
        <f>(F29+M29+U29+Y29)*$C$44</f>
        <v>272.51469850555975</v>
      </c>
      <c r="AD29" s="1579" t="s">
        <v>1272</v>
      </c>
    </row>
    <row r="30" spans="1:30" ht="15.75" customHeight="1" x14ac:dyDescent="0.25">
      <c r="A30" s="3"/>
      <c r="B30" s="201"/>
      <c r="C30" s="672"/>
      <c r="D30" s="672"/>
      <c r="E30" s="672"/>
      <c r="F30" s="672"/>
      <c r="G30" s="206"/>
      <c r="H30" s="3"/>
      <c r="I30" s="201"/>
      <c r="J30" s="672"/>
      <c r="K30" s="672"/>
      <c r="L30" s="672"/>
      <c r="M30" s="672"/>
      <c r="N30" s="206"/>
      <c r="O30" s="3"/>
      <c r="P30" s="201"/>
      <c r="Q30" s="81"/>
      <c r="R30" s="81"/>
      <c r="S30" s="81"/>
      <c r="T30" s="81"/>
      <c r="U30" s="81"/>
      <c r="V30" s="206"/>
      <c r="W30" s="3"/>
      <c r="X30" s="201"/>
      <c r="Y30" s="1568"/>
      <c r="Z30" s="206"/>
      <c r="AA30" s="3"/>
      <c r="AB30" s="623"/>
      <c r="AC30" s="81"/>
      <c r="AD30" s="928"/>
    </row>
    <row r="31" spans="1:30" ht="15.75" customHeight="1" x14ac:dyDescent="0.25">
      <c r="A31" s="3"/>
      <c r="B31" s="201" t="s">
        <v>1308</v>
      </c>
      <c r="C31" s="654">
        <v>4.1999999999999997E-3</v>
      </c>
      <c r="D31" s="654">
        <v>4.1999999999999997E-3</v>
      </c>
      <c r="E31" s="654">
        <v>4.1999999999999997E-3</v>
      </c>
      <c r="F31" s="672"/>
      <c r="G31" s="206"/>
      <c r="H31" s="3"/>
      <c r="I31" s="201" t="s">
        <v>1309</v>
      </c>
      <c r="J31" s="654">
        <v>4.1999999999999997E-3</v>
      </c>
      <c r="K31" s="654">
        <v>4.1999999999999997E-3</v>
      </c>
      <c r="L31" s="654">
        <v>4.1999999999999997E-3</v>
      </c>
      <c r="M31" s="672"/>
      <c r="N31" s="206"/>
      <c r="O31" s="3"/>
      <c r="P31" s="201" t="s">
        <v>1310</v>
      </c>
      <c r="Q31" s="81">
        <v>4.1999999999999997E-3</v>
      </c>
      <c r="R31" s="81">
        <v>4.1999999999999997E-3</v>
      </c>
      <c r="S31" s="81">
        <v>4.1999999999999997E-3</v>
      </c>
      <c r="T31" s="81">
        <v>4.1999999999999997E-3</v>
      </c>
      <c r="U31" s="81"/>
      <c r="V31" s="206" t="s">
        <v>1252</v>
      </c>
      <c r="W31" s="3"/>
      <c r="X31" s="201" t="s">
        <v>1311</v>
      </c>
      <c r="Y31" s="654">
        <v>4.1999999999999997E-3</v>
      </c>
      <c r="Z31" s="206"/>
      <c r="AA31" s="3"/>
      <c r="AB31" s="623" t="s">
        <v>1312</v>
      </c>
      <c r="AC31" s="81">
        <v>4.1999999999999997E-3</v>
      </c>
      <c r="AD31" s="928"/>
    </row>
    <row r="32" spans="1:30" ht="15.75" customHeight="1" x14ac:dyDescent="0.25">
      <c r="A32" s="3"/>
      <c r="B32" s="201" t="s">
        <v>1313</v>
      </c>
      <c r="C32" s="672">
        <f t="shared" ref="C32:E32" si="17">C13*C31</f>
        <v>9932.4800399999986</v>
      </c>
      <c r="D32" s="672">
        <f t="shared" si="17"/>
        <v>9794.1969299999982</v>
      </c>
      <c r="E32" s="672">
        <f t="shared" si="17"/>
        <v>9694.1934599999986</v>
      </c>
      <c r="F32" s="672"/>
      <c r="G32" s="206"/>
      <c r="H32" s="3"/>
      <c r="I32" s="201" t="s">
        <v>1314</v>
      </c>
      <c r="J32" s="672">
        <f t="shared" ref="J32:L32" si="18">J13*J31</f>
        <v>7650.1191899999994</v>
      </c>
      <c r="K32" s="672">
        <f t="shared" si="18"/>
        <v>7744.898909999999</v>
      </c>
      <c r="L32" s="672">
        <f t="shared" si="18"/>
        <v>7878.3761699999986</v>
      </c>
      <c r="M32" s="672"/>
      <c r="N32" s="206"/>
      <c r="O32" s="3"/>
      <c r="P32" s="201" t="s">
        <v>1315</v>
      </c>
      <c r="Q32" s="672">
        <f t="shared" ref="Q32:T32" si="19">Q13*Q31</f>
        <v>40.651076234999991</v>
      </c>
      <c r="R32" s="672">
        <f t="shared" si="19"/>
        <v>35.251369439999998</v>
      </c>
      <c r="S32" s="672">
        <f t="shared" si="19"/>
        <v>13.658685389999997</v>
      </c>
      <c r="T32" s="672">
        <f t="shared" si="19"/>
        <v>12.551375759999999</v>
      </c>
      <c r="U32" s="81"/>
      <c r="V32" s="206"/>
      <c r="W32" s="3"/>
      <c r="X32" s="201" t="s">
        <v>1316</v>
      </c>
      <c r="Y32" s="1568">
        <f>Y13*Y31</f>
        <v>4938.9929399999992</v>
      </c>
      <c r="Z32" s="206"/>
      <c r="AA32" s="3"/>
      <c r="AB32" s="623" t="s">
        <v>1317</v>
      </c>
      <c r="AC32" s="672">
        <f>AC13*AC31</f>
        <v>57722.818771064987</v>
      </c>
      <c r="AD32" s="928"/>
    </row>
    <row r="33" spans="1:30" ht="15.75" customHeight="1" x14ac:dyDescent="0.25">
      <c r="A33" s="3"/>
      <c r="B33" s="201" t="s">
        <v>1318</v>
      </c>
      <c r="C33" s="672">
        <f t="shared" ref="C33:E33" si="20">C32*0.0011023</f>
        <v>10.948572748091999</v>
      </c>
      <c r="D33" s="672">
        <f t="shared" si="20"/>
        <v>10.796143275938999</v>
      </c>
      <c r="E33" s="672">
        <f t="shared" si="20"/>
        <v>10.685909450957999</v>
      </c>
      <c r="F33" s="891">
        <f>SUM(C33:E33)</f>
        <v>32.430625474989</v>
      </c>
      <c r="G33" s="206" t="s">
        <v>1252</v>
      </c>
      <c r="H33" s="3"/>
      <c r="I33" s="201" t="s">
        <v>1320</v>
      </c>
      <c r="J33" s="672">
        <f t="shared" ref="J33:L33" si="21">J32*0.0011023</f>
        <v>8.4327263831370001</v>
      </c>
      <c r="K33" s="672">
        <f t="shared" si="21"/>
        <v>8.5372020684929986</v>
      </c>
      <c r="L33" s="672">
        <f t="shared" si="21"/>
        <v>8.6843340521909997</v>
      </c>
      <c r="M33" s="672">
        <f>SUM(J33:L33)</f>
        <v>25.654262503820995</v>
      </c>
      <c r="N33" s="206" t="s">
        <v>1252</v>
      </c>
      <c r="O33" s="3"/>
      <c r="P33" s="201" t="s">
        <v>1321</v>
      </c>
      <c r="Q33" s="672">
        <f t="shared" ref="Q33:T33" si="22">Q32*0.0011023</f>
        <v>4.4809681333840494E-2</v>
      </c>
      <c r="R33" s="672">
        <f t="shared" si="22"/>
        <v>3.8857584533711999E-2</v>
      </c>
      <c r="S33" s="672">
        <f t="shared" si="22"/>
        <v>1.5055968905396998E-2</v>
      </c>
      <c r="T33" s="672">
        <f t="shared" si="22"/>
        <v>1.3835381500248E-2</v>
      </c>
      <c r="U33" s="730">
        <v>9.8723234772949489E-2</v>
      </c>
      <c r="V33" s="206"/>
      <c r="W33" s="3"/>
      <c r="X33" s="201" t="s">
        <v>1323</v>
      </c>
      <c r="Y33" s="1568">
        <f>Y32*0.0011023</f>
        <v>5.4442519177619992</v>
      </c>
      <c r="Z33" s="206" t="s">
        <v>1252</v>
      </c>
      <c r="AA33" s="3"/>
      <c r="AB33" s="623" t="s">
        <v>1324</v>
      </c>
      <c r="AC33" s="672">
        <f>AC32*0.0011023</f>
        <v>63.627863131344938</v>
      </c>
      <c r="AD33" s="928" t="s">
        <v>1252</v>
      </c>
    </row>
    <row r="34" spans="1:30" ht="15.75" customHeight="1" x14ac:dyDescent="0.25">
      <c r="A34" s="3"/>
      <c r="B34" s="774"/>
      <c r="C34" s="877"/>
      <c r="D34" s="877"/>
      <c r="E34" s="877"/>
      <c r="F34" s="877"/>
      <c r="G34" s="1406"/>
      <c r="H34" s="3"/>
      <c r="I34" s="201"/>
      <c r="J34" s="81"/>
      <c r="K34" s="81"/>
      <c r="L34" s="81"/>
      <c r="M34" s="81"/>
      <c r="N34" s="206"/>
      <c r="O34" s="3"/>
      <c r="P34" s="201"/>
      <c r="Q34" s="81"/>
      <c r="R34" s="81"/>
      <c r="S34" s="81"/>
      <c r="T34" s="81"/>
      <c r="U34" s="81"/>
      <c r="V34" s="206"/>
      <c r="W34" s="3"/>
      <c r="X34" s="201"/>
      <c r="Y34" s="81"/>
      <c r="Z34" s="206"/>
      <c r="AA34" s="3"/>
      <c r="AB34" s="631"/>
      <c r="AC34" s="775"/>
      <c r="AD34" s="1594"/>
    </row>
    <row r="35" spans="1:30" ht="15.75" customHeight="1" x14ac:dyDescent="0.25">
      <c r="A35" s="3"/>
      <c r="B35" s="1595" t="s">
        <v>1326</v>
      </c>
      <c r="C35" s="1596">
        <v>12.01</v>
      </c>
      <c r="D35" s="1596">
        <v>11.84</v>
      </c>
      <c r="E35" s="1596">
        <v>11.72</v>
      </c>
      <c r="F35" s="1597">
        <f>SUM(C35:E35)</f>
        <v>35.57</v>
      </c>
      <c r="G35" s="1598" t="s">
        <v>531</v>
      </c>
      <c r="H35" s="3"/>
      <c r="I35" s="1599" t="s">
        <v>1327</v>
      </c>
      <c r="J35" s="1600">
        <v>1.24E-2</v>
      </c>
      <c r="K35" s="1600">
        <v>9.1000000000000004E-3</v>
      </c>
      <c r="L35" s="1600">
        <v>7.3000000000000001E-3</v>
      </c>
      <c r="M35" s="1601">
        <f>SUM(J35:L35)</f>
        <v>2.8799999999999999E-2</v>
      </c>
      <c r="N35" s="1602" t="s">
        <v>1272</v>
      </c>
      <c r="O35" s="3"/>
      <c r="P35" s="1599" t="s">
        <v>1329</v>
      </c>
      <c r="Q35" s="1603">
        <v>1.14E-2</v>
      </c>
      <c r="R35" s="1603">
        <v>8.9999999999999993E-3</v>
      </c>
      <c r="S35" s="1603">
        <v>5.5399999999999998E-3</v>
      </c>
      <c r="T35" s="1603">
        <v>5.8399999999999997E-3</v>
      </c>
      <c r="U35" s="1604">
        <f>SUM(Q35:S35)</f>
        <v>2.5940000000000001E-2</v>
      </c>
      <c r="V35" s="1602" t="s">
        <v>1272</v>
      </c>
      <c r="W35" s="3"/>
      <c r="X35" s="1599" t="s">
        <v>1330</v>
      </c>
      <c r="Y35" s="1605">
        <v>0.5</v>
      </c>
      <c r="Z35" s="1602" t="s">
        <v>1272</v>
      </c>
      <c r="AA35" s="3"/>
      <c r="AB35" s="1606" t="s">
        <v>1331</v>
      </c>
      <c r="AC35" s="1601">
        <f>(F35+M35+U35+Y35)*$C$45</f>
        <v>9862.0540199999996</v>
      </c>
      <c r="AD35" s="649"/>
    </row>
    <row r="36" spans="1:30" ht="15.75" customHeight="1" x14ac:dyDescent="0.25">
      <c r="A36" s="3"/>
      <c r="B36" s="497"/>
      <c r="C36" s="12"/>
      <c r="D36" s="12"/>
      <c r="E36" s="12"/>
      <c r="F36" s="12"/>
      <c r="G36" s="498"/>
      <c r="H36" s="3"/>
      <c r="I36" s="12"/>
      <c r="J36" s="12"/>
      <c r="K36" s="12"/>
      <c r="L36" s="12"/>
      <c r="M36" s="12"/>
      <c r="N36" s="1607"/>
      <c r="O36" s="3"/>
      <c r="P36" s="1608"/>
      <c r="Q36" s="1609"/>
      <c r="R36" s="1609"/>
      <c r="S36" s="1609"/>
      <c r="T36" s="1609"/>
      <c r="U36" s="1609"/>
      <c r="V36" s="1607"/>
      <c r="W36" s="3"/>
      <c r="X36" s="497"/>
      <c r="Y36" s="12"/>
      <c r="Z36" s="498"/>
      <c r="AA36" s="3"/>
      <c r="AB36" s="318"/>
      <c r="AC36" s="532"/>
      <c r="AD36" s="656"/>
    </row>
    <row r="37" spans="1:30" ht="15.75" customHeight="1" x14ac:dyDescent="0.25">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row>
    <row r="38" spans="1:30" ht="15.75" customHeight="1" x14ac:dyDescent="0.25">
      <c r="A38" s="3"/>
      <c r="B38" s="3"/>
      <c r="C38" s="110"/>
      <c r="D38" s="3"/>
      <c r="E38" s="3"/>
      <c r="F38" s="3"/>
      <c r="G38" s="3"/>
      <c r="H38" s="3"/>
      <c r="I38" s="3"/>
      <c r="J38" s="3"/>
      <c r="K38" s="3"/>
      <c r="L38" s="3"/>
      <c r="M38" s="3"/>
      <c r="N38" s="3"/>
      <c r="O38" s="3"/>
      <c r="P38" s="3"/>
      <c r="Q38" s="3"/>
      <c r="R38" s="3"/>
      <c r="S38" s="3"/>
      <c r="T38" s="3"/>
      <c r="U38" s="3"/>
      <c r="V38" s="3"/>
      <c r="W38" s="3"/>
      <c r="X38" s="3"/>
      <c r="Y38" s="3"/>
      <c r="Z38" s="3"/>
      <c r="AA38" s="3"/>
      <c r="AB38" s="3"/>
      <c r="AC38" s="3"/>
      <c r="AD38" s="3"/>
    </row>
    <row r="39" spans="1:30" ht="15.75" customHeight="1" x14ac:dyDescent="0.25">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row>
    <row r="40" spans="1:30" ht="15.75" customHeight="1" x14ac:dyDescent="0.25">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row>
    <row r="41" spans="1:30" ht="15.75" customHeight="1" x14ac:dyDescent="0.25">
      <c r="A41" s="3"/>
      <c r="B41" s="2312" t="s">
        <v>1</v>
      </c>
      <c r="C41" s="2313"/>
      <c r="D41" s="3"/>
      <c r="E41" s="3"/>
      <c r="F41" s="3"/>
      <c r="G41" s="3"/>
      <c r="H41" s="3"/>
      <c r="I41" s="3"/>
      <c r="J41" s="3"/>
      <c r="K41" s="3"/>
      <c r="L41" s="3"/>
      <c r="M41" s="3"/>
      <c r="N41" s="3"/>
      <c r="O41" s="3"/>
      <c r="P41" s="3"/>
      <c r="Q41" s="3"/>
      <c r="R41" s="3"/>
      <c r="S41" s="3"/>
      <c r="T41" s="3"/>
      <c r="U41" s="3"/>
      <c r="V41" s="3"/>
      <c r="W41" s="3"/>
      <c r="X41" s="3"/>
      <c r="Y41" s="3"/>
      <c r="Z41" s="3"/>
      <c r="AA41" s="3"/>
      <c r="AB41" s="3"/>
      <c r="AC41" s="3"/>
      <c r="AD41" s="3"/>
    </row>
    <row r="42" spans="1:30" ht="15.75" customHeight="1" x14ac:dyDescent="0.25">
      <c r="A42" s="3"/>
      <c r="B42" s="236"/>
      <c r="C42" s="236"/>
      <c r="D42" s="3"/>
      <c r="E42" s="3"/>
      <c r="F42" s="3"/>
      <c r="G42" s="3"/>
      <c r="H42" s="3"/>
      <c r="I42" s="3"/>
      <c r="J42" s="3"/>
      <c r="K42" s="3"/>
      <c r="L42" s="3"/>
      <c r="M42" s="3"/>
      <c r="N42" s="3"/>
      <c r="O42" s="3"/>
      <c r="P42" s="3"/>
      <c r="Q42" s="3"/>
      <c r="R42" s="3"/>
      <c r="S42" s="3"/>
      <c r="T42" s="3"/>
      <c r="U42" s="3"/>
      <c r="V42" s="3"/>
      <c r="W42" s="3"/>
      <c r="X42" s="3"/>
      <c r="Y42" s="3"/>
      <c r="Z42" s="3"/>
      <c r="AA42" s="3"/>
      <c r="AB42" s="3"/>
      <c r="AC42" s="3"/>
      <c r="AD42" s="3"/>
    </row>
    <row r="43" spans="1:30" ht="15.75" customHeight="1" x14ac:dyDescent="0.25">
      <c r="A43" s="3"/>
      <c r="B43" s="241" t="s">
        <v>188</v>
      </c>
      <c r="C43" s="243">
        <f>Summary!E4</f>
        <v>1</v>
      </c>
      <c r="D43" s="3"/>
      <c r="E43" s="3"/>
      <c r="F43" s="3"/>
      <c r="G43" s="3"/>
      <c r="H43" s="3"/>
      <c r="I43" s="3"/>
      <c r="J43" s="3"/>
      <c r="K43" s="3"/>
      <c r="L43" s="3"/>
      <c r="M43" s="3"/>
      <c r="N43" s="3"/>
      <c r="O43" s="3"/>
      <c r="P43" s="3"/>
      <c r="Q43" s="3"/>
      <c r="R43" s="3"/>
      <c r="S43" s="3"/>
      <c r="T43" s="3"/>
      <c r="U43" s="3"/>
      <c r="V43" s="3"/>
      <c r="W43" s="3"/>
      <c r="X43" s="3"/>
      <c r="Y43" s="3"/>
      <c r="Z43" s="3"/>
      <c r="AA43" s="3"/>
      <c r="AB43" s="3"/>
      <c r="AC43" s="3"/>
      <c r="AD43" s="3"/>
    </row>
    <row r="44" spans="1:30" ht="15.75" customHeight="1" x14ac:dyDescent="0.25">
      <c r="A44" s="3"/>
      <c r="B44" s="241" t="s">
        <v>192</v>
      </c>
      <c r="C44" s="243">
        <f>Summary!E5</f>
        <v>27.9</v>
      </c>
      <c r="D44" s="3"/>
      <c r="E44" s="3"/>
      <c r="F44" s="3"/>
      <c r="G44" s="3"/>
      <c r="H44" s="3"/>
      <c r="I44" s="3"/>
      <c r="J44" s="3"/>
      <c r="K44" s="3"/>
      <c r="L44" s="3"/>
      <c r="M44" s="3"/>
      <c r="N44" s="3"/>
      <c r="O44" s="3"/>
      <c r="P44" s="3"/>
      <c r="Q44" s="3"/>
      <c r="R44" s="3"/>
      <c r="S44" s="3"/>
      <c r="T44" s="3"/>
      <c r="U44" s="3"/>
      <c r="V44" s="3"/>
      <c r="W44" s="3"/>
      <c r="X44" s="3"/>
      <c r="Y44" s="3"/>
      <c r="Z44" s="3"/>
      <c r="AA44" s="3"/>
      <c r="AB44" s="3"/>
      <c r="AC44" s="3"/>
      <c r="AD44" s="3"/>
    </row>
    <row r="45" spans="1:30" ht="15.75" customHeight="1" x14ac:dyDescent="0.25">
      <c r="A45" s="3"/>
      <c r="B45" s="241" t="s">
        <v>194</v>
      </c>
      <c r="C45" s="243">
        <f>Summary!E6</f>
        <v>273</v>
      </c>
      <c r="D45" s="3"/>
      <c r="E45" s="3"/>
      <c r="F45" s="3"/>
      <c r="G45" s="3"/>
      <c r="H45" s="3"/>
      <c r="I45" s="3"/>
      <c r="J45" s="3"/>
      <c r="K45" s="3"/>
      <c r="L45" s="3"/>
      <c r="M45" s="3"/>
      <c r="N45" s="3"/>
      <c r="O45" s="3"/>
      <c r="P45" s="3"/>
      <c r="Q45" s="3"/>
      <c r="R45" s="3"/>
      <c r="S45" s="3"/>
      <c r="T45" s="3"/>
      <c r="U45" s="3"/>
      <c r="V45" s="3"/>
      <c r="W45" s="3"/>
      <c r="X45" s="3"/>
      <c r="Y45" s="3"/>
      <c r="Z45" s="3"/>
      <c r="AA45" s="3"/>
      <c r="AB45" s="3"/>
      <c r="AC45" s="3"/>
      <c r="AD45" s="3"/>
    </row>
    <row r="46" spans="1:30" ht="15.75" customHeight="1" x14ac:dyDescent="0.25">
      <c r="A46" s="3"/>
      <c r="B46" s="241" t="s">
        <v>197</v>
      </c>
      <c r="C46" s="243">
        <f>Summary!E7</f>
        <v>24300</v>
      </c>
      <c r="D46" s="3"/>
      <c r="E46" s="3"/>
      <c r="F46" s="3"/>
      <c r="G46" s="3"/>
      <c r="H46" s="3"/>
      <c r="I46" s="3"/>
      <c r="J46" s="3"/>
      <c r="K46" s="3"/>
      <c r="L46" s="3"/>
      <c r="M46" s="3"/>
      <c r="N46" s="3"/>
      <c r="O46" s="3"/>
      <c r="P46" s="3"/>
      <c r="Q46" s="3"/>
      <c r="R46" s="3"/>
      <c r="S46" s="3"/>
      <c r="T46" s="3"/>
      <c r="U46" s="3"/>
      <c r="V46" s="3"/>
      <c r="W46" s="3"/>
      <c r="X46" s="3"/>
      <c r="Y46" s="3"/>
      <c r="Z46" s="3"/>
      <c r="AA46" s="3"/>
      <c r="AB46" s="3"/>
      <c r="AC46" s="3"/>
      <c r="AD46" s="3"/>
    </row>
    <row r="47" spans="1:30" ht="15.75" customHeight="1" x14ac:dyDescent="0.25">
      <c r="A47" s="3"/>
      <c r="B47" s="241"/>
      <c r="C47" s="243"/>
      <c r="D47" s="3"/>
      <c r="E47" s="3"/>
      <c r="F47" s="3"/>
      <c r="G47" s="3"/>
      <c r="H47" s="3"/>
      <c r="I47" s="3"/>
      <c r="J47" s="3"/>
      <c r="K47" s="3"/>
      <c r="L47" s="3"/>
      <c r="M47" s="3"/>
      <c r="N47" s="3"/>
      <c r="O47" s="3"/>
      <c r="P47" s="3"/>
      <c r="Q47" s="3"/>
      <c r="R47" s="3"/>
      <c r="S47" s="3"/>
      <c r="T47" s="3"/>
      <c r="U47" s="3"/>
      <c r="V47" s="3"/>
      <c r="W47" s="3"/>
      <c r="X47" s="3"/>
      <c r="Y47" s="3"/>
      <c r="Z47" s="3"/>
      <c r="AA47" s="3"/>
      <c r="AB47" s="3"/>
      <c r="AC47" s="3"/>
      <c r="AD47" s="3"/>
    </row>
    <row r="48" spans="1:30" ht="15.75" customHeight="1" x14ac:dyDescent="0.2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row>
    <row r="49" spans="1:30" ht="15.75" customHeight="1" x14ac:dyDescent="0.2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row>
    <row r="50" spans="1:30" ht="15.75" customHeight="1" x14ac:dyDescent="0.25">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row>
    <row r="51" spans="1:30" ht="15.75" customHeight="1" x14ac:dyDescent="0.25">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row>
    <row r="52" spans="1:30" ht="15.75" customHeight="1" x14ac:dyDescent="0.25">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row>
    <row r="53" spans="1:30" ht="15.75" customHeight="1" x14ac:dyDescent="0.25">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row>
    <row r="54" spans="1:30" ht="15.75" customHeight="1" x14ac:dyDescent="0.25">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row>
    <row r="55" spans="1:30" ht="15.75" customHeight="1" x14ac:dyDescent="0.25">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row>
    <row r="56" spans="1:30" ht="15.75" customHeight="1" x14ac:dyDescent="0.25">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row>
    <row r="57" spans="1:30" ht="15.75" customHeight="1" x14ac:dyDescent="0.25">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row>
    <row r="58" spans="1:30" ht="15.75" customHeight="1" x14ac:dyDescent="0.25">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row>
    <row r="59" spans="1:30" ht="15.75" customHeight="1" x14ac:dyDescent="0.25">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row>
    <row r="60" spans="1:30" ht="15.75" customHeight="1" x14ac:dyDescent="0.25">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row>
    <row r="61" spans="1:30" ht="15.75" customHeight="1" x14ac:dyDescent="0.25">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row>
    <row r="62" spans="1:30" ht="15.75" customHeight="1" x14ac:dyDescent="0.25">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row>
    <row r="63" spans="1:30" ht="15.75" customHeight="1" x14ac:dyDescent="0.25">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row>
    <row r="64" spans="1:30" ht="15.75" customHeight="1" x14ac:dyDescent="0.25">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row>
    <row r="65" spans="1:30" ht="15.75" customHeight="1" x14ac:dyDescent="0.25">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row>
    <row r="66" spans="1:30" ht="15.75" customHeight="1" x14ac:dyDescent="0.25">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spans="1:30" ht="15.75" customHeight="1" x14ac:dyDescent="0.25">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spans="1:30" ht="15.75" customHeight="1" x14ac:dyDescent="0.25">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1:30" ht="15.75" customHeight="1" x14ac:dyDescent="0.25">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1:30" ht="15.75" customHeight="1" x14ac:dyDescent="0.25">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71" spans="1:30" ht="15.75" customHeight="1" x14ac:dyDescent="0.25">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row>
    <row r="72" spans="1:30" ht="15.75" customHeight="1" x14ac:dyDescent="0.25">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row>
    <row r="73" spans="1:30" ht="15.75" customHeight="1" x14ac:dyDescent="0.25">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row>
    <row r="74" spans="1:30" ht="15.75" customHeight="1" x14ac:dyDescent="0.25">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row>
    <row r="75" spans="1:30" ht="15.75" customHeight="1" x14ac:dyDescent="0.25">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row>
    <row r="76" spans="1:30" ht="15.75" customHeight="1" x14ac:dyDescent="0.25">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row>
    <row r="77" spans="1:30" ht="15.75" customHeight="1" x14ac:dyDescent="0.25">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row>
    <row r="78" spans="1:30" ht="15.75" customHeight="1" x14ac:dyDescent="0.25">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row>
    <row r="79" spans="1:30" ht="15.75" customHeight="1" x14ac:dyDescent="0.25">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row>
    <row r="80" spans="1:30" ht="15.75" customHeight="1" x14ac:dyDescent="0.25">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row>
    <row r="81" spans="1:30" ht="15.75" customHeight="1" x14ac:dyDescent="0.25">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row>
    <row r="82" spans="1:30" ht="15.75" customHeight="1" x14ac:dyDescent="0.25">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row>
    <row r="83" spans="1:30" ht="15.75" customHeight="1" x14ac:dyDescent="0.25">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row>
    <row r="84" spans="1:30" ht="15.75" customHeight="1" x14ac:dyDescent="0.25">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row>
    <row r="85" spans="1:30" ht="15.75" customHeight="1" x14ac:dyDescent="0.25">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row>
    <row r="86" spans="1:30" ht="15.75" customHeight="1" x14ac:dyDescent="0.25">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row>
    <row r="87" spans="1:30" ht="15.75" customHeight="1" x14ac:dyDescent="0.25">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row>
    <row r="88" spans="1:30" ht="15.75" customHeight="1" x14ac:dyDescent="0.25">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row>
    <row r="89" spans="1:30" ht="15.7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row>
    <row r="90" spans="1:30" ht="15.75" customHeight="1" x14ac:dyDescent="0.25">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row>
    <row r="91" spans="1:30" ht="15.75" customHeight="1" x14ac:dyDescent="0.25">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row>
    <row r="92" spans="1:30" ht="15.75" customHeight="1" x14ac:dyDescent="0.25">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row>
    <row r="93" spans="1:30" ht="15.75" customHeight="1" x14ac:dyDescent="0.25">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row>
    <row r="94" spans="1:30" ht="15.75" customHeight="1" x14ac:dyDescent="0.25">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row>
    <row r="95" spans="1:30" ht="15.75" customHeight="1" x14ac:dyDescent="0.25">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row>
    <row r="96" spans="1:30" ht="15.75" customHeight="1" x14ac:dyDescent="0.25">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row>
    <row r="97" spans="1:30" ht="15.75" customHeight="1" x14ac:dyDescent="0.25">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row>
    <row r="98" spans="1:30" ht="15.75" customHeight="1" x14ac:dyDescent="0.25">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row>
    <row r="99" spans="1:30" ht="15.75" customHeight="1" x14ac:dyDescent="0.25">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row>
    <row r="100" spans="1:30" ht="15.75" customHeight="1"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row>
    <row r="101" spans="1:30" ht="15.75" customHeight="1"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row>
    <row r="102" spans="1:30" ht="15.75"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row>
    <row r="103" spans="1:30" ht="15.75" customHeight="1"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row>
    <row r="104" spans="1:30" ht="15.75"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row>
    <row r="105" spans="1:30" ht="15.75" customHeight="1"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row>
    <row r="106" spans="1:30" ht="15.75" customHeight="1"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row>
    <row r="107" spans="1:30" ht="15.75" customHeight="1"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row>
    <row r="108" spans="1:30" ht="15.75" customHeight="1"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row>
    <row r="109" spans="1:30" ht="15.75" customHeight="1"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row>
    <row r="110" spans="1:30" ht="15.75" customHeight="1"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row>
    <row r="111" spans="1:30" ht="15.75" customHeight="1"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row>
    <row r="112" spans="1:30" ht="15.75" customHeight="1"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row>
    <row r="113" spans="1:30" ht="15.75" customHeight="1"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row>
    <row r="114" spans="1:30" ht="15.75" customHeight="1"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row>
    <row r="115" spans="1:30" ht="15.75" customHeight="1"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row>
    <row r="116" spans="1:30" ht="15.75" customHeight="1"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row>
    <row r="117" spans="1:30" ht="15.75" customHeight="1"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row>
    <row r="118" spans="1:30" ht="15.75" customHeight="1"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row>
    <row r="119" spans="1:30" ht="15.75" customHeight="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row>
    <row r="120" spans="1:30" ht="15.75" customHeight="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row>
    <row r="121" spans="1:30" ht="15.75" customHeight="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row>
    <row r="122" spans="1:30" ht="15.75" customHeight="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row>
    <row r="123" spans="1:30" ht="15.75" customHeight="1"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row>
    <row r="124" spans="1:30" ht="15.75" customHeight="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row>
    <row r="125" spans="1:30" ht="15.75" customHeight="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row>
    <row r="126" spans="1:30" ht="15.75" customHeight="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row>
    <row r="127" spans="1:30" ht="15.75" customHeight="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row>
    <row r="128" spans="1:30" ht="15.75" customHeight="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row>
    <row r="129" spans="1:30" ht="15.75" customHeight="1"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row>
    <row r="130" spans="1:30" ht="15.75" customHeight="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row>
    <row r="131" spans="1:30" ht="15.75" customHeight="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row>
    <row r="132" spans="1:30" ht="15.75" customHeight="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row>
    <row r="133" spans="1:30" ht="15.75" customHeight="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row>
    <row r="134" spans="1:30" ht="15.75" customHeight="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row>
    <row r="135" spans="1:30" ht="15.75" customHeight="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row>
    <row r="136" spans="1:30" ht="15.75"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row>
    <row r="137" spans="1:30" ht="15.75"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row>
    <row r="138" spans="1:30" ht="15.75"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row>
    <row r="139" spans="1:30" ht="15.75"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row>
    <row r="140" spans="1:30" ht="15.7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row>
    <row r="141" spans="1:30" ht="15.75" customHeight="1"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row>
    <row r="142" spans="1:30" ht="15.7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row>
    <row r="143" spans="1:30" ht="15.75"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row>
    <row r="144" spans="1:30" ht="15.75"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row>
    <row r="145" spans="1:30" ht="15.75"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row>
    <row r="146" spans="1:30" ht="15.75"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row>
    <row r="147" spans="1:30" ht="15.75" customHeight="1"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row>
    <row r="148" spans="1:30" ht="15.75"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row>
    <row r="149" spans="1:30" ht="15.75"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row>
    <row r="150" spans="1:30" ht="15.75"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row>
    <row r="151" spans="1:30" ht="15.75"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row>
    <row r="152" spans="1:30" ht="15.75"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row>
    <row r="153" spans="1:30" ht="15.75" customHeight="1"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row>
    <row r="154" spans="1:30" ht="15.75"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row>
    <row r="155" spans="1:30" ht="15.75"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row>
    <row r="156" spans="1:30" ht="15.75"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row>
    <row r="157" spans="1:30" ht="15.75"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row>
    <row r="158" spans="1:30" ht="15.75"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row>
    <row r="159" spans="1:30" ht="15.75" customHeight="1"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row>
    <row r="160" spans="1:30" ht="15.75"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row>
    <row r="161" spans="1:30" ht="15.7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row>
    <row r="162" spans="1:30" ht="15.75"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row>
    <row r="163" spans="1:30" ht="15.75"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row>
    <row r="164" spans="1:30" ht="15.75"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row>
    <row r="165" spans="1:30" ht="15.75" customHeight="1"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row>
    <row r="166" spans="1:30" ht="15.75"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row>
    <row r="167" spans="1:30" ht="15.75"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row>
    <row r="168" spans="1:30" ht="15.75"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row>
    <row r="169" spans="1:30" ht="15.75"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row>
    <row r="170" spans="1:30" ht="15.75"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row>
    <row r="171" spans="1:30" ht="15.75" customHeight="1"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row>
    <row r="172" spans="1:30" ht="15.75"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row>
    <row r="173" spans="1:30" ht="15.75"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row>
    <row r="174" spans="1:30" ht="15.75"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row>
    <row r="175" spans="1:30" ht="15.75"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row>
    <row r="176" spans="1:30" ht="15.75"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row>
    <row r="177" spans="1:30" ht="15.75" customHeight="1"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row>
    <row r="178" spans="1:30" ht="15.75"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row>
    <row r="179" spans="1:30" ht="15.75"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row>
    <row r="180" spans="1:30" ht="15.7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row>
    <row r="181" spans="1:30" ht="15.7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row>
    <row r="182" spans="1:30" ht="15.7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row>
    <row r="183" spans="1:30" ht="15.75"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row>
    <row r="184" spans="1:30" ht="15.7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row>
    <row r="185" spans="1:30" ht="15.7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row>
    <row r="186" spans="1:30" ht="15.7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row>
    <row r="187" spans="1:30" ht="15.7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row>
    <row r="188" spans="1:30" ht="15.7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row>
    <row r="189" spans="1:30" ht="15.7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row>
    <row r="190" spans="1:30" ht="15.7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row>
    <row r="191" spans="1:30" ht="15.7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row>
    <row r="192" spans="1:30" ht="15.7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row>
    <row r="193" spans="1:30" ht="15.7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row>
    <row r="194" spans="1:30" ht="15.7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row>
    <row r="195" spans="1:30" ht="15.7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row>
    <row r="196" spans="1:30" ht="15.7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row>
    <row r="197" spans="1:30" ht="15.7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row>
    <row r="198" spans="1:30" ht="15.7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row>
    <row r="199" spans="1:30" ht="15.7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row>
    <row r="200" spans="1:30" ht="15.7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row>
    <row r="201" spans="1:30" ht="15.7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row>
    <row r="202" spans="1:30" ht="15.7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row>
    <row r="203" spans="1:30" ht="15.7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row>
    <row r="204" spans="1:30" ht="15.7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row>
    <row r="205" spans="1:30"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row>
    <row r="206" spans="1:30"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row>
    <row r="207" spans="1:30"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row>
    <row r="208" spans="1:30"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row>
    <row r="209" spans="1:30"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row>
    <row r="210" spans="1:30"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row>
    <row r="211" spans="1:30"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row>
    <row r="212" spans="1:30"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row>
    <row r="213" spans="1:30"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row>
    <row r="214" spans="1:30"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row>
    <row r="215" spans="1:30"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row>
    <row r="216" spans="1:30"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row>
    <row r="217" spans="1:30"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row>
    <row r="218" spans="1:30"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row>
    <row r="219" spans="1:30"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row>
    <row r="220" spans="1:30"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row>
    <row r="221" spans="1:30" ht="15.7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row>
    <row r="222" spans="1:30" ht="15.7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row>
    <row r="223" spans="1:30" ht="15.7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row>
    <row r="224" spans="1:30" ht="15.7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row>
    <row r="225" spans="1:30" ht="15.7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row>
    <row r="226" spans="1:30" ht="15.7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row>
    <row r="227" spans="1:30" ht="15.7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row>
    <row r="228" spans="1:30" ht="15.7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row>
    <row r="229" spans="1:30" ht="15.7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row>
    <row r="230" spans="1:30" ht="15.7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c r="AA230" s="3"/>
      <c r="AB230" s="3"/>
      <c r="AC230" s="3"/>
      <c r="AD230" s="3"/>
    </row>
    <row r="231" spans="1:30" ht="15.7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c r="AA231" s="3"/>
      <c r="AB231" s="3"/>
      <c r="AC231" s="3"/>
      <c r="AD231" s="3"/>
    </row>
    <row r="232" spans="1:30" ht="15.7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c r="AA232" s="3"/>
      <c r="AB232" s="3"/>
      <c r="AC232" s="3"/>
      <c r="AD232" s="3"/>
    </row>
    <row r="233" spans="1:30" ht="15.7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c r="AA233" s="3"/>
      <c r="AB233" s="3"/>
      <c r="AC233" s="3"/>
      <c r="AD233" s="3"/>
    </row>
    <row r="234" spans="1:30" ht="15.7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c r="AA234" s="3"/>
      <c r="AB234" s="3"/>
      <c r="AC234" s="3"/>
      <c r="AD234" s="3"/>
    </row>
    <row r="235" spans="1:30" ht="15.7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c r="AA235" s="3"/>
      <c r="AB235" s="3"/>
      <c r="AC235" s="3"/>
      <c r="AD235" s="3"/>
    </row>
    <row r="236" spans="1:30" ht="15.7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c r="AA236" s="3"/>
      <c r="AB236" s="3"/>
      <c r="AC236" s="3"/>
      <c r="AD236" s="3"/>
    </row>
    <row r="237" spans="1:30" ht="15.7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c r="AA237" s="3"/>
      <c r="AB237" s="3"/>
      <c r="AC237" s="3"/>
      <c r="AD237" s="3"/>
    </row>
    <row r="238" spans="1:30" ht="15.7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c r="AA238" s="3"/>
      <c r="AB238" s="3"/>
      <c r="AC238" s="3"/>
      <c r="AD238" s="3"/>
    </row>
    <row r="239" spans="1:30" ht="15.7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c r="AA239" s="3"/>
      <c r="AB239" s="3"/>
      <c r="AC239" s="3"/>
      <c r="AD239" s="3"/>
    </row>
    <row r="240" spans="1:30" ht="15.7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c r="AA240" s="3"/>
      <c r="AB240" s="3"/>
      <c r="AC240" s="3"/>
      <c r="AD240" s="3"/>
    </row>
    <row r="241" spans="1:30" ht="15.7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c r="AA241" s="3"/>
      <c r="AB241" s="3"/>
      <c r="AC241" s="3"/>
      <c r="AD241" s="3"/>
    </row>
    <row r="242" spans="1:30" ht="15.7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c r="AA242" s="3"/>
      <c r="AB242" s="3"/>
      <c r="AC242" s="3"/>
      <c r="AD242" s="3"/>
    </row>
    <row r="243" spans="1:30" ht="15.7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c r="AA243" s="3"/>
      <c r="AB243" s="3"/>
      <c r="AC243" s="3"/>
      <c r="AD243" s="3"/>
    </row>
    <row r="244" spans="1:30" ht="15.7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c r="AA244" s="3"/>
      <c r="AB244" s="3"/>
      <c r="AC244" s="3"/>
      <c r="AD244" s="3"/>
    </row>
    <row r="245" spans="1:30" ht="15.7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c r="AA245" s="3"/>
      <c r="AB245" s="3"/>
      <c r="AC245" s="3"/>
      <c r="AD245" s="3"/>
    </row>
    <row r="246" spans="1:30" ht="15.7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row>
    <row r="247" spans="1:30" ht="15.75" customHeight="1" x14ac:dyDescent="0.2"/>
    <row r="248" spans="1:30" ht="15.75" customHeight="1" x14ac:dyDescent="0.2"/>
    <row r="249" spans="1:30" ht="15.75" customHeight="1" x14ac:dyDescent="0.2"/>
    <row r="250" spans="1:30" ht="15.75" customHeight="1" x14ac:dyDescent="0.2"/>
    <row r="251" spans="1:30" ht="15.75" customHeight="1" x14ac:dyDescent="0.2"/>
    <row r="252" spans="1:30" ht="15.75" customHeight="1" x14ac:dyDescent="0.2"/>
    <row r="253" spans="1:30" ht="15.75" customHeight="1" x14ac:dyDescent="0.2"/>
    <row r="254" spans="1:30" ht="15.75" customHeight="1" x14ac:dyDescent="0.2"/>
    <row r="255" spans="1:30" ht="15.75" customHeight="1" x14ac:dyDescent="0.2"/>
    <row r="256" spans="1:30"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1">
    <mergeCell ref="B41:C41"/>
  </mergeCells>
  <pageMargins left="0.7" right="0.7" top="0.75" bottom="0.75" header="0" footer="0"/>
  <pageSetup orientation="landscape"/>
  <drawing r:id="rId1"/>
  <legacyDrawing r:id="rId2"/>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Z1000"/>
  <sheetViews>
    <sheetView workbookViewId="0"/>
  </sheetViews>
  <sheetFormatPr defaultColWidth="16.83203125" defaultRowHeight="15" customHeight="1" x14ac:dyDescent="0.2"/>
  <cols>
    <col min="1" max="1" width="3.1640625" customWidth="1"/>
    <col min="2" max="2" width="19.5" customWidth="1"/>
    <col min="3" max="3" width="67.83203125" customWidth="1"/>
    <col min="4" max="4" width="9.5" customWidth="1"/>
    <col min="5" max="5" width="19.33203125" customWidth="1"/>
    <col min="6" max="6" width="15" customWidth="1"/>
    <col min="7" max="7" width="13.6640625" customWidth="1"/>
    <col min="8" max="8" width="12" customWidth="1"/>
    <col min="9" max="9" width="12.83203125" customWidth="1"/>
    <col min="10" max="10" width="13.5" customWidth="1"/>
    <col min="12" max="12" width="15.1640625" customWidth="1"/>
    <col min="13" max="13" width="22" customWidth="1"/>
    <col min="14" max="14" width="12.33203125" customWidth="1"/>
    <col min="15" max="15" width="13" customWidth="1"/>
    <col min="16" max="16" width="15" customWidth="1"/>
    <col min="17" max="17" width="15.33203125" customWidth="1"/>
    <col min="18" max="18" width="13.1640625" customWidth="1"/>
    <col min="19" max="19" width="11.5" customWidth="1"/>
    <col min="20" max="20" width="19.33203125" customWidth="1"/>
    <col min="21" max="21" width="16.1640625" customWidth="1"/>
    <col min="22" max="22" width="17.6640625" customWidth="1"/>
    <col min="23" max="23" width="14.6640625" customWidth="1"/>
    <col min="24" max="24" width="9.33203125" customWidth="1"/>
    <col min="25" max="25" width="12.83203125" customWidth="1"/>
    <col min="26" max="26" width="8" customWidth="1"/>
  </cols>
  <sheetData>
    <row r="1" spans="1:26" x14ac:dyDescent="0.25">
      <c r="A1" s="3" t="s">
        <v>1334</v>
      </c>
      <c r="B1" s="16"/>
      <c r="C1" s="3"/>
      <c r="D1" s="22"/>
      <c r="E1" s="3"/>
      <c r="F1" s="3"/>
      <c r="G1" s="3"/>
      <c r="H1" s="3"/>
      <c r="I1" s="3"/>
      <c r="J1" s="3"/>
      <c r="K1" s="3"/>
      <c r="L1" s="3"/>
      <c r="M1" s="3"/>
      <c r="N1" s="3"/>
      <c r="O1" s="3"/>
      <c r="P1" s="3"/>
      <c r="Q1" s="3"/>
      <c r="R1" s="3"/>
      <c r="S1" s="3"/>
      <c r="T1" s="3"/>
      <c r="U1" s="3"/>
      <c r="V1" s="3"/>
      <c r="W1" s="3"/>
      <c r="X1" s="3"/>
      <c r="Y1" s="3"/>
      <c r="Z1" s="3"/>
    </row>
    <row r="2" spans="1:26" ht="107.25" customHeight="1" x14ac:dyDescent="0.25">
      <c r="A2" s="3"/>
      <c r="B2" s="3"/>
      <c r="C2" s="3"/>
      <c r="D2" s="3"/>
      <c r="E2" s="3"/>
      <c r="F2" s="3"/>
      <c r="G2" s="3"/>
      <c r="H2" s="3"/>
      <c r="I2" s="3"/>
      <c r="J2" s="3"/>
      <c r="K2" s="3"/>
      <c r="L2" s="3"/>
      <c r="M2" s="3"/>
      <c r="N2" s="3"/>
      <c r="O2" s="3"/>
      <c r="P2" s="3"/>
      <c r="Q2" s="3"/>
      <c r="R2" s="3"/>
      <c r="S2" s="3"/>
      <c r="T2" s="3"/>
      <c r="U2" s="3"/>
      <c r="V2" s="3"/>
      <c r="W2" s="3"/>
      <c r="X2" s="3"/>
      <c r="Y2" s="3"/>
      <c r="Z2" s="3"/>
    </row>
    <row r="3" spans="1:26" x14ac:dyDescent="0.25">
      <c r="A3" s="3"/>
      <c r="B3" s="3"/>
      <c r="C3" s="3"/>
      <c r="D3" s="3"/>
      <c r="E3" s="3"/>
      <c r="F3" s="3"/>
      <c r="G3" s="3"/>
      <c r="H3" s="3"/>
      <c r="I3" s="3" t="s">
        <v>1335</v>
      </c>
      <c r="J3" s="3"/>
      <c r="K3" s="3"/>
      <c r="L3" s="3"/>
      <c r="M3" s="3"/>
      <c r="N3" s="3"/>
      <c r="O3" s="3"/>
      <c r="P3" s="3"/>
      <c r="Q3" s="3"/>
      <c r="R3" s="3"/>
      <c r="S3" s="3"/>
      <c r="T3" s="3"/>
      <c r="U3" s="3"/>
      <c r="V3" s="3"/>
      <c r="W3" s="3"/>
      <c r="X3" s="3"/>
      <c r="Y3" s="3"/>
      <c r="Z3" s="3"/>
    </row>
    <row r="4" spans="1:26" x14ac:dyDescent="0.25">
      <c r="A4" s="3"/>
      <c r="B4" s="3"/>
      <c r="C4" s="3"/>
      <c r="D4" s="3"/>
      <c r="E4" s="3"/>
      <c r="F4" s="3"/>
      <c r="G4" s="3"/>
      <c r="H4" s="1610"/>
      <c r="I4" s="3" t="s">
        <v>1336</v>
      </c>
      <c r="J4" s="3"/>
      <c r="K4" s="3"/>
      <c r="L4" s="3"/>
      <c r="M4" s="3"/>
      <c r="N4" s="3"/>
      <c r="O4" s="3"/>
      <c r="P4" s="3"/>
      <c r="Q4" s="3"/>
      <c r="R4" s="3"/>
      <c r="S4" s="3"/>
      <c r="T4" s="3"/>
      <c r="U4" s="3"/>
      <c r="V4" s="3"/>
      <c r="W4" s="3"/>
      <c r="X4" s="3"/>
      <c r="Y4" s="3"/>
      <c r="Z4" s="3"/>
    </row>
    <row r="5" spans="1:26" x14ac:dyDescent="0.25">
      <c r="A5" s="3"/>
      <c r="B5" s="3"/>
      <c r="C5" s="3"/>
      <c r="D5" s="3"/>
      <c r="E5" s="3"/>
      <c r="F5" s="3"/>
      <c r="G5" s="3"/>
      <c r="H5" s="1612"/>
      <c r="I5" s="3" t="s">
        <v>1337</v>
      </c>
      <c r="J5" s="3"/>
      <c r="K5" s="3"/>
      <c r="L5" s="3"/>
      <c r="M5" s="3"/>
      <c r="N5" s="3"/>
      <c r="O5" s="3"/>
      <c r="P5" s="3"/>
      <c r="Q5" s="3"/>
      <c r="R5" s="3"/>
      <c r="S5" s="3"/>
      <c r="T5" s="3"/>
      <c r="U5" s="3"/>
      <c r="V5" s="3"/>
      <c r="W5" s="3"/>
      <c r="X5" s="3"/>
      <c r="Y5" s="3"/>
      <c r="Z5" s="3"/>
    </row>
    <row r="6" spans="1:26" x14ac:dyDescent="0.25">
      <c r="A6" s="3"/>
      <c r="B6" s="3"/>
      <c r="C6" s="60"/>
      <c r="D6" s="3"/>
      <c r="E6" s="1613"/>
      <c r="F6" s="864"/>
      <c r="G6" s="3"/>
      <c r="H6" s="1613"/>
      <c r="I6" s="1613"/>
      <c r="J6" s="864"/>
      <c r="K6" s="864"/>
      <c r="L6" s="60"/>
      <c r="M6" s="60"/>
      <c r="N6" s="60"/>
      <c r="O6" s="60"/>
      <c r="P6" s="60"/>
      <c r="Q6" s="864"/>
      <c r="R6" s="864"/>
      <c r="S6" s="864"/>
      <c r="T6" s="864"/>
      <c r="U6" s="864"/>
      <c r="V6" s="3"/>
      <c r="W6" s="3"/>
      <c r="X6" s="3"/>
      <c r="Y6" s="3"/>
      <c r="Z6" s="3"/>
    </row>
    <row r="7" spans="1:26" x14ac:dyDescent="0.25">
      <c r="A7" s="3"/>
      <c r="B7" s="3"/>
      <c r="C7" s="3"/>
      <c r="D7" s="3"/>
      <c r="E7" s="3"/>
      <c r="F7" s="3"/>
      <c r="G7" s="60"/>
      <c r="H7" s="3"/>
      <c r="I7" s="1613"/>
      <c r="J7" s="864"/>
      <c r="K7" s="3"/>
      <c r="L7" s="1613"/>
      <c r="M7" s="1613"/>
      <c r="N7" s="864"/>
      <c r="O7" s="864"/>
      <c r="P7" s="60"/>
      <c r="Q7" s="60"/>
      <c r="R7" s="60"/>
      <c r="S7" s="60"/>
      <c r="T7" s="60"/>
      <c r="U7" s="864"/>
      <c r="V7" s="864"/>
      <c r="W7" s="864"/>
      <c r="X7" s="864"/>
      <c r="Y7" s="864"/>
      <c r="Z7" s="3"/>
    </row>
    <row r="8" spans="1:26" x14ac:dyDescent="0.25">
      <c r="A8" s="3"/>
      <c r="B8" s="3"/>
      <c r="C8" s="3"/>
      <c r="D8" s="3"/>
      <c r="E8" s="3"/>
      <c r="F8" s="3"/>
      <c r="G8" s="3"/>
      <c r="H8" s="3"/>
      <c r="I8" s="1615"/>
      <c r="J8" s="864"/>
      <c r="K8" s="3"/>
      <c r="L8" s="1613"/>
      <c r="M8" s="1616"/>
      <c r="N8" s="864"/>
      <c r="O8" s="864"/>
      <c r="P8" s="3"/>
      <c r="Q8" s="3"/>
      <c r="R8" s="3"/>
      <c r="S8" s="3"/>
      <c r="T8" s="3"/>
      <c r="U8" s="3"/>
      <c r="V8" s="3"/>
      <c r="W8" s="3"/>
      <c r="X8" s="3"/>
      <c r="Y8" s="3"/>
      <c r="Z8" s="3"/>
    </row>
    <row r="9" spans="1:26" ht="228" customHeight="1" x14ac:dyDescent="0.25">
      <c r="A9" s="3"/>
      <c r="B9" s="1617" t="s">
        <v>1338</v>
      </c>
      <c r="C9" s="1619" t="s">
        <v>1339</v>
      </c>
      <c r="D9" s="1620" t="s">
        <v>1340</v>
      </c>
      <c r="E9" s="1621" t="s">
        <v>1341</v>
      </c>
      <c r="F9" s="1622" t="s">
        <v>1342</v>
      </c>
      <c r="G9" s="1622" t="s">
        <v>1343</v>
      </c>
      <c r="H9" s="1623" t="s">
        <v>1344</v>
      </c>
      <c r="I9" s="1623" t="s">
        <v>1345</v>
      </c>
      <c r="J9" s="1622" t="s">
        <v>1346</v>
      </c>
      <c r="K9" s="1622" t="s">
        <v>1347</v>
      </c>
      <c r="L9" s="1622" t="s">
        <v>1348</v>
      </c>
      <c r="M9" s="1622" t="s">
        <v>1349</v>
      </c>
      <c r="N9" s="1622" t="s">
        <v>1350</v>
      </c>
      <c r="O9" s="1622" t="s">
        <v>1351</v>
      </c>
      <c r="P9" s="1622" t="s">
        <v>1352</v>
      </c>
      <c r="Q9" s="1622" t="s">
        <v>1353</v>
      </c>
      <c r="R9" s="1625" t="s">
        <v>1354</v>
      </c>
      <c r="S9" s="1622" t="s">
        <v>1355</v>
      </c>
      <c r="T9" s="1622" t="s">
        <v>1356</v>
      </c>
      <c r="U9" s="1622" t="s">
        <v>1357</v>
      </c>
      <c r="V9" s="1622" t="s">
        <v>1358</v>
      </c>
      <c r="W9" s="1626" t="s">
        <v>1359</v>
      </c>
      <c r="X9" s="3"/>
      <c r="Y9" s="3"/>
      <c r="Z9" s="3"/>
    </row>
    <row r="10" spans="1:26" x14ac:dyDescent="0.25">
      <c r="A10" s="3"/>
      <c r="B10" s="623"/>
      <c r="C10" s="81"/>
      <c r="D10" s="81"/>
      <c r="E10" s="1034"/>
      <c r="F10" s="204"/>
      <c r="G10" s="204"/>
      <c r="H10" s="1627"/>
      <c r="I10" s="1628"/>
      <c r="J10" s="747"/>
      <c r="K10" s="747"/>
      <c r="L10" s="81"/>
      <c r="M10" s="81"/>
      <c r="N10" s="81"/>
      <c r="O10" s="747"/>
      <c r="P10" s="747"/>
      <c r="Q10" s="747"/>
      <c r="R10" s="747"/>
      <c r="S10" s="81"/>
      <c r="T10" s="747"/>
      <c r="U10" s="747"/>
      <c r="V10" s="747"/>
      <c r="W10" s="1629"/>
      <c r="X10" s="3"/>
      <c r="Y10" s="3"/>
      <c r="Z10" s="3"/>
    </row>
    <row r="11" spans="1:26" x14ac:dyDescent="0.25">
      <c r="A11" s="3"/>
      <c r="B11" s="852" t="s">
        <v>1361</v>
      </c>
      <c r="C11" s="1630" t="s">
        <v>1362</v>
      </c>
      <c r="D11" s="1631">
        <v>4.26</v>
      </c>
      <c r="E11" s="1632">
        <f t="shared" ref="E11:E12" si="0">D11*1000000*0.9071847</f>
        <v>3864606.8219999997</v>
      </c>
      <c r="F11" s="1634">
        <v>125000</v>
      </c>
      <c r="G11" s="1634">
        <f t="shared" ref="G11:G12" si="1">F11*0.9071847</f>
        <v>113398.08749999999</v>
      </c>
      <c r="H11" s="1637">
        <v>1992</v>
      </c>
      <c r="I11" s="1638">
        <v>2015</v>
      </c>
      <c r="J11" s="1632">
        <v>11582.61522014504</v>
      </c>
      <c r="K11" s="1632">
        <v>4221.4303142723575</v>
      </c>
      <c r="L11" s="1639">
        <v>0.72199999999999998</v>
      </c>
      <c r="M11" s="1632">
        <f>K11*L11</f>
        <v>3047.8726869046418</v>
      </c>
      <c r="N11" s="1640">
        <v>0.98</v>
      </c>
      <c r="O11" s="1632">
        <f>M11*N11</f>
        <v>2986.9152331665491</v>
      </c>
      <c r="P11" s="1632">
        <f>O11*2.75</f>
        <v>8214.0168912080098</v>
      </c>
      <c r="Q11" s="1632">
        <f>M11*(1-N11)</f>
        <v>60.957453738092887</v>
      </c>
      <c r="R11" s="1632">
        <f>K11*(1-L11)</f>
        <v>1173.5576273677154</v>
      </c>
      <c r="S11" s="1639">
        <v>0.1</v>
      </c>
      <c r="T11" s="1632">
        <f t="shared" ref="T11:T12" si="2">R11*S11</f>
        <v>117.35576273677155</v>
      </c>
      <c r="U11" s="1632">
        <f t="shared" ref="U11:U12" si="3">R11-T11</f>
        <v>1056.2018646309439</v>
      </c>
      <c r="V11" s="1632">
        <f t="shared" ref="V11:V12" si="4">Q11+U11</f>
        <v>1117.1593183690368</v>
      </c>
      <c r="W11" s="1648">
        <f t="shared" ref="W11:W12" si="5">(V11*$D$88)+J11+P11</f>
        <v>50965.37709384918</v>
      </c>
      <c r="X11" s="3"/>
      <c r="Y11" s="3"/>
      <c r="Z11" s="3"/>
    </row>
    <row r="12" spans="1:26" x14ac:dyDescent="0.25">
      <c r="A12" s="3"/>
      <c r="B12" s="623"/>
      <c r="C12" s="81" t="s">
        <v>1372</v>
      </c>
      <c r="D12" s="1038">
        <v>1.5</v>
      </c>
      <c r="E12" s="747">
        <f t="shared" si="0"/>
        <v>1360777.05</v>
      </c>
      <c r="F12" s="1034">
        <v>75000</v>
      </c>
      <c r="G12" s="1034">
        <f t="shared" si="1"/>
        <v>68038.852499999994</v>
      </c>
      <c r="H12" s="204">
        <v>1971</v>
      </c>
      <c r="I12" s="1650">
        <v>1992</v>
      </c>
      <c r="J12" s="747">
        <v>3536.3938330901096</v>
      </c>
      <c r="K12" s="747">
        <v>1288.8833692970995</v>
      </c>
      <c r="L12" s="1483"/>
      <c r="M12" s="747"/>
      <c r="N12" s="858"/>
      <c r="O12" s="747"/>
      <c r="P12" s="747"/>
      <c r="Q12" s="747"/>
      <c r="R12" s="747">
        <f>K12</f>
        <v>1288.8833692970995</v>
      </c>
      <c r="S12" s="1483">
        <v>0.1</v>
      </c>
      <c r="T12" s="747">
        <f t="shared" si="2"/>
        <v>128.88833692970996</v>
      </c>
      <c r="U12" s="747">
        <f t="shared" si="3"/>
        <v>1159.9950323673895</v>
      </c>
      <c r="V12" s="747">
        <f t="shared" si="4"/>
        <v>1159.9950323673895</v>
      </c>
      <c r="W12" s="1629">
        <f t="shared" si="5"/>
        <v>35900.255236140278</v>
      </c>
      <c r="X12" s="3"/>
      <c r="Y12" s="3"/>
      <c r="Z12" s="3"/>
    </row>
    <row r="13" spans="1:26" x14ac:dyDescent="0.25">
      <c r="A13" s="3"/>
      <c r="B13" s="623"/>
      <c r="C13" s="81"/>
      <c r="D13" s="1038"/>
      <c r="E13" s="747"/>
      <c r="F13" s="1034"/>
      <c r="G13" s="1034"/>
      <c r="H13" s="204"/>
      <c r="I13" s="1650"/>
      <c r="J13" s="747"/>
      <c r="K13" s="747"/>
      <c r="L13" s="1483"/>
      <c r="M13" s="747"/>
      <c r="N13" s="858"/>
      <c r="O13" s="747"/>
      <c r="P13" s="747"/>
      <c r="Q13" s="747"/>
      <c r="R13" s="747"/>
      <c r="S13" s="81"/>
      <c r="T13" s="747"/>
      <c r="U13" s="747"/>
      <c r="V13" s="747"/>
      <c r="W13" s="1629"/>
      <c r="X13" s="3"/>
      <c r="Y13" s="3"/>
      <c r="Z13" s="3"/>
    </row>
    <row r="14" spans="1:26" x14ac:dyDescent="0.25">
      <c r="A14" s="3"/>
      <c r="B14" s="852" t="s">
        <v>1376</v>
      </c>
      <c r="C14" s="81" t="s">
        <v>1377</v>
      </c>
      <c r="D14" s="1038">
        <v>0.85</v>
      </c>
      <c r="E14" s="747">
        <f t="shared" ref="E14:E17" si="6">D14*1000000*0.9071847</f>
        <v>771106.995</v>
      </c>
      <c r="F14" s="1034">
        <v>23000</v>
      </c>
      <c r="G14" s="1034">
        <f t="shared" ref="G14:G17" si="7">F14*0.9071847</f>
        <v>20865.248100000001</v>
      </c>
      <c r="H14" s="204">
        <v>1960</v>
      </c>
      <c r="I14" s="1650">
        <v>1993</v>
      </c>
      <c r="J14" s="747">
        <v>1887.6275376496142</v>
      </c>
      <c r="K14" s="747">
        <v>687.96968197909132</v>
      </c>
      <c r="L14" s="1483"/>
      <c r="M14" s="747"/>
      <c r="N14" s="858"/>
      <c r="O14" s="747"/>
      <c r="P14" s="747"/>
      <c r="Q14" s="747"/>
      <c r="R14" s="747">
        <f t="shared" ref="R14:R15" si="8">K14</f>
        <v>687.96968197909132</v>
      </c>
      <c r="S14" s="1483">
        <v>0.1</v>
      </c>
      <c r="T14" s="747">
        <f t="shared" ref="T14:T19" si="9">R14*S14</f>
        <v>68.796968197909138</v>
      </c>
      <c r="U14" s="747">
        <f t="shared" ref="U14:U19" si="10">R14-T14</f>
        <v>619.17271378118221</v>
      </c>
      <c r="V14" s="747">
        <f t="shared" ref="V14:V19" si="11">Q14+U14</f>
        <v>619.17271378118221</v>
      </c>
      <c r="W14" s="1629">
        <f t="shared" ref="W14:W19" si="12">(V14*$D$88)+J14+P14</f>
        <v>19162.546252144595</v>
      </c>
      <c r="X14" s="3"/>
      <c r="Y14" s="3"/>
      <c r="Z14" s="3"/>
    </row>
    <row r="15" spans="1:26" x14ac:dyDescent="0.25">
      <c r="A15" s="3"/>
      <c r="B15" s="623"/>
      <c r="C15" s="81" t="s">
        <v>1387</v>
      </c>
      <c r="D15" s="1038">
        <v>0.67</v>
      </c>
      <c r="E15" s="747">
        <f t="shared" si="6"/>
        <v>607813.74899999995</v>
      </c>
      <c r="F15" s="1034">
        <v>11000</v>
      </c>
      <c r="G15" s="1034">
        <f t="shared" si="7"/>
        <v>9979.0316999999995</v>
      </c>
      <c r="H15" s="204">
        <v>1976</v>
      </c>
      <c r="I15" s="1650">
        <v>1996</v>
      </c>
      <c r="J15" s="747">
        <f>3076</f>
        <v>3076</v>
      </c>
      <c r="K15" s="747">
        <f>1121</f>
        <v>1121</v>
      </c>
      <c r="L15" s="1483"/>
      <c r="M15" s="747"/>
      <c r="N15" s="858"/>
      <c r="O15" s="747"/>
      <c r="P15" s="747"/>
      <c r="Q15" s="747"/>
      <c r="R15" s="747">
        <f t="shared" si="8"/>
        <v>1121</v>
      </c>
      <c r="S15" s="1483">
        <v>0.1</v>
      </c>
      <c r="T15" s="747">
        <f t="shared" si="9"/>
        <v>112.10000000000001</v>
      </c>
      <c r="U15" s="747">
        <f t="shared" si="10"/>
        <v>1008.9</v>
      </c>
      <c r="V15" s="747">
        <f t="shared" si="11"/>
        <v>1008.9</v>
      </c>
      <c r="W15" s="1629">
        <f t="shared" si="12"/>
        <v>31224.309999999998</v>
      </c>
      <c r="X15" s="3"/>
      <c r="Y15" s="3"/>
      <c r="Z15" s="3"/>
    </row>
    <row r="16" spans="1:26" x14ac:dyDescent="0.25">
      <c r="A16" s="3"/>
      <c r="B16" s="623"/>
      <c r="C16" s="1630" t="s">
        <v>1388</v>
      </c>
      <c r="D16" s="1631">
        <v>14.3</v>
      </c>
      <c r="E16" s="1632">
        <f t="shared" si="6"/>
        <v>12972741.209999999</v>
      </c>
      <c r="F16" s="1634">
        <v>358288</v>
      </c>
      <c r="G16" s="1634">
        <f t="shared" si="7"/>
        <v>325033.39179359999</v>
      </c>
      <c r="H16" s="1637">
        <v>1975</v>
      </c>
      <c r="I16" s="1638">
        <v>2060</v>
      </c>
      <c r="J16" s="1632">
        <v>29285.912429379514</v>
      </c>
      <c r="K16" s="1632">
        <v>10673.620435520277</v>
      </c>
      <c r="L16" s="1639">
        <v>0.83499999999999996</v>
      </c>
      <c r="M16" s="1632">
        <f>K16*L16</f>
        <v>8912.4730636594304</v>
      </c>
      <c r="N16" s="1640">
        <v>0.99909999999999999</v>
      </c>
      <c r="O16" s="1632">
        <f>M16*N16</f>
        <v>8904.4518379021374</v>
      </c>
      <c r="P16" s="1632">
        <f>O16*2.75</f>
        <v>24487.242554230877</v>
      </c>
      <c r="Q16" s="1632">
        <f>M16*(1-N16)</f>
        <v>8.0212257572935943</v>
      </c>
      <c r="R16" s="1632">
        <f>K16*(1-L16)</f>
        <v>1761.1473718608461</v>
      </c>
      <c r="S16" s="1639">
        <v>0.1</v>
      </c>
      <c r="T16" s="1632">
        <f t="shared" si="9"/>
        <v>176.11473718608462</v>
      </c>
      <c r="U16" s="1632">
        <f t="shared" si="10"/>
        <v>1585.0326346747615</v>
      </c>
      <c r="V16" s="1632">
        <f t="shared" si="11"/>
        <v>1593.0538604320552</v>
      </c>
      <c r="W16" s="1648">
        <f t="shared" si="12"/>
        <v>98219.357689664728</v>
      </c>
      <c r="X16" s="3"/>
      <c r="Y16" s="3"/>
      <c r="Z16" s="3"/>
    </row>
    <row r="17" spans="1:26" x14ac:dyDescent="0.25">
      <c r="A17" s="3"/>
      <c r="B17" s="623"/>
      <c r="C17" s="81" t="s">
        <v>1389</v>
      </c>
      <c r="D17" s="1038">
        <v>0.7</v>
      </c>
      <c r="E17" s="747">
        <f t="shared" si="6"/>
        <v>635029.28999999992</v>
      </c>
      <c r="F17" s="1034">
        <v>61000</v>
      </c>
      <c r="G17" s="1034">
        <f t="shared" si="7"/>
        <v>55338.2667</v>
      </c>
      <c r="H17" s="204">
        <v>1982</v>
      </c>
      <c r="I17" s="1650">
        <v>1993</v>
      </c>
      <c r="J17" s="747">
        <v>2229.1843372956323</v>
      </c>
      <c r="K17" s="747">
        <v>812.45436878486566</v>
      </c>
      <c r="L17" s="1483"/>
      <c r="M17" s="747"/>
      <c r="N17" s="858"/>
      <c r="O17" s="747"/>
      <c r="P17" s="747"/>
      <c r="Q17" s="747"/>
      <c r="R17" s="747">
        <f>K17</f>
        <v>812.45436878486566</v>
      </c>
      <c r="S17" s="1483">
        <v>0.1</v>
      </c>
      <c r="T17" s="747">
        <f t="shared" si="9"/>
        <v>81.245436878486572</v>
      </c>
      <c r="U17" s="747">
        <f t="shared" si="10"/>
        <v>731.20893190637912</v>
      </c>
      <c r="V17" s="747">
        <f t="shared" si="11"/>
        <v>731.20893190637912</v>
      </c>
      <c r="W17" s="1629">
        <f t="shared" si="12"/>
        <v>22629.913537483608</v>
      </c>
      <c r="X17" s="3"/>
      <c r="Y17" s="3"/>
      <c r="Z17" s="3"/>
    </row>
    <row r="18" spans="1:26" x14ac:dyDescent="0.25">
      <c r="A18" s="3"/>
      <c r="B18" s="623"/>
      <c r="C18" s="1630" t="s">
        <v>1390</v>
      </c>
      <c r="D18" s="1630"/>
      <c r="E18" s="1632">
        <v>1122641.432</v>
      </c>
      <c r="F18" s="1637"/>
      <c r="G18" s="1634"/>
      <c r="H18" s="1637">
        <v>1963</v>
      </c>
      <c r="I18" s="1638">
        <v>1982</v>
      </c>
      <c r="J18" s="1632">
        <f>2035</f>
        <v>2035</v>
      </c>
      <c r="K18" s="1632">
        <f>741.6</f>
        <v>741.6</v>
      </c>
      <c r="L18" s="1678">
        <v>0.24610000000000001</v>
      </c>
      <c r="M18" s="1632">
        <f>K18*L18</f>
        <v>182.50776000000002</v>
      </c>
      <c r="N18" s="1640">
        <v>0.98</v>
      </c>
      <c r="O18" s="1632">
        <f>M18*N18</f>
        <v>178.85760480000002</v>
      </c>
      <c r="P18" s="1632">
        <f>O18*2.75</f>
        <v>491.85841320000003</v>
      </c>
      <c r="Q18" s="1632">
        <f>M18*(1-N18)</f>
        <v>3.6501552000000035</v>
      </c>
      <c r="R18" s="1632">
        <f>K18*(1-L18)</f>
        <v>559.09224000000006</v>
      </c>
      <c r="S18" s="1639">
        <v>0.1</v>
      </c>
      <c r="T18" s="1632">
        <f t="shared" si="9"/>
        <v>55.909224000000009</v>
      </c>
      <c r="U18" s="1632">
        <f t="shared" si="10"/>
        <v>503.18301600000007</v>
      </c>
      <c r="V18" s="1632">
        <f t="shared" si="11"/>
        <v>506.83317120000009</v>
      </c>
      <c r="W18" s="1648">
        <f t="shared" si="12"/>
        <v>16667.503889680003</v>
      </c>
      <c r="X18" s="3"/>
      <c r="Y18" s="3"/>
      <c r="Z18" s="3"/>
    </row>
    <row r="19" spans="1:26" x14ac:dyDescent="0.25">
      <c r="A19" s="3"/>
      <c r="B19" s="623"/>
      <c r="C19" s="81" t="s">
        <v>1400</v>
      </c>
      <c r="D19" s="81"/>
      <c r="E19" s="747">
        <v>3487273</v>
      </c>
      <c r="F19" s="204"/>
      <c r="G19" s="1034"/>
      <c r="H19" s="204">
        <v>1953</v>
      </c>
      <c r="I19" s="1650">
        <v>1982</v>
      </c>
      <c r="J19" s="747">
        <f>5764</f>
        <v>5764</v>
      </c>
      <c r="K19" s="747">
        <f>2101</f>
        <v>2101</v>
      </c>
      <c r="L19" s="1483"/>
      <c r="M19" s="1687"/>
      <c r="N19" s="1688"/>
      <c r="O19" s="1687"/>
      <c r="P19" s="1687"/>
      <c r="Q19" s="1687"/>
      <c r="R19" s="1690">
        <f>K19</f>
        <v>2101</v>
      </c>
      <c r="S19" s="1691">
        <v>0.1</v>
      </c>
      <c r="T19" s="1690">
        <f t="shared" si="9"/>
        <v>210.10000000000002</v>
      </c>
      <c r="U19" s="1690">
        <f t="shared" si="10"/>
        <v>1890.9</v>
      </c>
      <c r="V19" s="1690">
        <f t="shared" si="11"/>
        <v>1890.9</v>
      </c>
      <c r="W19" s="1692">
        <f t="shared" si="12"/>
        <v>58520.11</v>
      </c>
      <c r="X19" s="3"/>
      <c r="Y19" s="3"/>
      <c r="Z19" s="3"/>
    </row>
    <row r="20" spans="1:26" x14ac:dyDescent="0.25">
      <c r="A20" s="3"/>
      <c r="B20" s="623"/>
      <c r="C20" s="81"/>
      <c r="D20" s="81"/>
      <c r="E20" s="747"/>
      <c r="F20" s="204"/>
      <c r="G20" s="1034"/>
      <c r="H20" s="204"/>
      <c r="I20" s="1650"/>
      <c r="J20" s="747"/>
      <c r="K20" s="747"/>
      <c r="L20" s="1483"/>
      <c r="M20" s="747"/>
      <c r="N20" s="858"/>
      <c r="O20" s="747"/>
      <c r="P20" s="747"/>
      <c r="Q20" s="747"/>
      <c r="R20" s="747"/>
      <c r="S20" s="81"/>
      <c r="T20" s="747"/>
      <c r="U20" s="747"/>
      <c r="V20" s="747"/>
      <c r="W20" s="1629"/>
      <c r="X20" s="3"/>
      <c r="Y20" s="3"/>
      <c r="Z20" s="3"/>
    </row>
    <row r="21" spans="1:26" ht="15.75" customHeight="1" x14ac:dyDescent="0.25">
      <c r="A21" s="3"/>
      <c r="B21" s="852" t="s">
        <v>1401</v>
      </c>
      <c r="C21" s="81" t="s">
        <v>1402</v>
      </c>
      <c r="D21" s="1038">
        <v>18.320622</v>
      </c>
      <c r="E21" s="747">
        <f>D21*1000000*0.9071847</f>
        <v>16620187.9728834</v>
      </c>
      <c r="F21" s="1034">
        <v>523000</v>
      </c>
      <c r="G21" s="1034">
        <f>F21*0.9071847</f>
        <v>474457.5981</v>
      </c>
      <c r="H21" s="204">
        <v>1985</v>
      </c>
      <c r="I21" s="1650">
        <v>2019</v>
      </c>
      <c r="J21" s="747">
        <v>39413.02160202081</v>
      </c>
      <c r="K21" s="747">
        <v>14364.573199191404</v>
      </c>
      <c r="L21" s="1483"/>
      <c r="M21" s="747"/>
      <c r="N21" s="858"/>
      <c r="O21" s="747"/>
      <c r="P21" s="747"/>
      <c r="Q21" s="747"/>
      <c r="R21" s="747">
        <f>K21</f>
        <v>14364.573199191404</v>
      </c>
      <c r="S21" s="1483">
        <v>0.1</v>
      </c>
      <c r="T21" s="747">
        <f>R21*S21</f>
        <v>1436.4573199191404</v>
      </c>
      <c r="U21" s="747">
        <f>R21-T21</f>
        <v>12928.115879272264</v>
      </c>
      <c r="V21" s="747">
        <f>Q21+U21</f>
        <v>12928.115879272264</v>
      </c>
      <c r="W21" s="1629">
        <f>(V21*$D$88)+J21+P21</f>
        <v>400107.45463371696</v>
      </c>
      <c r="X21" s="3"/>
      <c r="Y21" s="3"/>
      <c r="Z21" s="3"/>
    </row>
    <row r="22" spans="1:26" ht="15.75" customHeight="1" x14ac:dyDescent="0.25">
      <c r="A22" s="3"/>
      <c r="B22" s="852"/>
      <c r="C22" s="81"/>
      <c r="D22" s="1038"/>
      <c r="E22" s="747"/>
      <c r="F22" s="1034"/>
      <c r="G22" s="1034"/>
      <c r="H22" s="204"/>
      <c r="I22" s="1650"/>
      <c r="J22" s="747"/>
      <c r="K22" s="747"/>
      <c r="L22" s="1483"/>
      <c r="M22" s="747"/>
      <c r="N22" s="858"/>
      <c r="O22" s="747"/>
      <c r="P22" s="747"/>
      <c r="Q22" s="747"/>
      <c r="R22" s="747"/>
      <c r="S22" s="1483"/>
      <c r="T22" s="747"/>
      <c r="U22" s="747"/>
      <c r="V22" s="747"/>
      <c r="W22" s="1629"/>
      <c r="X22" s="3"/>
      <c r="Y22" s="3"/>
      <c r="Z22" s="3"/>
    </row>
    <row r="23" spans="1:26" ht="15.75" customHeight="1" x14ac:dyDescent="0.25">
      <c r="A23" s="3"/>
      <c r="B23" s="852" t="s">
        <v>1405</v>
      </c>
      <c r="C23" s="1630" t="s">
        <v>1406</v>
      </c>
      <c r="D23" s="1631">
        <v>22.812999999999999</v>
      </c>
      <c r="E23" s="1632">
        <f>D23*1000000*0.9071847</f>
        <v>20695604.561099999</v>
      </c>
      <c r="F23" s="1634">
        <v>250000</v>
      </c>
      <c r="G23" s="1634">
        <f>F23*0.9071847</f>
        <v>226796.17499999999</v>
      </c>
      <c r="H23" s="1637">
        <v>1982</v>
      </c>
      <c r="I23" s="1638">
        <v>2033</v>
      </c>
      <c r="J23" s="1632">
        <f>15150</f>
        <v>15150</v>
      </c>
      <c r="K23" s="1632">
        <f>7944</f>
        <v>7944</v>
      </c>
      <c r="L23" s="1639">
        <v>0.85</v>
      </c>
      <c r="M23" s="1632">
        <f t="shared" ref="M23:M24" si="13">K23*L23</f>
        <v>6752.4</v>
      </c>
      <c r="N23" s="1640">
        <v>0.98</v>
      </c>
      <c r="O23" s="1632">
        <f t="shared" ref="O23:O24" si="14">M23*N23</f>
        <v>6617.3519999999999</v>
      </c>
      <c r="P23" s="1632">
        <f t="shared" ref="P23:P24" si="15">O23*2.75</f>
        <v>18197.718000000001</v>
      </c>
      <c r="Q23" s="1632">
        <f t="shared" ref="Q23:Q24" si="16">M23*(1-N23)</f>
        <v>135.04800000000012</v>
      </c>
      <c r="R23" s="1632">
        <f t="shared" ref="R23:R24" si="17">K23*(1-L23)</f>
        <v>1191.6000000000001</v>
      </c>
      <c r="S23" s="1639">
        <v>0.1</v>
      </c>
      <c r="T23" s="1632">
        <f t="shared" ref="T23:T24" si="18">R23*S23</f>
        <v>119.16000000000003</v>
      </c>
      <c r="U23" s="1632">
        <f t="shared" ref="U23:U24" si="19">R23-T23</f>
        <v>1072.44</v>
      </c>
      <c r="V23" s="1632">
        <f t="shared" ref="V23:V24" si="20">Q23+U23</f>
        <v>1207.4880000000003</v>
      </c>
      <c r="W23" s="1648">
        <f t="shared" ref="W23:W24" si="21">(V23*$D$88)+J23+P23</f>
        <v>67036.633200000011</v>
      </c>
      <c r="X23" s="3"/>
      <c r="Y23" s="3"/>
      <c r="Z23" s="3"/>
    </row>
    <row r="24" spans="1:26" ht="15.75" customHeight="1" x14ac:dyDescent="0.25">
      <c r="A24" s="3"/>
      <c r="B24" s="623"/>
      <c r="C24" s="1630" t="s">
        <v>1423</v>
      </c>
      <c r="D24" s="1631"/>
      <c r="E24" s="1632">
        <v>7259745.9500000002</v>
      </c>
      <c r="F24" s="1634"/>
      <c r="G24" s="1634"/>
      <c r="H24" s="1637">
        <v>1968</v>
      </c>
      <c r="I24" s="1638">
        <v>1986</v>
      </c>
      <c r="J24" s="1632">
        <v>15710</v>
      </c>
      <c r="K24" s="1632">
        <f>5727</f>
        <v>5727</v>
      </c>
      <c r="L24" s="1639">
        <v>0.42720000000000002</v>
      </c>
      <c r="M24" s="1632">
        <f t="shared" si="13"/>
        <v>2446.5744</v>
      </c>
      <c r="N24" s="1640">
        <v>0.98</v>
      </c>
      <c r="O24" s="1632">
        <f t="shared" si="14"/>
        <v>2397.6429119999998</v>
      </c>
      <c r="P24" s="1632">
        <f t="shared" si="15"/>
        <v>6593.5180079999991</v>
      </c>
      <c r="Q24" s="1632">
        <f t="shared" si="16"/>
        <v>48.931488000000044</v>
      </c>
      <c r="R24" s="1632">
        <f t="shared" si="17"/>
        <v>3280.4256</v>
      </c>
      <c r="S24" s="1639">
        <v>0.1</v>
      </c>
      <c r="T24" s="1632">
        <f t="shared" si="18"/>
        <v>328.04256000000004</v>
      </c>
      <c r="U24" s="1632">
        <f t="shared" si="19"/>
        <v>2952.3830400000002</v>
      </c>
      <c r="V24" s="1632">
        <f t="shared" si="20"/>
        <v>3001.3145280000003</v>
      </c>
      <c r="W24" s="1648">
        <f t="shared" si="21"/>
        <v>106040.19333920001</v>
      </c>
      <c r="X24" s="3"/>
      <c r="Y24" s="3"/>
      <c r="Z24" s="3"/>
    </row>
    <row r="25" spans="1:26" ht="15.75" customHeight="1" x14ac:dyDescent="0.25">
      <c r="A25" s="3"/>
      <c r="B25" s="623"/>
      <c r="C25" s="81"/>
      <c r="D25" s="1038"/>
      <c r="E25" s="747"/>
      <c r="F25" s="1034"/>
      <c r="G25" s="1034"/>
      <c r="H25" s="204"/>
      <c r="I25" s="1650"/>
      <c r="J25" s="747"/>
      <c r="K25" s="747"/>
      <c r="L25" s="1483"/>
      <c r="M25" s="747"/>
      <c r="N25" s="858"/>
      <c r="O25" s="747"/>
      <c r="P25" s="747"/>
      <c r="Q25" s="747"/>
      <c r="R25" s="747"/>
      <c r="S25" s="81"/>
      <c r="T25" s="747"/>
      <c r="U25" s="747"/>
      <c r="V25" s="747"/>
      <c r="W25" s="1629"/>
      <c r="X25" s="3"/>
      <c r="Y25" s="3"/>
      <c r="Z25" s="3"/>
    </row>
    <row r="26" spans="1:26" ht="15.75" customHeight="1" x14ac:dyDescent="0.25">
      <c r="A26" s="3"/>
      <c r="B26" s="623"/>
      <c r="C26" s="81"/>
      <c r="D26" s="1038"/>
      <c r="E26" s="747"/>
      <c r="F26" s="1034"/>
      <c r="G26" s="1034"/>
      <c r="H26" s="204"/>
      <c r="I26" s="1650"/>
      <c r="J26" s="747"/>
      <c r="K26" s="747"/>
      <c r="L26" s="1483"/>
      <c r="M26" s="747"/>
      <c r="N26" s="858"/>
      <c r="O26" s="747"/>
      <c r="P26" s="747"/>
      <c r="Q26" s="747"/>
      <c r="R26" s="747"/>
      <c r="S26" s="81"/>
      <c r="T26" s="747"/>
      <c r="U26" s="747"/>
      <c r="V26" s="747"/>
      <c r="W26" s="1629"/>
      <c r="X26" s="3"/>
      <c r="Y26" s="3"/>
      <c r="Z26" s="3"/>
    </row>
    <row r="27" spans="1:26" ht="15.75" customHeight="1" x14ac:dyDescent="0.25">
      <c r="A27" s="3"/>
      <c r="B27" s="852" t="s">
        <v>1424</v>
      </c>
      <c r="C27" s="81" t="s">
        <v>1425</v>
      </c>
      <c r="D27" s="1038">
        <v>2.7992900000000001</v>
      </c>
      <c r="E27" s="747">
        <f t="shared" ref="E27:E28" si="22">D27*1000000*0.9071847</f>
        <v>2539473.058863</v>
      </c>
      <c r="F27" s="1034">
        <v>20000</v>
      </c>
      <c r="G27" s="1034">
        <f t="shared" ref="G27:G28" si="23">F27*0.9071847</f>
        <v>18143.694</v>
      </c>
      <c r="H27" s="204">
        <v>1992</v>
      </c>
      <c r="I27" s="1650">
        <v>2037</v>
      </c>
      <c r="J27" s="747">
        <v>2382.6022283059365</v>
      </c>
      <c r="K27" s="747">
        <v>868.36945562434016</v>
      </c>
      <c r="L27" s="1483"/>
      <c r="M27" s="747"/>
      <c r="N27" s="858"/>
      <c r="O27" s="747"/>
      <c r="P27" s="747"/>
      <c r="Q27" s="747"/>
      <c r="R27" s="747">
        <f t="shared" ref="R27:R28" si="24">K27</f>
        <v>868.36945562434016</v>
      </c>
      <c r="S27" s="1483">
        <v>0.1</v>
      </c>
      <c r="T27" s="747">
        <f t="shared" ref="T27:T28" si="25">R27*S27</f>
        <v>86.836945562434025</v>
      </c>
      <c r="U27" s="747">
        <f t="shared" ref="U27:U28" si="26">R27-T27</f>
        <v>781.53251006190612</v>
      </c>
      <c r="V27" s="747">
        <f t="shared" ref="V27:V28" si="27">Q27+U27</f>
        <v>781.53251006190612</v>
      </c>
      <c r="W27" s="1629">
        <f t="shared" ref="W27:W28" si="28">(V27*$D$88)+J27+P27</f>
        <v>24187.359259033114</v>
      </c>
      <c r="X27" s="3"/>
      <c r="Y27" s="3"/>
      <c r="Z27" s="3"/>
    </row>
    <row r="28" spans="1:26" ht="15.75" customHeight="1" x14ac:dyDescent="0.25">
      <c r="A28" s="3"/>
      <c r="B28" s="623"/>
      <c r="C28" s="81" t="s">
        <v>1426</v>
      </c>
      <c r="D28" s="1038">
        <v>0.6</v>
      </c>
      <c r="E28" s="747">
        <f t="shared" si="22"/>
        <v>544310.81999999995</v>
      </c>
      <c r="F28" s="1034">
        <v>28000</v>
      </c>
      <c r="G28" s="1034">
        <f t="shared" si="23"/>
        <v>25401.171599999998</v>
      </c>
      <c r="H28" s="204">
        <v>1975</v>
      </c>
      <c r="I28" s="1650">
        <v>1993</v>
      </c>
      <c r="J28" s="747">
        <v>1615.9062568132847</v>
      </c>
      <c r="K28" s="747">
        <v>588.93743147659802</v>
      </c>
      <c r="L28" s="1483"/>
      <c r="M28" s="747"/>
      <c r="N28" s="858"/>
      <c r="O28" s="747"/>
      <c r="P28" s="747"/>
      <c r="Q28" s="747"/>
      <c r="R28" s="747">
        <f t="shared" si="24"/>
        <v>588.93743147659802</v>
      </c>
      <c r="S28" s="1483">
        <v>0.1</v>
      </c>
      <c r="T28" s="747">
        <f t="shared" si="25"/>
        <v>58.893743147659805</v>
      </c>
      <c r="U28" s="747">
        <f t="shared" si="26"/>
        <v>530.04368832893817</v>
      </c>
      <c r="V28" s="747">
        <f t="shared" si="27"/>
        <v>530.04368832893817</v>
      </c>
      <c r="W28" s="1629">
        <f t="shared" si="28"/>
        <v>16404.125161190659</v>
      </c>
      <c r="X28" s="3"/>
      <c r="Y28" s="3"/>
      <c r="Z28" s="3"/>
    </row>
    <row r="29" spans="1:26" ht="15.75" customHeight="1" x14ac:dyDescent="0.25">
      <c r="A29" s="3"/>
      <c r="B29" s="623"/>
      <c r="C29" s="81"/>
      <c r="D29" s="1038"/>
      <c r="E29" s="747"/>
      <c r="F29" s="1034"/>
      <c r="G29" s="1034"/>
      <c r="H29" s="204"/>
      <c r="I29" s="1650"/>
      <c r="J29" s="747"/>
      <c r="K29" s="747"/>
      <c r="L29" s="1483"/>
      <c r="M29" s="747"/>
      <c r="N29" s="858"/>
      <c r="O29" s="747"/>
      <c r="P29" s="747"/>
      <c r="Q29" s="747"/>
      <c r="R29" s="747"/>
      <c r="S29" s="81"/>
      <c r="T29" s="747"/>
      <c r="U29" s="747"/>
      <c r="V29" s="747"/>
      <c r="W29" s="1629"/>
      <c r="X29" s="3"/>
      <c r="Y29" s="3"/>
      <c r="Z29" s="3"/>
    </row>
    <row r="30" spans="1:26" ht="15.75" customHeight="1" x14ac:dyDescent="0.25">
      <c r="A30" s="3"/>
      <c r="B30" s="852" t="s">
        <v>1427</v>
      </c>
      <c r="C30" s="81" t="s">
        <v>1428</v>
      </c>
      <c r="D30" s="81">
        <v>0.5</v>
      </c>
      <c r="E30" s="747">
        <f t="shared" ref="E30:E31" si="29">D30*1000000*0.9071847</f>
        <v>453592.35</v>
      </c>
      <c r="F30" s="204">
        <v>35000</v>
      </c>
      <c r="G30" s="1034">
        <f t="shared" ref="G30:G31" si="30">F30*0.9071847</f>
        <v>31751.464499999998</v>
      </c>
      <c r="H30" s="204">
        <v>1981</v>
      </c>
      <c r="I30" s="1650">
        <v>1994</v>
      </c>
      <c r="J30" s="747">
        <v>1446.5658922367506</v>
      </c>
      <c r="K30" s="747">
        <v>527.21919817035848</v>
      </c>
      <c r="L30" s="1483"/>
      <c r="M30" s="747"/>
      <c r="N30" s="858"/>
      <c r="O30" s="747"/>
      <c r="P30" s="747"/>
      <c r="Q30" s="747"/>
      <c r="R30" s="747">
        <f>K30</f>
        <v>527.21919817035848</v>
      </c>
      <c r="S30" s="1483">
        <v>0.1</v>
      </c>
      <c r="T30" s="747">
        <f t="shared" ref="T30:T31" si="31">R30*S30</f>
        <v>52.721919817035854</v>
      </c>
      <c r="U30" s="747">
        <f t="shared" ref="U30:U31" si="32">R30-T30</f>
        <v>474.4972783533226</v>
      </c>
      <c r="V30" s="747">
        <f t="shared" ref="V30:V31" si="33">Q30+U30</f>
        <v>474.4972783533226</v>
      </c>
      <c r="W30" s="1629">
        <f t="shared" ref="W30:W31" si="34">(V30*$D$88)+J30+P30</f>
        <v>14685.03995829445</v>
      </c>
      <c r="X30" s="3"/>
      <c r="Y30" s="3"/>
      <c r="Z30" s="3"/>
    </row>
    <row r="31" spans="1:26" ht="15.75" customHeight="1" x14ac:dyDescent="0.25">
      <c r="A31" s="3"/>
      <c r="B31" s="623"/>
      <c r="C31" s="1630" t="s">
        <v>1431</v>
      </c>
      <c r="D31" s="1631">
        <v>3.5041869999999999</v>
      </c>
      <c r="E31" s="1632">
        <f t="shared" si="29"/>
        <v>3178944.8323388998</v>
      </c>
      <c r="F31" s="1634">
        <v>80000</v>
      </c>
      <c r="G31" s="1634">
        <f t="shared" si="30"/>
        <v>72574.775999999998</v>
      </c>
      <c r="H31" s="1637">
        <v>1988</v>
      </c>
      <c r="I31" s="1638">
        <v>2053</v>
      </c>
      <c r="J31" s="1632">
        <v>3883.7305657681777</v>
      </c>
      <c r="K31" s="1632">
        <v>1415.4746256514784</v>
      </c>
      <c r="L31" s="1639">
        <v>0.22070000000000001</v>
      </c>
      <c r="M31" s="1632">
        <f>K31*L31</f>
        <v>312.3952498812813</v>
      </c>
      <c r="N31" s="1640">
        <v>0.97699999999999998</v>
      </c>
      <c r="O31" s="1632">
        <f>M31*N31</f>
        <v>305.2101591340118</v>
      </c>
      <c r="P31" s="1632">
        <f>O31*2.75</f>
        <v>839.32793761853247</v>
      </c>
      <c r="Q31" s="1632">
        <f>M31*(1-N31)</f>
        <v>7.1850907472694763</v>
      </c>
      <c r="R31" s="1632">
        <f>K31*(1-L31)</f>
        <v>1103.0793757701972</v>
      </c>
      <c r="S31" s="1639">
        <v>0.1</v>
      </c>
      <c r="T31" s="1632">
        <f t="shared" si="31"/>
        <v>110.30793757701973</v>
      </c>
      <c r="U31" s="1632">
        <f t="shared" si="32"/>
        <v>992.77143819317746</v>
      </c>
      <c r="V31" s="1632">
        <f t="shared" si="33"/>
        <v>999.9565289404469</v>
      </c>
      <c r="W31" s="1648">
        <f t="shared" si="34"/>
        <v>32621.845660825176</v>
      </c>
      <c r="X31" s="3"/>
      <c r="Y31" s="3"/>
      <c r="Z31" s="3"/>
    </row>
    <row r="32" spans="1:26" ht="15.75" customHeight="1" x14ac:dyDescent="0.25">
      <c r="A32" s="3"/>
      <c r="B32" s="623"/>
      <c r="C32" s="81"/>
      <c r="D32" s="1038"/>
      <c r="E32" s="747"/>
      <c r="F32" s="1034"/>
      <c r="G32" s="1034"/>
      <c r="H32" s="204"/>
      <c r="I32" s="1650"/>
      <c r="J32" s="747"/>
      <c r="K32" s="747"/>
      <c r="L32" s="1483"/>
      <c r="M32" s="747"/>
      <c r="N32" s="858"/>
      <c r="O32" s="747"/>
      <c r="P32" s="747"/>
      <c r="Q32" s="747"/>
      <c r="R32" s="747"/>
      <c r="S32" s="1483"/>
      <c r="T32" s="747"/>
      <c r="U32" s="747"/>
      <c r="V32" s="747"/>
      <c r="W32" s="1629"/>
      <c r="X32" s="3"/>
      <c r="Y32" s="3"/>
      <c r="Z32" s="3"/>
    </row>
    <row r="33" spans="1:26" ht="15.75" customHeight="1" x14ac:dyDescent="0.25">
      <c r="A33" s="3"/>
      <c r="B33" s="852" t="s">
        <v>1450</v>
      </c>
      <c r="C33" s="1630" t="s">
        <v>1451</v>
      </c>
      <c r="D33" s="1631">
        <f>3487273/1000000</f>
        <v>3.4872730000000001</v>
      </c>
      <c r="E33" s="1632"/>
      <c r="F33" s="1634"/>
      <c r="G33" s="1634"/>
      <c r="H33" s="1637">
        <v>1953</v>
      </c>
      <c r="I33" s="1638">
        <v>2010</v>
      </c>
      <c r="J33" s="1632">
        <f>11500</f>
        <v>11500</v>
      </c>
      <c r="K33" s="1632">
        <f>4190</f>
        <v>4190</v>
      </c>
      <c r="L33" s="1639">
        <v>0.51</v>
      </c>
      <c r="M33" s="1632">
        <f>K33*L33</f>
        <v>2136.9</v>
      </c>
      <c r="N33" s="1640">
        <v>0.98</v>
      </c>
      <c r="O33" s="1632">
        <f>M33*N33</f>
        <v>2094.1620000000003</v>
      </c>
      <c r="P33" s="1632">
        <f>O33*2.75</f>
        <v>5758.9455000000007</v>
      </c>
      <c r="Q33" s="1632">
        <f>M33*(1-N33)</f>
        <v>42.738000000000042</v>
      </c>
      <c r="R33" s="1632">
        <f>K33*(1-L33)</f>
        <v>2053.1</v>
      </c>
      <c r="S33" s="1639">
        <v>0.1</v>
      </c>
      <c r="T33" s="1632">
        <f>R33*S33</f>
        <v>205.31</v>
      </c>
      <c r="U33" s="1632">
        <f>R33-T33</f>
        <v>1847.79</v>
      </c>
      <c r="V33" s="1632">
        <f>Q33+U33</f>
        <v>1890.528</v>
      </c>
      <c r="W33" s="1648">
        <f>(V33*$D$88)+J33+P33</f>
        <v>70004.676699999996</v>
      </c>
      <c r="X33" s="3"/>
      <c r="Y33" s="3"/>
      <c r="Z33" s="3"/>
    </row>
    <row r="34" spans="1:26" ht="15.75" customHeight="1" x14ac:dyDescent="0.25">
      <c r="A34" s="3"/>
      <c r="B34" s="623"/>
      <c r="C34" s="81"/>
      <c r="D34" s="1038"/>
      <c r="E34" s="747"/>
      <c r="F34" s="1034"/>
      <c r="G34" s="1034"/>
      <c r="H34" s="204"/>
      <c r="I34" s="1650"/>
      <c r="J34" s="747"/>
      <c r="K34" s="747"/>
      <c r="L34" s="1483"/>
      <c r="M34" s="747"/>
      <c r="N34" s="858"/>
      <c r="O34" s="747"/>
      <c r="P34" s="747"/>
      <c r="Q34" s="747"/>
      <c r="R34" s="747"/>
      <c r="S34" s="1483"/>
      <c r="T34" s="747"/>
      <c r="U34" s="747"/>
      <c r="V34" s="747"/>
      <c r="W34" s="1629"/>
      <c r="X34" s="3"/>
      <c r="Y34" s="3"/>
      <c r="Z34" s="3"/>
    </row>
    <row r="35" spans="1:26" ht="15.75" customHeight="1" x14ac:dyDescent="0.25">
      <c r="A35" s="3"/>
      <c r="B35" s="623"/>
      <c r="C35" s="81"/>
      <c r="D35" s="1038"/>
      <c r="E35" s="747"/>
      <c r="F35" s="1034"/>
      <c r="G35" s="1034"/>
      <c r="H35" s="204"/>
      <c r="I35" s="1650"/>
      <c r="J35" s="747"/>
      <c r="K35" s="747"/>
      <c r="L35" s="1483"/>
      <c r="M35" s="747"/>
      <c r="N35" s="858"/>
      <c r="O35" s="747"/>
      <c r="P35" s="747"/>
      <c r="Q35" s="747"/>
      <c r="R35" s="747"/>
      <c r="S35" s="81"/>
      <c r="T35" s="747"/>
      <c r="U35" s="747"/>
      <c r="V35" s="747"/>
      <c r="W35" s="1629"/>
      <c r="X35" s="3"/>
      <c r="Y35" s="3"/>
      <c r="Z35" s="3"/>
    </row>
    <row r="36" spans="1:26" ht="15.75" customHeight="1" x14ac:dyDescent="0.25">
      <c r="A36" s="3"/>
      <c r="B36" s="852" t="s">
        <v>1468</v>
      </c>
      <c r="C36" s="1630" t="s">
        <v>1469</v>
      </c>
      <c r="D36" s="1631">
        <v>4.5049999999999999</v>
      </c>
      <c r="E36" s="1632">
        <f>D36*1000000*0.9071847</f>
        <v>4086867.0734999999</v>
      </c>
      <c r="F36" s="1634"/>
      <c r="G36" s="1634">
        <v>60623.332999999999</v>
      </c>
      <c r="H36" s="1637">
        <v>1978</v>
      </c>
      <c r="I36" s="1638">
        <v>2046</v>
      </c>
      <c r="J36" s="1632">
        <v>11480.181645565875</v>
      </c>
      <c r="K36" s="1632">
        <v>4184.0971050869484</v>
      </c>
      <c r="L36" s="1639">
        <v>0.55800000000000005</v>
      </c>
      <c r="M36" s="1632">
        <f>K36*L36</f>
        <v>2334.7261846385172</v>
      </c>
      <c r="N36" s="1640">
        <v>0.98</v>
      </c>
      <c r="O36" s="1632">
        <f>M36*N36</f>
        <v>2288.0316609457468</v>
      </c>
      <c r="P36" s="1632">
        <f>O36*2.75</f>
        <v>6292.0870676008035</v>
      </c>
      <c r="Q36" s="1632">
        <f>M36*(1-N36)</f>
        <v>46.694523692770389</v>
      </c>
      <c r="R36" s="1632">
        <f>K36*(1-L36)</f>
        <v>1849.370920448431</v>
      </c>
      <c r="S36" s="1639">
        <v>0.1</v>
      </c>
      <c r="T36" s="1632">
        <f>R36*S36</f>
        <v>184.9370920448431</v>
      </c>
      <c r="U36" s="1632">
        <f>R36-T36</f>
        <v>1664.433828403588</v>
      </c>
      <c r="V36" s="1632">
        <f>Q36+U36</f>
        <v>1711.1283520963584</v>
      </c>
      <c r="W36" s="1648">
        <f>(V36*$D$88)+J36+P36</f>
        <v>65512.749736655082</v>
      </c>
      <c r="X36" s="3"/>
      <c r="Y36" s="3"/>
      <c r="Z36" s="3"/>
    </row>
    <row r="37" spans="1:26" ht="15.75" customHeight="1" x14ac:dyDescent="0.25">
      <c r="A37" s="3"/>
      <c r="B37" s="623"/>
      <c r="C37" s="81"/>
      <c r="D37" s="1038"/>
      <c r="E37" s="747"/>
      <c r="F37" s="1034"/>
      <c r="G37" s="1034"/>
      <c r="H37" s="204"/>
      <c r="I37" s="1650"/>
      <c r="J37" s="747"/>
      <c r="K37" s="747"/>
      <c r="L37" s="1483"/>
      <c r="M37" s="747"/>
      <c r="N37" s="858"/>
      <c r="O37" s="747"/>
      <c r="P37" s="747"/>
      <c r="Q37" s="747"/>
      <c r="R37" s="747"/>
      <c r="S37" s="81"/>
      <c r="T37" s="747"/>
      <c r="U37" s="747"/>
      <c r="V37" s="747"/>
      <c r="W37" s="1629"/>
      <c r="X37" s="3"/>
      <c r="Y37" s="3"/>
      <c r="Z37" s="3"/>
    </row>
    <row r="38" spans="1:26" ht="15.75" customHeight="1" x14ac:dyDescent="0.25">
      <c r="A38" s="3"/>
      <c r="B38" s="852" t="s">
        <v>1474</v>
      </c>
      <c r="C38" s="81" t="s">
        <v>1475</v>
      </c>
      <c r="D38" s="1038">
        <v>4.3746999999999998</v>
      </c>
      <c r="E38" s="747">
        <f t="shared" ref="E38:E39" si="35">D38*1000000*0.9071847</f>
        <v>3968660.9070899999</v>
      </c>
      <c r="F38" s="1034">
        <v>82000</v>
      </c>
      <c r="G38" s="1034">
        <f t="shared" ref="G38:G39" si="36">F38*0.9071847</f>
        <v>74389.145399999994</v>
      </c>
      <c r="H38" s="204">
        <v>1994</v>
      </c>
      <c r="I38" s="1650">
        <v>2040</v>
      </c>
      <c r="J38" s="747">
        <f>10640</f>
        <v>10640</v>
      </c>
      <c r="K38" s="747">
        <f>3878</f>
        <v>3878</v>
      </c>
      <c r="L38" s="1483"/>
      <c r="M38" s="747"/>
      <c r="N38" s="858"/>
      <c r="O38" s="747"/>
      <c r="P38" s="747"/>
      <c r="Q38" s="747"/>
      <c r="R38" s="747">
        <f t="shared" ref="R38:R39" si="37">K38</f>
        <v>3878</v>
      </c>
      <c r="S38" s="1483">
        <v>0.1</v>
      </c>
      <c r="T38" s="747">
        <f t="shared" ref="T38:T39" si="38">R38*S38</f>
        <v>387.8</v>
      </c>
      <c r="U38" s="747">
        <f t="shared" ref="U38:U39" si="39">R38-T38</f>
        <v>3490.2</v>
      </c>
      <c r="V38" s="747">
        <f t="shared" ref="V38:V39" si="40">Q38+U38</f>
        <v>3490.2</v>
      </c>
      <c r="W38" s="1629">
        <f t="shared" ref="W38:W39" si="41">(V38*$D$88)+J38+P38</f>
        <v>108016.57999999999</v>
      </c>
      <c r="X38" s="3"/>
      <c r="Y38" s="3"/>
      <c r="Z38" s="3"/>
    </row>
    <row r="39" spans="1:26" ht="15.75" customHeight="1" x14ac:dyDescent="0.25">
      <c r="A39" s="3"/>
      <c r="B39" s="623"/>
      <c r="C39" s="81" t="s">
        <v>1486</v>
      </c>
      <c r="D39" s="1038">
        <v>1.5</v>
      </c>
      <c r="E39" s="747">
        <f t="shared" si="35"/>
        <v>1360777.05</v>
      </c>
      <c r="F39" s="1034">
        <v>75000</v>
      </c>
      <c r="G39" s="1034">
        <f t="shared" si="36"/>
        <v>68038.852499999994</v>
      </c>
      <c r="H39" s="204">
        <v>1974</v>
      </c>
      <c r="I39" s="1650">
        <v>1994</v>
      </c>
      <c r="J39" s="747">
        <v>4534.0886865896227</v>
      </c>
      <c r="K39" s="747">
        <v>1652.5058516904692</v>
      </c>
      <c r="L39" s="1483"/>
      <c r="M39" s="747"/>
      <c r="N39" s="858"/>
      <c r="O39" s="747"/>
      <c r="P39" s="747"/>
      <c r="Q39" s="747"/>
      <c r="R39" s="747">
        <f t="shared" si="37"/>
        <v>1652.5058516904692</v>
      </c>
      <c r="S39" s="1483">
        <v>0.1</v>
      </c>
      <c r="T39" s="747">
        <f t="shared" si="38"/>
        <v>165.25058516904693</v>
      </c>
      <c r="U39" s="747">
        <f t="shared" si="39"/>
        <v>1487.2552665214223</v>
      </c>
      <c r="V39" s="747">
        <f t="shared" si="40"/>
        <v>1487.2552665214223</v>
      </c>
      <c r="W39" s="1629">
        <f t="shared" si="41"/>
        <v>46028.510622537302</v>
      </c>
      <c r="X39" s="3"/>
      <c r="Y39" s="3"/>
      <c r="Z39" s="3"/>
    </row>
    <row r="40" spans="1:26" ht="15.75" customHeight="1" x14ac:dyDescent="0.25">
      <c r="A40" s="3"/>
      <c r="B40" s="623"/>
      <c r="C40" s="81"/>
      <c r="D40" s="1038"/>
      <c r="E40" s="747"/>
      <c r="F40" s="1034"/>
      <c r="G40" s="1034"/>
      <c r="H40" s="204"/>
      <c r="I40" s="1650"/>
      <c r="J40" s="747"/>
      <c r="K40" s="747"/>
      <c r="L40" s="1483"/>
      <c r="M40" s="747"/>
      <c r="N40" s="858"/>
      <c r="O40" s="747"/>
      <c r="P40" s="747"/>
      <c r="Q40" s="747"/>
      <c r="R40" s="747"/>
      <c r="S40" s="81"/>
      <c r="T40" s="747"/>
      <c r="U40" s="747"/>
      <c r="V40" s="747"/>
      <c r="W40" s="1629"/>
      <c r="X40" s="3"/>
      <c r="Y40" s="3"/>
      <c r="Z40" s="3"/>
    </row>
    <row r="41" spans="1:26" ht="15.75" customHeight="1" x14ac:dyDescent="0.25">
      <c r="A41" s="3"/>
      <c r="B41" s="852" t="s">
        <v>1488</v>
      </c>
      <c r="C41" s="81" t="s">
        <v>1489</v>
      </c>
      <c r="D41" s="1038">
        <v>0.8</v>
      </c>
      <c r="E41" s="747">
        <f t="shared" ref="E41:E42" si="42">D41*1000000*0.9071847</f>
        <v>725747.76</v>
      </c>
      <c r="F41" s="1034">
        <v>35000</v>
      </c>
      <c r="G41" s="1034">
        <f>F41*0.9071847</f>
        <v>31751.464499999998</v>
      </c>
      <c r="H41" s="204">
        <v>1973</v>
      </c>
      <c r="I41" s="1650">
        <v>1995</v>
      </c>
      <c r="J41" s="747">
        <v>1410.6769001584582</v>
      </c>
      <c r="K41" s="747">
        <v>514.13900201185334</v>
      </c>
      <c r="L41" s="1483"/>
      <c r="M41" s="747"/>
      <c r="N41" s="858"/>
      <c r="O41" s="747"/>
      <c r="P41" s="747"/>
      <c r="Q41" s="747"/>
      <c r="R41" s="747">
        <f t="shared" ref="R41:R42" si="43">K41</f>
        <v>514.13900201185334</v>
      </c>
      <c r="S41" s="1483">
        <v>0.1</v>
      </c>
      <c r="T41" s="747">
        <f t="shared" ref="T41:T42" si="44">R41*S41</f>
        <v>51.413900201185335</v>
      </c>
      <c r="U41" s="747">
        <f t="shared" ref="U41:U42" si="45">R41-T41</f>
        <v>462.72510181066798</v>
      </c>
      <c r="V41" s="747">
        <f t="shared" ref="V41:V42" si="46">Q41+U41</f>
        <v>462.72510181066798</v>
      </c>
      <c r="W41" s="1629">
        <f t="shared" ref="W41:W42" si="47">(V41*$D$88)+J41+P41</f>
        <v>14320.707240676094</v>
      </c>
      <c r="X41" s="3"/>
      <c r="Y41" s="3"/>
      <c r="Z41" s="3"/>
    </row>
    <row r="42" spans="1:26" ht="15.75" customHeight="1" x14ac:dyDescent="0.25">
      <c r="A42" s="3"/>
      <c r="B42" s="623"/>
      <c r="C42" s="81" t="s">
        <v>1492</v>
      </c>
      <c r="D42" s="1038">
        <v>4.0999999999999996</v>
      </c>
      <c r="E42" s="747">
        <f t="shared" si="42"/>
        <v>3719457.2699999996</v>
      </c>
      <c r="F42" s="1034"/>
      <c r="G42" s="1034"/>
      <c r="H42" s="204">
        <v>1996</v>
      </c>
      <c r="I42" s="1650">
        <v>2010</v>
      </c>
      <c r="J42" s="747">
        <v>4865</v>
      </c>
      <c r="K42" s="747">
        <f>1773</f>
        <v>1773</v>
      </c>
      <c r="L42" s="1483"/>
      <c r="M42" s="747"/>
      <c r="N42" s="858"/>
      <c r="O42" s="747"/>
      <c r="P42" s="747"/>
      <c r="Q42" s="747"/>
      <c r="R42" s="747">
        <f t="shared" si="43"/>
        <v>1773</v>
      </c>
      <c r="S42" s="1483">
        <v>0.1</v>
      </c>
      <c r="T42" s="747">
        <f t="shared" si="44"/>
        <v>177.3</v>
      </c>
      <c r="U42" s="747">
        <f t="shared" si="45"/>
        <v>1595.7</v>
      </c>
      <c r="V42" s="747">
        <f t="shared" si="46"/>
        <v>1595.7</v>
      </c>
      <c r="W42" s="1629">
        <f t="shared" si="47"/>
        <v>49385.03</v>
      </c>
      <c r="X42" s="3"/>
      <c r="Y42" s="3"/>
      <c r="Z42" s="3"/>
    </row>
    <row r="43" spans="1:26" ht="15.75" customHeight="1" x14ac:dyDescent="0.25">
      <c r="A43" s="3"/>
      <c r="B43" s="623"/>
      <c r="C43" s="81"/>
      <c r="D43" s="1038"/>
      <c r="E43" s="747"/>
      <c r="F43" s="1034"/>
      <c r="G43" s="1034"/>
      <c r="H43" s="204"/>
      <c r="I43" s="1650"/>
      <c r="J43" s="747"/>
      <c r="K43" s="747"/>
      <c r="L43" s="1483"/>
      <c r="M43" s="747"/>
      <c r="N43" s="858"/>
      <c r="O43" s="747"/>
      <c r="P43" s="747"/>
      <c r="Q43" s="747"/>
      <c r="R43" s="747"/>
      <c r="S43" s="81"/>
      <c r="T43" s="747"/>
      <c r="U43" s="747"/>
      <c r="V43" s="747"/>
      <c r="W43" s="1629"/>
      <c r="X43" s="3"/>
      <c r="Y43" s="3"/>
      <c r="Z43" s="3"/>
    </row>
    <row r="44" spans="1:26" ht="15.75" customHeight="1" x14ac:dyDescent="0.25">
      <c r="A44" s="3"/>
      <c r="B44" s="852" t="s">
        <v>1494</v>
      </c>
      <c r="C44" s="81" t="s">
        <v>1495</v>
      </c>
      <c r="D44" s="1038">
        <v>1.0008999999999999</v>
      </c>
      <c r="E44" s="747">
        <f t="shared" ref="E44:E46" si="48">D44*1000000*0.9071847</f>
        <v>908001.16622999986</v>
      </c>
      <c r="F44" s="1034"/>
      <c r="G44" s="1034">
        <f t="shared" ref="G44:G46" si="49">F44*0.9071847</f>
        <v>0</v>
      </c>
      <c r="H44" s="204">
        <v>1991</v>
      </c>
      <c r="I44" s="1650">
        <v>2504</v>
      </c>
      <c r="J44" s="747">
        <v>156.40998798909908</v>
      </c>
      <c r="K44" s="747">
        <v>57.005594350037462</v>
      </c>
      <c r="L44" s="1483"/>
      <c r="M44" s="747"/>
      <c r="N44" s="858"/>
      <c r="O44" s="747"/>
      <c r="P44" s="747"/>
      <c r="Q44" s="747"/>
      <c r="R44" s="747">
        <f>K44</f>
        <v>57.005594350037462</v>
      </c>
      <c r="S44" s="1483">
        <v>0.1</v>
      </c>
      <c r="T44" s="747">
        <f t="shared" ref="T44:T46" si="50">R44*S44</f>
        <v>5.700559435003747</v>
      </c>
      <c r="U44" s="747">
        <f t="shared" ref="U44:U46" si="51">R44-T44</f>
        <v>51.305034915033715</v>
      </c>
      <c r="V44" s="747">
        <f t="shared" ref="V44:V46" si="52">Q44+U44</f>
        <v>51.305034915033715</v>
      </c>
      <c r="W44" s="1629">
        <f t="shared" ref="W44:W46" si="53">(V44*$D$88)+J44+P44</f>
        <v>1587.8204621185398</v>
      </c>
      <c r="X44" s="3"/>
      <c r="Y44" s="3"/>
      <c r="Z44" s="3"/>
    </row>
    <row r="45" spans="1:26" ht="15.75" customHeight="1" x14ac:dyDescent="0.25">
      <c r="A45" s="3"/>
      <c r="B45" s="623"/>
      <c r="C45" s="1630" t="s">
        <v>1499</v>
      </c>
      <c r="D45" s="1631">
        <v>2.1</v>
      </c>
      <c r="E45" s="1632">
        <f t="shared" si="48"/>
        <v>1905087.8699999999</v>
      </c>
      <c r="F45" s="1634">
        <v>69200</v>
      </c>
      <c r="G45" s="1634">
        <f t="shared" si="49"/>
        <v>62777.181239999998</v>
      </c>
      <c r="H45" s="1637">
        <v>1968</v>
      </c>
      <c r="I45" s="1638">
        <v>1997</v>
      </c>
      <c r="J45" s="1632">
        <f>12280</f>
        <v>12280</v>
      </c>
      <c r="K45" s="1632">
        <f>4476</f>
        <v>4476</v>
      </c>
      <c r="L45" s="1639">
        <v>0.96</v>
      </c>
      <c r="M45" s="1632">
        <f>K45*L45</f>
        <v>4296.96</v>
      </c>
      <c r="N45" s="1640">
        <v>0.98</v>
      </c>
      <c r="O45" s="1632">
        <f>M45*N45</f>
        <v>4211.0208000000002</v>
      </c>
      <c r="P45" s="1632">
        <f>O45*2.75</f>
        <v>11580.307200000001</v>
      </c>
      <c r="Q45" s="1632">
        <f>M45*(1-N45)</f>
        <v>85.939200000000071</v>
      </c>
      <c r="R45" s="1632">
        <f>K45*(1-L45)</f>
        <v>179.04000000000016</v>
      </c>
      <c r="S45" s="1639">
        <v>0.1</v>
      </c>
      <c r="T45" s="1632">
        <f t="shared" si="50"/>
        <v>17.904000000000018</v>
      </c>
      <c r="U45" s="1632">
        <f t="shared" si="51"/>
        <v>161.13600000000014</v>
      </c>
      <c r="V45" s="1632">
        <f t="shared" si="52"/>
        <v>247.07520000000022</v>
      </c>
      <c r="W45" s="1648">
        <f t="shared" si="53"/>
        <v>30753.705280000009</v>
      </c>
      <c r="X45" s="3"/>
      <c r="Y45" s="3"/>
      <c r="Z45" s="3"/>
    </row>
    <row r="46" spans="1:26" ht="15.75" customHeight="1" x14ac:dyDescent="0.25">
      <c r="A46" s="3"/>
      <c r="B46" s="623"/>
      <c r="C46" s="81" t="s">
        <v>1508</v>
      </c>
      <c r="D46" s="1038">
        <v>4.2261879999999996</v>
      </c>
      <c r="E46" s="747">
        <f t="shared" si="48"/>
        <v>3833933.0929235998</v>
      </c>
      <c r="F46" s="1034">
        <v>100000</v>
      </c>
      <c r="G46" s="1034">
        <f t="shared" si="49"/>
        <v>90718.47</v>
      </c>
      <c r="H46" s="204">
        <v>1995</v>
      </c>
      <c r="I46" s="1650">
        <v>2045</v>
      </c>
      <c r="J46" s="747">
        <f>728.3</f>
        <v>728.3</v>
      </c>
      <c r="K46" s="747">
        <f>287.6</f>
        <v>287.60000000000002</v>
      </c>
      <c r="L46" s="1483"/>
      <c r="M46" s="747"/>
      <c r="N46" s="858"/>
      <c r="O46" s="747"/>
      <c r="P46" s="747"/>
      <c r="Q46" s="747"/>
      <c r="R46" s="747">
        <f>K46</f>
        <v>287.60000000000002</v>
      </c>
      <c r="S46" s="1483">
        <v>0.1</v>
      </c>
      <c r="T46" s="747">
        <f t="shared" si="50"/>
        <v>28.760000000000005</v>
      </c>
      <c r="U46" s="747">
        <f t="shared" si="51"/>
        <v>258.84000000000003</v>
      </c>
      <c r="V46" s="747">
        <f t="shared" si="52"/>
        <v>258.84000000000003</v>
      </c>
      <c r="W46" s="1629">
        <f t="shared" si="53"/>
        <v>7949.9360000000006</v>
      </c>
      <c r="X46" s="3"/>
      <c r="Y46" s="3"/>
      <c r="Z46" s="3"/>
    </row>
    <row r="47" spans="1:26" ht="15.75" customHeight="1" x14ac:dyDescent="0.25">
      <c r="A47" s="3"/>
      <c r="B47" s="623"/>
      <c r="C47" s="81"/>
      <c r="D47" s="1038"/>
      <c r="E47" s="747"/>
      <c r="F47" s="1034"/>
      <c r="G47" s="1034"/>
      <c r="H47" s="204"/>
      <c r="I47" s="1650"/>
      <c r="J47" s="747"/>
      <c r="K47" s="747"/>
      <c r="L47" s="1483"/>
      <c r="M47" s="747"/>
      <c r="N47" s="858"/>
      <c r="O47" s="747"/>
      <c r="P47" s="747"/>
      <c r="Q47" s="747"/>
      <c r="R47" s="747"/>
      <c r="S47" s="81"/>
      <c r="T47" s="747"/>
      <c r="U47" s="747"/>
      <c r="V47" s="747"/>
      <c r="W47" s="1629"/>
      <c r="X47" s="3"/>
      <c r="Y47" s="3"/>
      <c r="Z47" s="3"/>
    </row>
    <row r="48" spans="1:26" ht="15.75" customHeight="1" x14ac:dyDescent="0.25">
      <c r="A48" s="3"/>
      <c r="B48" s="852" t="s">
        <v>1516</v>
      </c>
      <c r="C48" s="81" t="s">
        <v>1517</v>
      </c>
      <c r="D48" s="1038">
        <v>1.537185</v>
      </c>
      <c r="E48" s="747">
        <f t="shared" ref="E48:E49" si="54">D48*1000000*0.9071847</f>
        <v>1394510.7130694999</v>
      </c>
      <c r="F48" s="1034">
        <v>38000</v>
      </c>
      <c r="G48" s="1034">
        <f t="shared" ref="G48:G49" si="55">F48*0.9071847</f>
        <v>34473.018599999996</v>
      </c>
      <c r="H48" s="204">
        <v>1994</v>
      </c>
      <c r="I48" s="1650">
        <v>2028</v>
      </c>
      <c r="J48" s="747">
        <v>2554.3807026936006</v>
      </c>
      <c r="K48" s="747">
        <v>930.97628882538845</v>
      </c>
      <c r="L48" s="1483"/>
      <c r="M48" s="747"/>
      <c r="N48" s="858"/>
      <c r="O48" s="747"/>
      <c r="P48" s="747"/>
      <c r="Q48" s="747"/>
      <c r="R48" s="747">
        <f t="shared" ref="R48:R49" si="56">K48</f>
        <v>930.97628882538845</v>
      </c>
      <c r="S48" s="1483">
        <v>0.1</v>
      </c>
      <c r="T48" s="747">
        <f t="shared" ref="T48:T49" si="57">R48*S48</f>
        <v>93.097628882538856</v>
      </c>
      <c r="U48" s="747">
        <f t="shared" ref="U48:U49" si="58">R48-T48</f>
        <v>837.87865994284959</v>
      </c>
      <c r="V48" s="747">
        <f t="shared" ref="V48:V49" si="59">Q48+U48</f>
        <v>837.87865994284959</v>
      </c>
      <c r="W48" s="1629">
        <f t="shared" ref="W48:W49" si="60">(V48*$D$88)+J48+P48</f>
        <v>25931.195315099103</v>
      </c>
      <c r="X48" s="3"/>
      <c r="Y48" s="3"/>
      <c r="Z48" s="3"/>
    </row>
    <row r="49" spans="1:26" ht="15.75" customHeight="1" x14ac:dyDescent="0.25">
      <c r="A49" s="3"/>
      <c r="B49" s="623"/>
      <c r="C49" s="81" t="s">
        <v>1523</v>
      </c>
      <c r="D49" s="1038">
        <v>0.8</v>
      </c>
      <c r="E49" s="747">
        <f t="shared" si="54"/>
        <v>725747.76</v>
      </c>
      <c r="F49" s="1034">
        <v>20000</v>
      </c>
      <c r="G49" s="1034">
        <f t="shared" si="55"/>
        <v>18143.694</v>
      </c>
      <c r="H49" s="204">
        <v>1974</v>
      </c>
      <c r="I49" s="1650">
        <v>1994</v>
      </c>
      <c r="J49" s="747">
        <v>2057.8659282060589</v>
      </c>
      <c r="K49" s="747">
        <v>750.01521218871108</v>
      </c>
      <c r="L49" s="1483"/>
      <c r="M49" s="747"/>
      <c r="N49" s="858"/>
      <c r="O49" s="747"/>
      <c r="P49" s="747"/>
      <c r="Q49" s="747"/>
      <c r="R49" s="747">
        <f t="shared" si="56"/>
        <v>750.01521218871108</v>
      </c>
      <c r="S49" s="1483">
        <v>0.1</v>
      </c>
      <c r="T49" s="747">
        <f t="shared" si="57"/>
        <v>75.001521218871105</v>
      </c>
      <c r="U49" s="747">
        <f t="shared" si="58"/>
        <v>675.01369096984001</v>
      </c>
      <c r="V49" s="747">
        <f t="shared" si="59"/>
        <v>675.01369096984001</v>
      </c>
      <c r="W49" s="1629">
        <f t="shared" si="60"/>
        <v>20890.747906264594</v>
      </c>
      <c r="X49" s="3"/>
      <c r="Y49" s="3"/>
      <c r="Z49" s="3"/>
    </row>
    <row r="50" spans="1:26" ht="15.75" customHeight="1" x14ac:dyDescent="0.25">
      <c r="A50" s="3"/>
      <c r="B50" s="623"/>
      <c r="C50" s="81"/>
      <c r="D50" s="1038"/>
      <c r="E50" s="747"/>
      <c r="F50" s="1034"/>
      <c r="G50" s="1034"/>
      <c r="H50" s="204"/>
      <c r="I50" s="1650"/>
      <c r="J50" s="747"/>
      <c r="K50" s="747"/>
      <c r="L50" s="1483"/>
      <c r="M50" s="747"/>
      <c r="N50" s="858"/>
      <c r="O50" s="747"/>
      <c r="P50" s="747"/>
      <c r="Q50" s="747"/>
      <c r="R50" s="747"/>
      <c r="S50" s="81"/>
      <c r="T50" s="747"/>
      <c r="U50" s="747"/>
      <c r="V50" s="747"/>
      <c r="W50" s="1629"/>
      <c r="X50" s="3"/>
      <c r="Y50" s="3"/>
      <c r="Z50" s="3"/>
    </row>
    <row r="51" spans="1:26" ht="15.75" customHeight="1" x14ac:dyDescent="0.25">
      <c r="A51" s="3"/>
      <c r="B51" s="852" t="s">
        <v>1241</v>
      </c>
      <c r="C51" s="81" t="s">
        <v>1526</v>
      </c>
      <c r="D51" s="1038">
        <v>2.98</v>
      </c>
      <c r="E51" s="747">
        <f>D51*1000000*0.9071847</f>
        <v>2703410.406</v>
      </c>
      <c r="F51" s="1034">
        <v>74000</v>
      </c>
      <c r="G51" s="1034">
        <f>F51*0.9071847</f>
        <v>67131.667799999996</v>
      </c>
      <c r="H51" s="204">
        <v>1986</v>
      </c>
      <c r="I51" s="1650">
        <v>2008</v>
      </c>
      <c r="J51" s="747">
        <f>4613</f>
        <v>4613</v>
      </c>
      <c r="K51" s="747">
        <f>1681</f>
        <v>1681</v>
      </c>
      <c r="L51" s="1483"/>
      <c r="M51" s="747"/>
      <c r="N51" s="858"/>
      <c r="O51" s="747"/>
      <c r="P51" s="747"/>
      <c r="Q51" s="747"/>
      <c r="R51" s="747">
        <f>K51</f>
        <v>1681</v>
      </c>
      <c r="S51" s="1483">
        <v>0.1</v>
      </c>
      <c r="T51" s="747">
        <f>R51*S51</f>
        <v>168.10000000000002</v>
      </c>
      <c r="U51" s="747">
        <f>R51-T51</f>
        <v>1512.9</v>
      </c>
      <c r="V51" s="747">
        <f>Q51+U51</f>
        <v>1512.9</v>
      </c>
      <c r="W51" s="1629">
        <f>(V51*$D$88)+J51+P51</f>
        <v>46822.91</v>
      </c>
      <c r="X51" s="3"/>
      <c r="Y51" s="3"/>
      <c r="Z51" s="3"/>
    </row>
    <row r="52" spans="1:26" ht="15.75" customHeight="1" x14ac:dyDescent="0.25">
      <c r="A52" s="3"/>
      <c r="B52" s="623"/>
      <c r="C52" s="81"/>
      <c r="D52" s="1038"/>
      <c r="E52" s="747"/>
      <c r="F52" s="1034"/>
      <c r="G52" s="1034"/>
      <c r="H52" s="204"/>
      <c r="I52" s="1650"/>
      <c r="J52" s="747"/>
      <c r="K52" s="747"/>
      <c r="L52" s="1483"/>
      <c r="M52" s="747"/>
      <c r="N52" s="858"/>
      <c r="O52" s="747"/>
      <c r="P52" s="747"/>
      <c r="Q52" s="747"/>
      <c r="R52" s="747"/>
      <c r="S52" s="81"/>
      <c r="T52" s="747"/>
      <c r="U52" s="747"/>
      <c r="V52" s="747"/>
      <c r="W52" s="1629"/>
      <c r="X52" s="3"/>
      <c r="Y52" s="3"/>
      <c r="Z52" s="3"/>
    </row>
    <row r="53" spans="1:26" ht="15.75" customHeight="1" x14ac:dyDescent="0.25">
      <c r="A53" s="3"/>
      <c r="B53" s="852" t="s">
        <v>1537</v>
      </c>
      <c r="C53" s="1630" t="s">
        <v>1538</v>
      </c>
      <c r="D53" s="1631">
        <v>9.9779999999999998</v>
      </c>
      <c r="E53" s="1632">
        <f>D53*1000000*0.9071847</f>
        <v>9051888.9365999997</v>
      </c>
      <c r="F53" s="1634">
        <v>225000</v>
      </c>
      <c r="G53" s="1634">
        <f>F53*0.9071847</f>
        <v>204116.5575</v>
      </c>
      <c r="H53" s="1637">
        <v>1980</v>
      </c>
      <c r="I53" s="1638">
        <v>2122</v>
      </c>
      <c r="J53" s="1632">
        <v>11278.871894096137</v>
      </c>
      <c r="K53" s="1632">
        <v>4110.727225205681</v>
      </c>
      <c r="L53" s="1639">
        <v>0.79</v>
      </c>
      <c r="M53" s="1632">
        <f>K53*L53</f>
        <v>3247.4745079124882</v>
      </c>
      <c r="N53" s="1640">
        <v>0.98</v>
      </c>
      <c r="O53" s="1632">
        <f>M53*N53</f>
        <v>3182.5250177542384</v>
      </c>
      <c r="P53" s="1632">
        <f>O53*2.75</f>
        <v>8751.9437988241552</v>
      </c>
      <c r="Q53" s="1632">
        <f>M53*(1-N53)</f>
        <v>64.949490158249816</v>
      </c>
      <c r="R53" s="1632">
        <f>K53*(1-L53)</f>
        <v>863.25271729319286</v>
      </c>
      <c r="S53" s="1639">
        <v>0.1</v>
      </c>
      <c r="T53" s="1632">
        <f>R53*S53</f>
        <v>86.325271729319297</v>
      </c>
      <c r="U53" s="1632">
        <f>R53-T53</f>
        <v>776.92744556387356</v>
      </c>
      <c r="V53" s="1632">
        <f>Q53+U53</f>
        <v>841.87693572212333</v>
      </c>
      <c r="W53" s="1648">
        <f>(V53*$D$88)+J53+P53</f>
        <v>43519.182199567527</v>
      </c>
      <c r="X53" s="3"/>
      <c r="Y53" s="3"/>
      <c r="Z53" s="3"/>
    </row>
    <row r="54" spans="1:26" ht="15.75" customHeight="1" x14ac:dyDescent="0.25">
      <c r="A54" s="3"/>
      <c r="B54" s="852"/>
      <c r="C54" s="81"/>
      <c r="D54" s="1038"/>
      <c r="E54" s="747"/>
      <c r="F54" s="1034"/>
      <c r="G54" s="1034"/>
      <c r="H54" s="204"/>
      <c r="I54" s="1650"/>
      <c r="J54" s="747"/>
      <c r="K54" s="747"/>
      <c r="L54" s="1483"/>
      <c r="M54" s="747"/>
      <c r="N54" s="858"/>
      <c r="O54" s="747"/>
      <c r="P54" s="747"/>
      <c r="Q54" s="747"/>
      <c r="R54" s="747"/>
      <c r="S54" s="81"/>
      <c r="T54" s="747"/>
      <c r="U54" s="747"/>
      <c r="V54" s="747"/>
      <c r="W54" s="1629"/>
      <c r="X54" s="3"/>
      <c r="Y54" s="3"/>
      <c r="Z54" s="3"/>
    </row>
    <row r="55" spans="1:26" ht="15.75" customHeight="1" x14ac:dyDescent="0.25">
      <c r="A55" s="3"/>
      <c r="B55" s="852" t="s">
        <v>1544</v>
      </c>
      <c r="C55" s="81" t="s">
        <v>1545</v>
      </c>
      <c r="D55" s="1038">
        <v>0.6</v>
      </c>
      <c r="E55" s="747">
        <f>D55*1000000*0.9071847</f>
        <v>544310.81999999995</v>
      </c>
      <c r="F55" s="1034">
        <v>20000</v>
      </c>
      <c r="G55" s="1034">
        <f>F55*0.9071847</f>
        <v>18143.694</v>
      </c>
      <c r="H55" s="204">
        <v>1964</v>
      </c>
      <c r="I55" s="1650">
        <v>1992</v>
      </c>
      <c r="J55" s="747">
        <v>1289.4798012419974</v>
      </c>
      <c r="K55" s="747">
        <v>469.9671895460495</v>
      </c>
      <c r="L55" s="1483"/>
      <c r="M55" s="747"/>
      <c r="N55" s="858"/>
      <c r="O55" s="747"/>
      <c r="P55" s="747"/>
      <c r="Q55" s="747"/>
      <c r="R55" s="747">
        <f>K55</f>
        <v>469.9671895460495</v>
      </c>
      <c r="S55" s="1483">
        <v>0.1</v>
      </c>
      <c r="T55" s="747">
        <f>R55*S55</f>
        <v>46.996718954604951</v>
      </c>
      <c r="U55" s="747">
        <f>R55-T55</f>
        <v>422.97047059144455</v>
      </c>
      <c r="V55" s="747">
        <f>Q55+U55</f>
        <v>422.97047059144455</v>
      </c>
      <c r="W55" s="1629">
        <f>(V55*$D$88)+J55+P55</f>
        <v>13090.355930743301</v>
      </c>
      <c r="X55" s="3"/>
      <c r="Y55" s="3"/>
      <c r="Z55" s="3"/>
    </row>
    <row r="56" spans="1:26" ht="15.75" customHeight="1" x14ac:dyDescent="0.25">
      <c r="A56" s="3"/>
      <c r="B56" s="623"/>
      <c r="C56" s="81"/>
      <c r="D56" s="1038"/>
      <c r="E56" s="747"/>
      <c r="F56" s="1034"/>
      <c r="G56" s="1034"/>
      <c r="H56" s="204"/>
      <c r="I56" s="1650"/>
      <c r="J56" s="747"/>
      <c r="K56" s="747"/>
      <c r="L56" s="1483"/>
      <c r="M56" s="747"/>
      <c r="N56" s="858"/>
      <c r="O56" s="747"/>
      <c r="P56" s="747"/>
      <c r="Q56" s="747"/>
      <c r="R56" s="747"/>
      <c r="S56" s="1483"/>
      <c r="T56" s="747"/>
      <c r="U56" s="747"/>
      <c r="V56" s="747"/>
      <c r="W56" s="1629"/>
      <c r="X56" s="3"/>
      <c r="Y56" s="3"/>
      <c r="Z56" s="3"/>
    </row>
    <row r="57" spans="1:26" ht="15.75" customHeight="1" x14ac:dyDescent="0.25">
      <c r="A57" s="3"/>
      <c r="B57" s="852" t="s">
        <v>1244</v>
      </c>
      <c r="C57" s="1802" t="s">
        <v>1552</v>
      </c>
      <c r="D57" s="1804">
        <f>4354487*1.1023/10000000</f>
        <v>0.47999510201000001</v>
      </c>
      <c r="E57" s="1805">
        <v>4354487</v>
      </c>
      <c r="F57" s="1026"/>
      <c r="G57" s="1026"/>
      <c r="H57" s="1806">
        <v>1962</v>
      </c>
      <c r="I57" s="1807">
        <v>1983</v>
      </c>
      <c r="J57" s="1805">
        <f>14010</f>
        <v>14010</v>
      </c>
      <c r="K57" s="1805">
        <f>5107</f>
        <v>5107</v>
      </c>
      <c r="L57" s="1810">
        <v>0.88200000000000001</v>
      </c>
      <c r="M57" s="1805">
        <f t="shared" ref="M57:M58" si="61">K57*L57</f>
        <v>4504.3739999999998</v>
      </c>
      <c r="N57" s="1812">
        <v>0.97699999999999998</v>
      </c>
      <c r="O57" s="1805">
        <f t="shared" ref="O57:O58" si="62">M57*N57</f>
        <v>4400.7733979999994</v>
      </c>
      <c r="P57" s="1805">
        <f t="shared" ref="P57:P58" si="63">O57*2.75</f>
        <v>12102.126844499999</v>
      </c>
      <c r="Q57" s="1805">
        <f t="shared" ref="Q57:Q58" si="64">M57*(1-N57)</f>
        <v>103.60060200000008</v>
      </c>
      <c r="R57" s="1805">
        <f t="shared" ref="R57:R58" si="65">K57*(1-L57)</f>
        <v>602.62599999999998</v>
      </c>
      <c r="S57" s="1810">
        <v>0.1</v>
      </c>
      <c r="T57" s="1805">
        <f t="shared" ref="T57:T58" si="66">R57*S57</f>
        <v>60.262599999999999</v>
      </c>
      <c r="U57" s="1805">
        <f t="shared" ref="U57:U58" si="67">R57-T57</f>
        <v>542.36339999999996</v>
      </c>
      <c r="V57" s="1805">
        <f t="shared" ref="V57:V58" si="68">Q57+U57</f>
        <v>645.96400200000005</v>
      </c>
      <c r="W57" s="1822">
        <f t="shared" ref="W57:W58" si="69">(V57*$D$88)+J57+P57</f>
        <v>44134.522500299994</v>
      </c>
      <c r="X57" s="3"/>
      <c r="Y57" s="3"/>
      <c r="Z57" s="3"/>
    </row>
    <row r="58" spans="1:26" ht="15.75" customHeight="1" x14ac:dyDescent="0.25">
      <c r="A58" s="3"/>
      <c r="B58" s="623"/>
      <c r="C58" s="1802" t="s">
        <v>1559</v>
      </c>
      <c r="D58" s="1824">
        <f>4560132*1.1023/1000000</f>
        <v>5.0266335036000003</v>
      </c>
      <c r="E58" s="1805">
        <v>4560132</v>
      </c>
      <c r="F58" s="1026"/>
      <c r="G58" s="1026"/>
      <c r="H58" s="1806">
        <v>1982</v>
      </c>
      <c r="I58" s="1807">
        <v>1998</v>
      </c>
      <c r="J58" s="1805">
        <f>15800</f>
        <v>15800</v>
      </c>
      <c r="K58" s="1805">
        <f>5758</f>
        <v>5758</v>
      </c>
      <c r="L58" s="1810">
        <v>0.88200000000000001</v>
      </c>
      <c r="M58" s="1805">
        <f t="shared" si="61"/>
        <v>5078.5559999999996</v>
      </c>
      <c r="N58" s="1812">
        <v>0.98</v>
      </c>
      <c r="O58" s="1805">
        <f t="shared" si="62"/>
        <v>4976.9848799999991</v>
      </c>
      <c r="P58" s="1805">
        <f t="shared" si="63"/>
        <v>13686.708419999997</v>
      </c>
      <c r="Q58" s="1805">
        <f t="shared" si="64"/>
        <v>101.57112000000008</v>
      </c>
      <c r="R58" s="1805">
        <f t="shared" si="65"/>
        <v>679.44399999999996</v>
      </c>
      <c r="S58" s="1810">
        <v>0.1</v>
      </c>
      <c r="T58" s="1805">
        <f t="shared" si="66"/>
        <v>67.944400000000002</v>
      </c>
      <c r="U58" s="1805">
        <f t="shared" si="67"/>
        <v>611.49959999999999</v>
      </c>
      <c r="V58" s="1805">
        <f t="shared" si="68"/>
        <v>713.07072000000005</v>
      </c>
      <c r="W58" s="1822">
        <f t="shared" si="69"/>
        <v>49381.381507999991</v>
      </c>
      <c r="X58" s="3"/>
      <c r="Y58" s="3"/>
      <c r="Z58" s="3"/>
    </row>
    <row r="59" spans="1:26" ht="15.75" customHeight="1" x14ac:dyDescent="0.25">
      <c r="A59" s="3"/>
      <c r="B59" s="623"/>
      <c r="C59" s="81"/>
      <c r="D59" s="1038"/>
      <c r="E59" s="747"/>
      <c r="F59" s="1034"/>
      <c r="G59" s="1034"/>
      <c r="H59" s="204"/>
      <c r="I59" s="1650"/>
      <c r="J59" s="747"/>
      <c r="K59" s="747"/>
      <c r="L59" s="1483"/>
      <c r="M59" s="747"/>
      <c r="N59" s="858"/>
      <c r="O59" s="747"/>
      <c r="P59" s="747"/>
      <c r="Q59" s="747"/>
      <c r="R59" s="747"/>
      <c r="S59" s="1483"/>
      <c r="T59" s="747"/>
      <c r="U59" s="747"/>
      <c r="V59" s="747"/>
      <c r="W59" s="1629"/>
      <c r="X59" s="3"/>
      <c r="Y59" s="3"/>
      <c r="Z59" s="3"/>
    </row>
    <row r="60" spans="1:26" ht="15.75" customHeight="1" x14ac:dyDescent="0.25">
      <c r="A60" s="3"/>
      <c r="B60" s="623"/>
      <c r="C60" s="81"/>
      <c r="D60" s="1038"/>
      <c r="E60" s="747"/>
      <c r="F60" s="1034"/>
      <c r="G60" s="1034"/>
      <c r="H60" s="204"/>
      <c r="I60" s="1650"/>
      <c r="J60" s="747"/>
      <c r="K60" s="747"/>
      <c r="L60" s="1483"/>
      <c r="M60" s="747"/>
      <c r="N60" s="858"/>
      <c r="O60" s="747"/>
      <c r="P60" s="747"/>
      <c r="Q60" s="747"/>
      <c r="R60" s="747"/>
      <c r="S60" s="81"/>
      <c r="T60" s="747"/>
      <c r="U60" s="747"/>
      <c r="V60" s="747"/>
      <c r="W60" s="1629"/>
      <c r="X60" s="3"/>
      <c r="Y60" s="3"/>
      <c r="Z60" s="3"/>
    </row>
    <row r="61" spans="1:26" ht="15.75" customHeight="1" x14ac:dyDescent="0.25">
      <c r="A61" s="3"/>
      <c r="B61" s="852" t="s">
        <v>1567</v>
      </c>
      <c r="C61" s="1802" t="s">
        <v>1568</v>
      </c>
      <c r="D61" s="1824">
        <v>7.1</v>
      </c>
      <c r="E61" s="1805">
        <f t="shared" ref="E61:E64" si="70">D61*1000000*0.9071847</f>
        <v>6441011.3700000001</v>
      </c>
      <c r="F61" s="1026">
        <v>284000</v>
      </c>
      <c r="G61" s="1026">
        <f t="shared" ref="G61:G64" si="71">F61*0.9071847</f>
        <v>257640.45479999998</v>
      </c>
      <c r="H61" s="1806">
        <v>1968</v>
      </c>
      <c r="I61" s="1807">
        <v>1993</v>
      </c>
      <c r="J61" s="1805">
        <v>16607.422082836656</v>
      </c>
      <c r="K61" s="1805">
        <v>6052.7845991524637</v>
      </c>
      <c r="L61" s="1810">
        <v>0.58899999999999997</v>
      </c>
      <c r="M61" s="1805">
        <f t="shared" ref="M61:M63" si="72">K61*L61</f>
        <v>3565.0901289008011</v>
      </c>
      <c r="N61" s="1812">
        <v>0.997</v>
      </c>
      <c r="O61" s="1805">
        <f t="shared" ref="O61:O63" si="73">M61*N61</f>
        <v>3554.3948585140988</v>
      </c>
      <c r="P61" s="1805">
        <f t="shared" ref="P61:P63" si="74">O61*2.75</f>
        <v>9774.5858609137722</v>
      </c>
      <c r="Q61" s="1805">
        <f t="shared" ref="Q61:Q63" si="75">M61*(1-N61)</f>
        <v>10.695270386702413</v>
      </c>
      <c r="R61" s="1805">
        <f t="shared" ref="R61:R63" si="76">K61*(1-L61)</f>
        <v>2487.6944702516626</v>
      </c>
      <c r="S61" s="1810">
        <v>0.1</v>
      </c>
      <c r="T61" s="1805">
        <f t="shared" ref="T61:T64" si="77">R61*S61</f>
        <v>248.76944702516627</v>
      </c>
      <c r="U61" s="1805">
        <f t="shared" ref="U61:U64" si="78">R61-T61</f>
        <v>2238.9250232264963</v>
      </c>
      <c r="V61" s="1805">
        <f t="shared" ref="V61:V64" si="79">Q61+U61</f>
        <v>2249.6202936131986</v>
      </c>
      <c r="W61" s="1822">
        <f t="shared" ref="W61:W64" si="80">(V61*$D$88)+J61+P61</f>
        <v>89146.414135558676</v>
      </c>
      <c r="X61" s="3"/>
      <c r="Y61" s="3"/>
      <c r="Z61" s="3"/>
    </row>
    <row r="62" spans="1:26" ht="15.75" customHeight="1" x14ac:dyDescent="0.25">
      <c r="A62" s="3"/>
      <c r="B62" s="623"/>
      <c r="C62" s="1802" t="s">
        <v>1579</v>
      </c>
      <c r="D62" s="1824">
        <v>16</v>
      </c>
      <c r="E62" s="1805">
        <f t="shared" si="70"/>
        <v>14514955.199999999</v>
      </c>
      <c r="F62" s="1026">
        <v>280000</v>
      </c>
      <c r="G62" s="1026">
        <f t="shared" si="71"/>
        <v>254011.71599999999</v>
      </c>
      <c r="H62" s="1806">
        <v>1992</v>
      </c>
      <c r="I62" s="1807">
        <v>2016</v>
      </c>
      <c r="J62" s="1805">
        <v>35409.47552727571</v>
      </c>
      <c r="K62" s="1805">
        <v>12905.430298966197</v>
      </c>
      <c r="L62" s="1810">
        <v>0.58899999999999997</v>
      </c>
      <c r="M62" s="1805">
        <f t="shared" si="72"/>
        <v>7601.2984460910902</v>
      </c>
      <c r="N62" s="1812">
        <v>0.97199999999999998</v>
      </c>
      <c r="O62" s="1805">
        <f t="shared" si="73"/>
        <v>7388.4620896005399</v>
      </c>
      <c r="P62" s="1805">
        <f t="shared" si="74"/>
        <v>20318.270746401486</v>
      </c>
      <c r="Q62" s="1805">
        <f t="shared" si="75"/>
        <v>212.83635649055071</v>
      </c>
      <c r="R62" s="1805">
        <f t="shared" si="76"/>
        <v>5304.1318528751071</v>
      </c>
      <c r="S62" s="1810">
        <v>0.1</v>
      </c>
      <c r="T62" s="1805">
        <f t="shared" si="77"/>
        <v>530.41318528751071</v>
      </c>
      <c r="U62" s="1805">
        <f t="shared" si="78"/>
        <v>4773.7186675875964</v>
      </c>
      <c r="V62" s="1805">
        <f t="shared" si="79"/>
        <v>4986.5550240781467</v>
      </c>
      <c r="W62" s="1822">
        <f t="shared" si="80"/>
        <v>194852.63144545746</v>
      </c>
      <c r="X62" s="3"/>
      <c r="Y62" s="3"/>
      <c r="Z62" s="3"/>
    </row>
    <row r="63" spans="1:26" ht="15.75" customHeight="1" x14ac:dyDescent="0.25">
      <c r="A63" s="3"/>
      <c r="B63" s="623"/>
      <c r="C63" s="1630" t="s">
        <v>1580</v>
      </c>
      <c r="D63" s="1631">
        <v>7.5</v>
      </c>
      <c r="E63" s="1632">
        <f t="shared" si="70"/>
        <v>6803885.25</v>
      </c>
      <c r="F63" s="1634">
        <v>280000</v>
      </c>
      <c r="G63" s="1634">
        <f t="shared" si="71"/>
        <v>254011.71599999999</v>
      </c>
      <c r="H63" s="1637">
        <v>1978</v>
      </c>
      <c r="I63" s="1638">
        <v>2000</v>
      </c>
      <c r="J63" s="1632">
        <v>17807.627469267703</v>
      </c>
      <c r="K63" s="1632">
        <v>7643.5279974526075</v>
      </c>
      <c r="L63" s="1639">
        <v>0.94699999999999995</v>
      </c>
      <c r="M63" s="1632">
        <f t="shared" si="72"/>
        <v>7238.4210135876192</v>
      </c>
      <c r="N63" s="1640">
        <v>0.98</v>
      </c>
      <c r="O63" s="1632">
        <f t="shared" si="73"/>
        <v>7093.6525933158664</v>
      </c>
      <c r="P63" s="1632">
        <f t="shared" si="74"/>
        <v>19507.544631618632</v>
      </c>
      <c r="Q63" s="1632">
        <f t="shared" si="75"/>
        <v>144.76842027175252</v>
      </c>
      <c r="R63" s="1632">
        <f t="shared" si="76"/>
        <v>405.10698386498854</v>
      </c>
      <c r="S63" s="1639">
        <v>0.1</v>
      </c>
      <c r="T63" s="1632">
        <f t="shared" si="77"/>
        <v>40.510698386498859</v>
      </c>
      <c r="U63" s="1632">
        <f t="shared" si="78"/>
        <v>364.59628547848968</v>
      </c>
      <c r="V63" s="1632">
        <f t="shared" si="79"/>
        <v>509.36470575024219</v>
      </c>
      <c r="W63" s="1648">
        <f t="shared" si="80"/>
        <v>51526.447391318092</v>
      </c>
      <c r="X63" s="3"/>
      <c r="Y63" s="3"/>
      <c r="Z63" s="3"/>
    </row>
    <row r="64" spans="1:26" ht="15.75" customHeight="1" x14ac:dyDescent="0.25">
      <c r="A64" s="3"/>
      <c r="B64" s="623"/>
      <c r="C64" s="81" t="s">
        <v>1581</v>
      </c>
      <c r="D64" s="1038">
        <v>1.6</v>
      </c>
      <c r="E64" s="747">
        <f t="shared" si="70"/>
        <v>1451495.52</v>
      </c>
      <c r="F64" s="1034">
        <v>34000</v>
      </c>
      <c r="G64" s="1034">
        <f t="shared" si="71"/>
        <v>30844.2798</v>
      </c>
      <c r="H64" s="204">
        <v>1960</v>
      </c>
      <c r="I64" s="1650">
        <v>2004</v>
      </c>
      <c r="J64" s="747">
        <v>4249.888437850791</v>
      </c>
      <c r="K64" s="747">
        <v>1548.9254838247368</v>
      </c>
      <c r="L64" s="1483"/>
      <c r="M64" s="747"/>
      <c r="N64" s="858"/>
      <c r="O64" s="747"/>
      <c r="P64" s="747"/>
      <c r="Q64" s="747"/>
      <c r="R64" s="747">
        <f>K64</f>
        <v>1548.9254838247368</v>
      </c>
      <c r="S64" s="1483">
        <v>0.1</v>
      </c>
      <c r="T64" s="747">
        <f t="shared" si="77"/>
        <v>154.89254838247371</v>
      </c>
      <c r="U64" s="747">
        <f t="shared" si="78"/>
        <v>1394.0329354422631</v>
      </c>
      <c r="V64" s="747">
        <f t="shared" si="79"/>
        <v>1394.0329354422631</v>
      </c>
      <c r="W64" s="1629">
        <f t="shared" si="80"/>
        <v>43143.407336689932</v>
      </c>
      <c r="X64" s="3"/>
      <c r="Y64" s="3"/>
      <c r="Z64" s="3"/>
    </row>
    <row r="65" spans="1:26" ht="15.75" customHeight="1" x14ac:dyDescent="0.25">
      <c r="A65" s="3"/>
      <c r="B65" s="623"/>
      <c r="C65" s="81"/>
      <c r="D65" s="1038"/>
      <c r="E65" s="747"/>
      <c r="F65" s="1034"/>
      <c r="G65" s="1034"/>
      <c r="H65" s="204"/>
      <c r="I65" s="1650"/>
      <c r="J65" s="747"/>
      <c r="K65" s="747"/>
      <c r="L65" s="1483"/>
      <c r="M65" s="747"/>
      <c r="N65" s="858"/>
      <c r="O65" s="747"/>
      <c r="P65" s="747"/>
      <c r="Q65" s="747"/>
      <c r="R65" s="747"/>
      <c r="S65" s="81"/>
      <c r="T65" s="747"/>
      <c r="U65" s="747"/>
      <c r="V65" s="747"/>
      <c r="W65" s="1629"/>
      <c r="X65" s="3"/>
      <c r="Y65" s="3"/>
      <c r="Z65" s="3"/>
    </row>
    <row r="66" spans="1:26" ht="15.75" customHeight="1" x14ac:dyDescent="0.25">
      <c r="A66" s="3"/>
      <c r="B66" s="852" t="s">
        <v>1583</v>
      </c>
      <c r="C66" s="81" t="s">
        <v>1584</v>
      </c>
      <c r="D66" s="1038">
        <v>1.61</v>
      </c>
      <c r="E66" s="747">
        <v>393341</v>
      </c>
      <c r="F66" s="1034"/>
      <c r="G66" s="1034">
        <f t="shared" ref="G66:G67" si="81">F66*0.9071847</f>
        <v>0</v>
      </c>
      <c r="H66" s="1650">
        <v>1998</v>
      </c>
      <c r="I66" s="1650">
        <v>2023</v>
      </c>
      <c r="J66" s="747">
        <v>1622.9005712111855</v>
      </c>
      <c r="K66" s="747">
        <v>591.48659764206809</v>
      </c>
      <c r="L66" s="1483"/>
      <c r="M66" s="747"/>
      <c r="N66" s="858"/>
      <c r="O66" s="747"/>
      <c r="P66" s="747"/>
      <c r="Q66" s="747"/>
      <c r="R66" s="747">
        <f t="shared" ref="R66:R67" si="82">K66</f>
        <v>591.48659764206809</v>
      </c>
      <c r="S66" s="1483">
        <v>0.1</v>
      </c>
      <c r="T66" s="747">
        <f t="shared" ref="T66:T67" si="83">R66*S66</f>
        <v>59.148659764206812</v>
      </c>
      <c r="U66" s="747">
        <f t="shared" ref="U66:U67" si="84">R66-T66</f>
        <v>532.33793787786124</v>
      </c>
      <c r="V66" s="747">
        <f t="shared" ref="V66:V67" si="85">Q66+U66</f>
        <v>532.33793787786124</v>
      </c>
      <c r="W66" s="1629">
        <f t="shared" ref="W66:W67" si="86">(V66*$D$88)+J66+P66</f>
        <v>16475.129038003513</v>
      </c>
      <c r="X66" s="3"/>
      <c r="Y66" s="3"/>
      <c r="Z66" s="3"/>
    </row>
    <row r="67" spans="1:26" ht="15.75" customHeight="1" x14ac:dyDescent="0.25">
      <c r="A67" s="3"/>
      <c r="B67" s="623"/>
      <c r="C67" s="81" t="s">
        <v>1585</v>
      </c>
      <c r="D67" s="1038"/>
      <c r="E67" s="747">
        <v>368200</v>
      </c>
      <c r="F67" s="1034"/>
      <c r="G67" s="1034">
        <f t="shared" si="81"/>
        <v>0</v>
      </c>
      <c r="H67" s="204">
        <v>1977</v>
      </c>
      <c r="I67" s="1650">
        <v>1998</v>
      </c>
      <c r="J67" s="747">
        <v>1350.520395631233</v>
      </c>
      <c r="K67" s="747">
        <v>492.21420463360545</v>
      </c>
      <c r="L67" s="1483"/>
      <c r="M67" s="747"/>
      <c r="N67" s="858"/>
      <c r="O67" s="747"/>
      <c r="P67" s="747"/>
      <c r="Q67" s="747"/>
      <c r="R67" s="747">
        <f t="shared" si="82"/>
        <v>492.21420463360545</v>
      </c>
      <c r="S67" s="1483">
        <v>0.1</v>
      </c>
      <c r="T67" s="747">
        <f t="shared" si="83"/>
        <v>49.221420463360545</v>
      </c>
      <c r="U67" s="747">
        <f t="shared" si="84"/>
        <v>442.99278417024493</v>
      </c>
      <c r="V67" s="747">
        <f t="shared" si="85"/>
        <v>442.99278417024493</v>
      </c>
      <c r="W67" s="1629">
        <f t="shared" si="86"/>
        <v>13710.019073981066</v>
      </c>
      <c r="X67" s="3"/>
      <c r="Y67" s="3"/>
      <c r="Z67" s="3"/>
    </row>
    <row r="68" spans="1:26" ht="15.75" customHeight="1" x14ac:dyDescent="0.25">
      <c r="A68" s="3"/>
      <c r="B68" s="623"/>
      <c r="C68" s="81"/>
      <c r="D68" s="1038"/>
      <c r="E68" s="747">
        <f t="shared" ref="E68:E69" si="87">D68*1000000*0.9071847</f>
        <v>0</v>
      </c>
      <c r="F68" s="1034"/>
      <c r="G68" s="1034"/>
      <c r="H68" s="204"/>
      <c r="I68" s="1650"/>
      <c r="J68" s="747"/>
      <c r="K68" s="747"/>
      <c r="L68" s="1483"/>
      <c r="M68" s="747"/>
      <c r="N68" s="858"/>
      <c r="O68" s="747"/>
      <c r="P68" s="747"/>
      <c r="Q68" s="747"/>
      <c r="R68" s="747"/>
      <c r="S68" s="81"/>
      <c r="T68" s="747"/>
      <c r="U68" s="747"/>
      <c r="V68" s="747"/>
      <c r="W68" s="1629"/>
      <c r="X68" s="3"/>
      <c r="Y68" s="3"/>
      <c r="Z68" s="3"/>
    </row>
    <row r="69" spans="1:26" ht="15.75" customHeight="1" x14ac:dyDescent="0.25">
      <c r="A69" s="3"/>
      <c r="B69" s="852" t="s">
        <v>1588</v>
      </c>
      <c r="C69" s="81" t="s">
        <v>1589</v>
      </c>
      <c r="D69" s="1038">
        <v>3.7512439999999998</v>
      </c>
      <c r="E69" s="747">
        <f t="shared" si="87"/>
        <v>3403071.1627667998</v>
      </c>
      <c r="F69" s="1034">
        <v>81800</v>
      </c>
      <c r="G69" s="1034">
        <f>F69*0.9071847</f>
        <v>74207.708459999994</v>
      </c>
      <c r="H69" s="204">
        <v>1991</v>
      </c>
      <c r="I69" s="1650">
        <v>2010</v>
      </c>
      <c r="J69" s="747">
        <v>10044.344450339966</v>
      </c>
      <c r="K69" s="747">
        <v>3660.7881159612143</v>
      </c>
      <c r="L69" s="1483"/>
      <c r="M69" s="747"/>
      <c r="N69" s="858"/>
      <c r="O69" s="747"/>
      <c r="P69" s="747"/>
      <c r="Q69" s="747"/>
      <c r="R69" s="747">
        <f>K69</f>
        <v>3660.7881159612143</v>
      </c>
      <c r="S69" s="1483">
        <v>0.1</v>
      </c>
      <c r="T69" s="747">
        <f>R69*S69</f>
        <v>366.07881159612145</v>
      </c>
      <c r="U69" s="747">
        <f>R69-T69</f>
        <v>3294.709304365093</v>
      </c>
      <c r="V69" s="747">
        <f>Q69+U69</f>
        <v>3294.709304365093</v>
      </c>
      <c r="W69" s="1629">
        <f>(V69*$D$88)+J69+P69</f>
        <v>101966.73404212606</v>
      </c>
      <c r="X69" s="3"/>
      <c r="Y69" s="3"/>
      <c r="Z69" s="3"/>
    </row>
    <row r="70" spans="1:26" ht="15.75" customHeight="1" x14ac:dyDescent="0.25">
      <c r="A70" s="3"/>
      <c r="B70" s="623"/>
      <c r="C70" s="81"/>
      <c r="D70" s="1038"/>
      <c r="E70" s="747"/>
      <c r="F70" s="1034"/>
      <c r="G70" s="1034"/>
      <c r="H70" s="204"/>
      <c r="I70" s="1650"/>
      <c r="J70" s="747"/>
      <c r="K70" s="747"/>
      <c r="L70" s="1483"/>
      <c r="M70" s="747"/>
      <c r="N70" s="858"/>
      <c r="O70" s="747"/>
      <c r="P70" s="747"/>
      <c r="Q70" s="747"/>
      <c r="R70" s="747"/>
      <c r="S70" s="81"/>
      <c r="T70" s="747"/>
      <c r="U70" s="747"/>
      <c r="V70" s="747"/>
      <c r="W70" s="1629"/>
      <c r="X70" s="3"/>
      <c r="Y70" s="3"/>
      <c r="Z70" s="3"/>
    </row>
    <row r="71" spans="1:26" ht="15.75" customHeight="1" x14ac:dyDescent="0.25">
      <c r="A71" s="3"/>
      <c r="B71" s="852" t="s">
        <v>1593</v>
      </c>
      <c r="C71" s="81" t="s">
        <v>1594</v>
      </c>
      <c r="D71" s="81"/>
      <c r="E71" s="747">
        <v>89729.73</v>
      </c>
      <c r="F71" s="204"/>
      <c r="G71" s="1034">
        <f t="shared" ref="G71:G73" si="88">F71*0.9071847</f>
        <v>0</v>
      </c>
      <c r="H71" s="204">
        <v>1981</v>
      </c>
      <c r="I71" s="1650">
        <v>1993</v>
      </c>
      <c r="J71" s="747">
        <v>309.92217252081514</v>
      </c>
      <c r="K71" s="747">
        <v>112.95504765357589</v>
      </c>
      <c r="L71" s="1483"/>
      <c r="M71" s="747"/>
      <c r="N71" s="858"/>
      <c r="O71" s="747"/>
      <c r="P71" s="747"/>
      <c r="Q71" s="747"/>
      <c r="R71" s="747">
        <f t="shared" ref="R71:R73" si="89">K71</f>
        <v>112.95504765357589</v>
      </c>
      <c r="S71" s="1483">
        <v>0.1</v>
      </c>
      <c r="T71" s="747">
        <f t="shared" ref="T71:T73" si="90">R71*S71</f>
        <v>11.29550476535759</v>
      </c>
      <c r="U71" s="747">
        <f t="shared" ref="U71:U73" si="91">R71-T71</f>
        <v>101.6595428882183</v>
      </c>
      <c r="V71" s="747">
        <f t="shared" ref="V71:V73" si="92">Q71+U71</f>
        <v>101.6595428882183</v>
      </c>
      <c r="W71" s="1629">
        <f t="shared" ref="W71:W73" si="93">(V71*$D$88)+J71+P71</f>
        <v>3146.2234191021053</v>
      </c>
      <c r="X71" s="3"/>
      <c r="Y71" s="3"/>
      <c r="Z71" s="3"/>
    </row>
    <row r="72" spans="1:26" ht="15.75" customHeight="1" x14ac:dyDescent="0.25">
      <c r="A72" s="3"/>
      <c r="B72" s="623"/>
      <c r="C72" s="81" t="s">
        <v>1598</v>
      </c>
      <c r="D72" s="1038">
        <v>2.5499999999999998</v>
      </c>
      <c r="E72" s="747">
        <f t="shared" ref="E72:E73" si="94">D72*1000000*0.9071847</f>
        <v>2313320.9849999999</v>
      </c>
      <c r="F72" s="1034">
        <v>150000</v>
      </c>
      <c r="G72" s="1034">
        <f t="shared" si="88"/>
        <v>136077.70499999999</v>
      </c>
      <c r="H72" s="204">
        <v>1982</v>
      </c>
      <c r="I72" s="1650">
        <v>2000</v>
      </c>
      <c r="J72" s="747">
        <v>1636.2416568530507</v>
      </c>
      <c r="K72" s="747">
        <v>596.34892469718079</v>
      </c>
      <c r="L72" s="1483"/>
      <c r="M72" s="747"/>
      <c r="N72" s="858"/>
      <c r="O72" s="747"/>
      <c r="P72" s="747"/>
      <c r="Q72" s="747"/>
      <c r="R72" s="747">
        <f t="shared" si="89"/>
        <v>596.34892469718079</v>
      </c>
      <c r="S72" s="1483">
        <v>0.1</v>
      </c>
      <c r="T72" s="747">
        <f t="shared" si="90"/>
        <v>59.634892469718082</v>
      </c>
      <c r="U72" s="747">
        <f t="shared" si="91"/>
        <v>536.71403222746267</v>
      </c>
      <c r="V72" s="747">
        <f t="shared" si="92"/>
        <v>536.71403222746267</v>
      </c>
      <c r="W72" s="1629">
        <f t="shared" si="93"/>
        <v>16610.563155999258</v>
      </c>
      <c r="X72" s="3"/>
      <c r="Y72" s="3"/>
      <c r="Z72" s="3"/>
    </row>
    <row r="73" spans="1:26" ht="15.75" customHeight="1" x14ac:dyDescent="0.25">
      <c r="A73" s="3"/>
      <c r="B73" s="623"/>
      <c r="C73" s="81" t="s">
        <v>1600</v>
      </c>
      <c r="D73" s="1038">
        <v>20.273</v>
      </c>
      <c r="E73" s="747">
        <f t="shared" si="94"/>
        <v>18391355.423099998</v>
      </c>
      <c r="F73" s="1034"/>
      <c r="G73" s="1034">
        <f t="shared" si="88"/>
        <v>0</v>
      </c>
      <c r="H73" s="204">
        <v>2000</v>
      </c>
      <c r="I73" s="1650">
        <v>2047</v>
      </c>
      <c r="J73" s="747">
        <f>13730</f>
        <v>13730</v>
      </c>
      <c r="K73" s="747">
        <f>5005</f>
        <v>5005</v>
      </c>
      <c r="L73" s="1483"/>
      <c r="M73" s="747"/>
      <c r="N73" s="858"/>
      <c r="O73" s="747"/>
      <c r="P73" s="747"/>
      <c r="Q73" s="747"/>
      <c r="R73" s="747">
        <f t="shared" si="89"/>
        <v>5005</v>
      </c>
      <c r="S73" s="1483">
        <v>0.1</v>
      </c>
      <c r="T73" s="747">
        <f t="shared" si="90"/>
        <v>500.5</v>
      </c>
      <c r="U73" s="747">
        <f t="shared" si="91"/>
        <v>4504.5</v>
      </c>
      <c r="V73" s="747">
        <f t="shared" si="92"/>
        <v>4504.5</v>
      </c>
      <c r="W73" s="1629">
        <f t="shared" si="93"/>
        <v>139405.54999999999</v>
      </c>
      <c r="X73" s="3"/>
      <c r="Y73" s="3"/>
      <c r="Z73" s="3"/>
    </row>
    <row r="74" spans="1:26" ht="15.75" customHeight="1" x14ac:dyDescent="0.25">
      <c r="A74" s="3"/>
      <c r="B74" s="623"/>
      <c r="C74" s="81"/>
      <c r="D74" s="1038"/>
      <c r="E74" s="747"/>
      <c r="F74" s="1034"/>
      <c r="G74" s="1034"/>
      <c r="H74" s="204"/>
      <c r="I74" s="1650"/>
      <c r="J74" s="747"/>
      <c r="K74" s="747"/>
      <c r="L74" s="1483"/>
      <c r="M74" s="747"/>
      <c r="N74" s="858"/>
      <c r="O74" s="747"/>
      <c r="P74" s="747"/>
      <c r="Q74" s="747"/>
      <c r="R74" s="747"/>
      <c r="S74" s="81"/>
      <c r="T74" s="747"/>
      <c r="U74" s="747"/>
      <c r="V74" s="747"/>
      <c r="W74" s="1629"/>
      <c r="X74" s="3"/>
      <c r="Y74" s="3"/>
      <c r="Z74" s="3"/>
    </row>
    <row r="75" spans="1:26" ht="15.75" customHeight="1" x14ac:dyDescent="0.25">
      <c r="A75" s="3"/>
      <c r="B75" s="852" t="s">
        <v>1602</v>
      </c>
      <c r="C75" s="1630" t="s">
        <v>1603</v>
      </c>
      <c r="D75" s="1631">
        <v>7.2</v>
      </c>
      <c r="E75" s="1632">
        <f>D75*1000000*0.9071847</f>
        <v>6531729.8399999999</v>
      </c>
      <c r="F75" s="1634">
        <v>82000</v>
      </c>
      <c r="G75" s="1634">
        <f>F75*0.9071847</f>
        <v>74389.145399999994</v>
      </c>
      <c r="H75" s="1637">
        <v>1955</v>
      </c>
      <c r="I75" s="1638">
        <v>2031</v>
      </c>
      <c r="J75" s="1632">
        <v>15382.052875921469</v>
      </c>
      <c r="K75" s="1632">
        <v>5606.1833249211622</v>
      </c>
      <c r="L75" s="1639">
        <v>0.378</v>
      </c>
      <c r="M75" s="1632">
        <f>K75*L75</f>
        <v>2119.1372968201995</v>
      </c>
      <c r="N75" s="1640">
        <v>0.98</v>
      </c>
      <c r="O75" s="1632">
        <f>M75*N75</f>
        <v>2076.7545508837957</v>
      </c>
      <c r="P75" s="1632">
        <f>O75*2.75</f>
        <v>5711.0750149304386</v>
      </c>
      <c r="Q75" s="1632">
        <f>M75*(1-N75)</f>
        <v>42.382745936404028</v>
      </c>
      <c r="R75" s="1632">
        <f>K75*(1-L75)</f>
        <v>3487.0460281009628</v>
      </c>
      <c r="S75" s="1639">
        <v>0.1</v>
      </c>
      <c r="T75" s="1632">
        <f>R75*S75</f>
        <v>348.70460281009628</v>
      </c>
      <c r="U75" s="1632">
        <f>R75-T75</f>
        <v>3138.3414252908665</v>
      </c>
      <c r="V75" s="1632">
        <f>Q75+U75</f>
        <v>3180.7241712272703</v>
      </c>
      <c r="W75" s="1648">
        <f>(V75*$D$88)+J75+P75</f>
        <v>109835.33226809274</v>
      </c>
      <c r="X75" s="3"/>
      <c r="Y75" s="3"/>
      <c r="Z75" s="3"/>
    </row>
    <row r="76" spans="1:26" ht="15.75" customHeight="1" x14ac:dyDescent="0.25">
      <c r="A76" s="3"/>
      <c r="B76" s="623"/>
      <c r="C76" s="81"/>
      <c r="D76" s="81"/>
      <c r="E76" s="747"/>
      <c r="F76" s="81"/>
      <c r="G76" s="81"/>
      <c r="H76" s="81"/>
      <c r="I76" s="81"/>
      <c r="J76" s="747"/>
      <c r="K76" s="747"/>
      <c r="L76" s="1483"/>
      <c r="M76" s="747"/>
      <c r="N76" s="858"/>
      <c r="O76" s="747"/>
      <c r="P76" s="747"/>
      <c r="Q76" s="747"/>
      <c r="R76" s="747"/>
      <c r="S76" s="81"/>
      <c r="T76" s="747"/>
      <c r="U76" s="747"/>
      <c r="V76" s="747"/>
      <c r="W76" s="1629"/>
      <c r="X76" s="3"/>
      <c r="Y76" s="3"/>
      <c r="Z76" s="3"/>
    </row>
    <row r="77" spans="1:26" ht="15.75" customHeight="1" x14ac:dyDescent="0.25">
      <c r="A77" s="3"/>
      <c r="B77" s="852" t="s">
        <v>1605</v>
      </c>
      <c r="C77" s="81" t="s">
        <v>1606</v>
      </c>
      <c r="D77" s="1038">
        <v>4.8</v>
      </c>
      <c r="E77" s="747">
        <f>D77*1000000*0.9071847</f>
        <v>4354486.5599999996</v>
      </c>
      <c r="F77" s="1034">
        <v>70000</v>
      </c>
      <c r="G77" s="1034">
        <f>F77*0.9071847</f>
        <v>63502.928999999996</v>
      </c>
      <c r="H77" s="204">
        <v>1990</v>
      </c>
      <c r="I77" s="1650">
        <v>2028</v>
      </c>
      <c r="J77" s="747">
        <v>2513</v>
      </c>
      <c r="K77" s="747">
        <f t="shared" ref="K77:K78" si="95">915.9</f>
        <v>915.9</v>
      </c>
      <c r="L77" s="1483"/>
      <c r="M77" s="747"/>
      <c r="N77" s="858"/>
      <c r="O77" s="747"/>
      <c r="P77" s="747"/>
      <c r="Q77" s="747"/>
      <c r="R77" s="747">
        <f>K77</f>
        <v>915.9</v>
      </c>
      <c r="S77" s="1483">
        <v>0.1</v>
      </c>
      <c r="T77" s="747">
        <f t="shared" ref="T77:T78" si="96">R77*S77</f>
        <v>91.59</v>
      </c>
      <c r="U77" s="747">
        <f t="shared" ref="U77:U78" si="97">R77-T77</f>
        <v>824.31</v>
      </c>
      <c r="V77" s="747">
        <f t="shared" ref="V77:V78" si="98">Q77+U77</f>
        <v>824.31</v>
      </c>
      <c r="W77" s="1629">
        <f t="shared" ref="W77:W78" si="99">(V77*$D$88)+J77+P77</f>
        <v>25511.248999999996</v>
      </c>
      <c r="X77" s="3"/>
      <c r="Y77" s="3"/>
      <c r="Z77" s="3"/>
    </row>
    <row r="78" spans="1:26" ht="15.75" customHeight="1" x14ac:dyDescent="0.25">
      <c r="A78" s="3"/>
      <c r="B78" s="623"/>
      <c r="C78" s="1630" t="s">
        <v>1607</v>
      </c>
      <c r="D78" s="1630"/>
      <c r="E78" s="1632"/>
      <c r="F78" s="1630"/>
      <c r="G78" s="1630"/>
      <c r="H78" s="1630"/>
      <c r="I78" s="1630"/>
      <c r="J78" s="1632">
        <f>2513</f>
        <v>2513</v>
      </c>
      <c r="K78" s="1632">
        <f t="shared" si="95"/>
        <v>915.9</v>
      </c>
      <c r="L78" s="1639">
        <v>0.89390000000000003</v>
      </c>
      <c r="M78" s="1632">
        <f>K78*L78</f>
        <v>818.72301000000004</v>
      </c>
      <c r="N78" s="1640">
        <v>0.98</v>
      </c>
      <c r="O78" s="1632">
        <f>M78*N78</f>
        <v>802.3485498</v>
      </c>
      <c r="P78" s="1632">
        <f>O78*2.75</f>
        <v>2206.4585119499998</v>
      </c>
      <c r="Q78" s="1632">
        <f>M78*(1-N78)</f>
        <v>16.374460200000016</v>
      </c>
      <c r="R78" s="1632">
        <f>K78*(1-L78)</f>
        <v>97.176989999999975</v>
      </c>
      <c r="S78" s="1639">
        <v>0.1</v>
      </c>
      <c r="T78" s="1632">
        <f t="shared" si="96"/>
        <v>9.7176989999999979</v>
      </c>
      <c r="U78" s="1632">
        <f t="shared" si="97"/>
        <v>87.459290999999979</v>
      </c>
      <c r="V78" s="1632">
        <f t="shared" si="98"/>
        <v>103.83375119999999</v>
      </c>
      <c r="W78" s="1648">
        <f t="shared" si="99"/>
        <v>7616.4201704299994</v>
      </c>
      <c r="X78" s="1868"/>
      <c r="Y78" s="3"/>
      <c r="Z78" s="3"/>
    </row>
    <row r="79" spans="1:26" ht="15.75" customHeight="1" x14ac:dyDescent="0.25">
      <c r="A79" s="3"/>
      <c r="B79" s="623"/>
      <c r="C79" s="81"/>
      <c r="D79" s="81"/>
      <c r="E79" s="747"/>
      <c r="F79" s="81"/>
      <c r="G79" s="81"/>
      <c r="H79" s="81"/>
      <c r="I79" s="81"/>
      <c r="J79" s="747"/>
      <c r="K79" s="747"/>
      <c r="L79" s="81"/>
      <c r="M79" s="747"/>
      <c r="N79" s="858"/>
      <c r="O79" s="747"/>
      <c r="P79" s="747"/>
      <c r="Q79" s="747"/>
      <c r="R79" s="747"/>
      <c r="S79" s="81"/>
      <c r="T79" s="747"/>
      <c r="U79" s="747"/>
      <c r="V79" s="747"/>
      <c r="W79" s="1629"/>
      <c r="X79" s="3"/>
      <c r="Y79" s="3"/>
      <c r="Z79" s="3"/>
    </row>
    <row r="80" spans="1:26" ht="15.75" customHeight="1" x14ac:dyDescent="0.25">
      <c r="A80" s="3"/>
      <c r="B80" s="989"/>
      <c r="C80" s="991"/>
      <c r="D80" s="991"/>
      <c r="E80" s="991"/>
      <c r="F80" s="991"/>
      <c r="G80" s="991"/>
      <c r="H80" s="991"/>
      <c r="I80" s="991"/>
      <c r="J80" s="1869">
        <f t="shared" ref="J80:K80" si="100">SUM(J11:J79)</f>
        <v>371373.21108895435</v>
      </c>
      <c r="K80" s="1869">
        <f t="shared" si="100"/>
        <v>138951.01014377782</v>
      </c>
      <c r="L80" s="991"/>
      <c r="M80" s="1870"/>
      <c r="N80" s="1871"/>
      <c r="O80" s="1869">
        <f t="shared" ref="O80:Q80" si="101">SUM(O11:O79)</f>
        <v>63459.540145816973</v>
      </c>
      <c r="P80" s="1869">
        <f t="shared" si="101"/>
        <v>174513.73540099672</v>
      </c>
      <c r="Q80" s="1869">
        <f t="shared" si="101"/>
        <v>1136.3436025790863</v>
      </c>
      <c r="R80" s="1870"/>
      <c r="S80" s="991"/>
      <c r="T80" s="1869">
        <f>SUM(T11:T79)</f>
        <v>7435.5126395381767</v>
      </c>
      <c r="U80" s="1870"/>
      <c r="V80" s="1870"/>
      <c r="W80" s="1872"/>
      <c r="X80" s="3"/>
      <c r="Y80" s="3"/>
      <c r="Z80" s="3"/>
    </row>
    <row r="81" spans="1:26" ht="15.75" customHeight="1" x14ac:dyDescent="0.25">
      <c r="A81" s="3"/>
      <c r="B81" s="3"/>
      <c r="C81" s="3"/>
      <c r="D81" s="3"/>
      <c r="E81" s="3"/>
      <c r="F81" s="3"/>
      <c r="G81" s="60"/>
      <c r="H81" s="3"/>
      <c r="I81" s="3"/>
      <c r="J81" s="110"/>
      <c r="K81" s="3"/>
      <c r="L81" s="3"/>
      <c r="M81" s="785"/>
      <c r="N81" s="3"/>
      <c r="O81" s="975"/>
      <c r="P81" s="3"/>
      <c r="Q81" s="60"/>
      <c r="R81" s="3"/>
      <c r="S81" s="3"/>
      <c r="T81" s="3"/>
      <c r="U81" s="110"/>
      <c r="V81" s="3"/>
      <c r="W81" s="3"/>
      <c r="X81" s="3"/>
      <c r="Y81" s="3"/>
      <c r="Z81" s="3"/>
    </row>
    <row r="82" spans="1:26" ht="15.75" customHeight="1" x14ac:dyDescent="0.25">
      <c r="A82" s="3"/>
      <c r="B82" s="3"/>
      <c r="C82" s="3"/>
      <c r="D82" s="3"/>
      <c r="E82" s="3"/>
      <c r="F82" s="3"/>
      <c r="G82" s="3"/>
      <c r="H82" s="3"/>
      <c r="I82" s="3"/>
      <c r="J82" s="3"/>
      <c r="K82" s="3"/>
      <c r="L82" s="3"/>
      <c r="M82" s="785"/>
      <c r="N82" s="3"/>
      <c r="O82" s="975"/>
      <c r="P82" s="3"/>
      <c r="Q82" s="3"/>
      <c r="R82" s="3"/>
      <c r="S82" s="3"/>
      <c r="T82" s="3"/>
      <c r="U82" s="3"/>
      <c r="V82" s="3"/>
      <c r="W82" s="1821"/>
      <c r="X82" s="3"/>
      <c r="Y82" s="3"/>
      <c r="Z82" s="3"/>
    </row>
    <row r="83" spans="1:26" ht="15.75" customHeight="1" x14ac:dyDescent="0.25">
      <c r="A83" s="3"/>
      <c r="B83" s="3"/>
      <c r="C83" s="3"/>
      <c r="D83" s="3"/>
      <c r="E83" s="3"/>
      <c r="F83" s="3"/>
      <c r="G83" s="3"/>
      <c r="H83" s="3"/>
      <c r="I83" s="3"/>
      <c r="J83" s="3"/>
      <c r="K83" s="3"/>
      <c r="L83" s="3"/>
      <c r="M83" s="785"/>
      <c r="N83" s="3"/>
      <c r="O83" s="975"/>
      <c r="P83" s="3"/>
      <c r="Q83" s="3"/>
      <c r="R83" s="3"/>
      <c r="S83" s="3"/>
      <c r="T83" s="3"/>
      <c r="U83" s="3"/>
      <c r="V83" s="3"/>
      <c r="W83" s="3"/>
      <c r="X83" s="3"/>
      <c r="Y83" s="3"/>
      <c r="Z83" s="3"/>
    </row>
    <row r="84" spans="1:26" ht="15.75" customHeight="1" x14ac:dyDescent="0.25">
      <c r="A84" s="3"/>
      <c r="B84" s="3"/>
      <c r="C84" s="3"/>
      <c r="D84" s="3"/>
      <c r="E84" s="3"/>
      <c r="F84" s="3"/>
      <c r="G84" s="1874" t="s">
        <v>1608</v>
      </c>
      <c r="H84" s="1875"/>
      <c r="I84" s="1875"/>
      <c r="J84" s="1876"/>
      <c r="K84" s="1879">
        <f>K80</f>
        <v>138951.01014377782</v>
      </c>
      <c r="L84" s="1561"/>
      <c r="M84" s="1881" t="s">
        <v>1611</v>
      </c>
      <c r="N84" s="1882"/>
      <c r="O84" s="1890">
        <f>O11+O16+O18+O23+O24+O31+O33+O36+O45+O53+O63+O75+O78</f>
        <v>43138.924919702338</v>
      </c>
      <c r="P84" s="1561"/>
      <c r="Q84" s="2370" t="s">
        <v>1615</v>
      </c>
      <c r="R84" s="2371"/>
      <c r="S84" s="2372"/>
      <c r="T84" s="1894"/>
      <c r="U84" s="1898">
        <f>O57+O58+O61+O62</f>
        <v>20320.615226114634</v>
      </c>
      <c r="V84" s="3"/>
      <c r="W84" s="1446"/>
      <c r="X84" s="3"/>
      <c r="Y84" s="3"/>
      <c r="Z84" s="3"/>
    </row>
    <row r="85" spans="1:26" ht="15.75" customHeight="1" x14ac:dyDescent="0.3">
      <c r="A85" s="3"/>
      <c r="B85" s="3"/>
      <c r="C85" s="2312" t="s">
        <v>1</v>
      </c>
      <c r="D85" s="2313"/>
      <c r="E85" s="3"/>
      <c r="F85" s="3"/>
      <c r="G85" s="623" t="s">
        <v>1624</v>
      </c>
      <c r="H85" s="81"/>
      <c r="I85" s="81"/>
      <c r="J85" s="81"/>
      <c r="K85" s="747">
        <f>$D$88</f>
        <v>27.9</v>
      </c>
      <c r="L85" s="81"/>
      <c r="M85" s="81" t="s">
        <v>1630</v>
      </c>
      <c r="N85" s="81"/>
      <c r="O85" s="747">
        <f>$D$88</f>
        <v>27.9</v>
      </c>
      <c r="P85" s="81"/>
      <c r="Q85" s="81" t="s">
        <v>1632</v>
      </c>
      <c r="R85" s="81"/>
      <c r="S85" s="81"/>
      <c r="T85" s="81"/>
      <c r="U85" s="1629">
        <f>$D$88</f>
        <v>27.9</v>
      </c>
      <c r="V85" s="3"/>
      <c r="W85" s="3"/>
      <c r="X85" s="3"/>
      <c r="Y85" s="3"/>
      <c r="Z85" s="3"/>
    </row>
    <row r="86" spans="1:26" ht="15.75" customHeight="1" x14ac:dyDescent="0.25">
      <c r="A86" s="3"/>
      <c r="B86" s="3"/>
      <c r="C86" s="236"/>
      <c r="D86" s="236"/>
      <c r="E86" s="3"/>
      <c r="F86" s="3"/>
      <c r="G86" s="2373" t="s">
        <v>1641</v>
      </c>
      <c r="H86" s="2361"/>
      <c r="I86" s="2304"/>
      <c r="J86" s="1907"/>
      <c r="K86" s="1908">
        <f>(K84*K85)*0.907184</f>
        <v>3516910.3158970149</v>
      </c>
      <c r="L86" s="81"/>
      <c r="M86" s="2374" t="s">
        <v>1642</v>
      </c>
      <c r="N86" s="2304"/>
      <c r="O86" s="1914">
        <f>(O84*O85)*0.907184</f>
        <v>1091864.8947555113</v>
      </c>
      <c r="P86" s="81"/>
      <c r="Q86" s="1917" t="s">
        <v>1643</v>
      </c>
      <c r="R86" s="1917"/>
      <c r="S86" s="1917"/>
      <c r="T86" s="1917"/>
      <c r="U86" s="1920">
        <f>(U84*U85)*0.907184</f>
        <v>514323.58239172335</v>
      </c>
      <c r="V86" s="3"/>
      <c r="W86" s="3"/>
      <c r="X86" s="3"/>
      <c r="Y86" s="3"/>
      <c r="Z86" s="3"/>
    </row>
    <row r="87" spans="1:26" ht="15.75" customHeight="1" x14ac:dyDescent="0.25">
      <c r="A87" s="3"/>
      <c r="B87" s="3"/>
      <c r="C87" s="241" t="s">
        <v>188</v>
      </c>
      <c r="D87" s="243">
        <f>Summary!E4</f>
        <v>1</v>
      </c>
      <c r="E87" s="3"/>
      <c r="F87" s="3"/>
      <c r="G87" s="2375" t="s">
        <v>1661</v>
      </c>
      <c r="H87" s="2361"/>
      <c r="I87" s="2304"/>
      <c r="J87" s="1932"/>
      <c r="K87" s="1934">
        <f>K86*7%</f>
        <v>246183.72211279106</v>
      </c>
      <c r="L87" s="81"/>
      <c r="M87" s="81"/>
      <c r="N87" s="81"/>
      <c r="O87" s="81"/>
      <c r="P87" s="81"/>
      <c r="Q87" s="81"/>
      <c r="R87" s="81"/>
      <c r="S87" s="81"/>
      <c r="T87" s="81"/>
      <c r="U87" s="928"/>
      <c r="V87" s="3"/>
      <c r="W87" s="3"/>
      <c r="X87" s="3"/>
      <c r="Y87" s="3"/>
      <c r="Z87" s="3"/>
    </row>
    <row r="88" spans="1:26" ht="15.75" customHeight="1" x14ac:dyDescent="0.25">
      <c r="A88" s="3"/>
      <c r="B88" s="3"/>
      <c r="C88" s="241" t="s">
        <v>192</v>
      </c>
      <c r="D88" s="243">
        <f>Summary!E5</f>
        <v>27.9</v>
      </c>
      <c r="E88" s="3"/>
      <c r="F88" s="3"/>
      <c r="G88" s="623"/>
      <c r="H88" s="81"/>
      <c r="I88" s="81"/>
      <c r="J88" s="81"/>
      <c r="K88" s="624"/>
      <c r="L88" s="81"/>
      <c r="M88" s="747"/>
      <c r="N88" s="81"/>
      <c r="O88" s="624"/>
      <c r="P88" s="81"/>
      <c r="Q88" s="58" t="s">
        <v>1663</v>
      </c>
      <c r="R88" s="58"/>
      <c r="S88" s="58"/>
      <c r="T88" s="58"/>
      <c r="U88" s="1935">
        <f>U86*(12/44)</f>
        <v>140270.06792501544</v>
      </c>
      <c r="V88" s="3"/>
      <c r="W88" s="3"/>
      <c r="X88" s="3"/>
      <c r="Y88" s="3"/>
      <c r="Z88" s="3"/>
    </row>
    <row r="89" spans="1:26" ht="15.75" customHeight="1" x14ac:dyDescent="0.25">
      <c r="A89" s="3"/>
      <c r="B89" s="3"/>
      <c r="C89" s="241" t="s">
        <v>194</v>
      </c>
      <c r="D89" s="243">
        <f>Summary!E6</f>
        <v>273</v>
      </c>
      <c r="E89" s="3"/>
      <c r="F89" s="3"/>
      <c r="G89" s="623"/>
      <c r="H89" s="81"/>
      <c r="I89" s="81"/>
      <c r="J89" s="81"/>
      <c r="K89" s="81"/>
      <c r="L89" s="81"/>
      <c r="M89" s="81"/>
      <c r="N89" s="81"/>
      <c r="O89" s="81"/>
      <c r="P89" s="81"/>
      <c r="Q89" s="81"/>
      <c r="R89" s="81"/>
      <c r="S89" s="81"/>
      <c r="T89" s="81"/>
      <c r="U89" s="928"/>
      <c r="V89" s="3"/>
      <c r="W89" s="3"/>
      <c r="X89" s="3"/>
      <c r="Y89" s="3"/>
      <c r="Z89" s="3"/>
    </row>
    <row r="90" spans="1:26" ht="15.75" customHeight="1" x14ac:dyDescent="0.25">
      <c r="A90" s="3"/>
      <c r="B90" s="3"/>
      <c r="C90" s="241" t="s">
        <v>197</v>
      </c>
      <c r="D90" s="243">
        <f>Summary!E7</f>
        <v>24300</v>
      </c>
      <c r="E90" s="3"/>
      <c r="F90" s="3"/>
      <c r="G90" s="2376" t="s">
        <v>1665</v>
      </c>
      <c r="H90" s="2361"/>
      <c r="I90" s="2304"/>
      <c r="J90" s="1936"/>
      <c r="K90" s="1939">
        <f>(K86+K87)</f>
        <v>3763094.0380098061</v>
      </c>
      <c r="L90" s="81"/>
      <c r="M90" s="2369" t="s">
        <v>1669</v>
      </c>
      <c r="N90" s="2304"/>
      <c r="O90" s="1007">
        <f>O86+U86</f>
        <v>1606188.4771472346</v>
      </c>
      <c r="P90" s="81"/>
      <c r="Q90" s="1944" t="s">
        <v>1671</v>
      </c>
      <c r="R90" s="1944"/>
      <c r="S90" s="1944"/>
      <c r="T90" s="81"/>
      <c r="U90" s="1629">
        <f>T80</f>
        <v>7435.5126395381767</v>
      </c>
      <c r="V90" s="3"/>
      <c r="W90" s="3"/>
      <c r="X90" s="3"/>
      <c r="Y90" s="3"/>
      <c r="Z90" s="3"/>
    </row>
    <row r="91" spans="1:26" ht="15.75" customHeight="1" x14ac:dyDescent="0.3">
      <c r="A91" s="3"/>
      <c r="B91" s="3"/>
      <c r="C91" s="241"/>
      <c r="D91" s="243"/>
      <c r="E91" s="3"/>
      <c r="F91" s="3"/>
      <c r="G91" s="623"/>
      <c r="H91" s="81"/>
      <c r="I91" s="81"/>
      <c r="J91" s="81"/>
      <c r="K91" s="81"/>
      <c r="L91" s="81"/>
      <c r="M91" s="81"/>
      <c r="N91" s="81"/>
      <c r="O91" s="81"/>
      <c r="P91" s="81"/>
      <c r="Q91" s="81" t="s">
        <v>1674</v>
      </c>
      <c r="R91" s="81"/>
      <c r="S91" s="81"/>
      <c r="T91" s="81"/>
      <c r="U91" s="1629">
        <f>$D$88</f>
        <v>27.9</v>
      </c>
      <c r="V91" s="3"/>
      <c r="W91" s="3"/>
      <c r="X91" s="3"/>
      <c r="Y91" s="3"/>
      <c r="Z91" s="3"/>
    </row>
    <row r="92" spans="1:26" ht="15.75" customHeight="1" x14ac:dyDescent="0.25">
      <c r="A92" s="3"/>
      <c r="B92" s="3"/>
      <c r="C92" s="3"/>
      <c r="D92" s="3"/>
      <c r="E92" s="3"/>
      <c r="F92" s="3"/>
      <c r="G92" s="2376" t="s">
        <v>1675</v>
      </c>
      <c r="H92" s="2361"/>
      <c r="I92" s="2304"/>
      <c r="J92" s="1936"/>
      <c r="K92" s="1939">
        <f>K90*(12/44)</f>
        <v>1026298.3740026744</v>
      </c>
      <c r="L92" s="81"/>
      <c r="M92" s="2369" t="s">
        <v>1679</v>
      </c>
      <c r="N92" s="2304"/>
      <c r="O92" s="1007">
        <f>O90*(12/44)</f>
        <v>438051.40285833669</v>
      </c>
      <c r="P92" s="81"/>
      <c r="Q92" s="1951" t="s">
        <v>1686</v>
      </c>
      <c r="R92" s="1951"/>
      <c r="S92" s="1951"/>
      <c r="T92" s="58"/>
      <c r="U92" s="1935">
        <f>(U90*U91)*0.907184</f>
        <v>188196.04894499172</v>
      </c>
      <c r="V92" s="3"/>
      <c r="W92" s="3"/>
      <c r="X92" s="3"/>
      <c r="Y92" s="3"/>
      <c r="Z92" s="3"/>
    </row>
    <row r="93" spans="1:26" ht="15.75" customHeight="1" x14ac:dyDescent="0.25">
      <c r="A93" s="3"/>
      <c r="B93" s="3"/>
      <c r="C93" s="3"/>
      <c r="D93" s="3"/>
      <c r="E93" s="3"/>
      <c r="F93" s="3"/>
      <c r="G93" s="623"/>
      <c r="H93" s="81"/>
      <c r="I93" s="81"/>
      <c r="J93" s="81"/>
      <c r="K93" s="81"/>
      <c r="L93" s="81"/>
      <c r="M93" s="81"/>
      <c r="N93" s="81"/>
      <c r="O93" s="81"/>
      <c r="P93" s="81"/>
      <c r="Q93" s="81"/>
      <c r="R93" s="81"/>
      <c r="S93" s="81"/>
      <c r="T93" s="81"/>
      <c r="U93" s="928"/>
      <c r="V93" s="3"/>
      <c r="W93" s="3"/>
      <c r="X93" s="3"/>
      <c r="Y93" s="3"/>
      <c r="Z93" s="3"/>
    </row>
    <row r="94" spans="1:26" ht="15.75" customHeight="1" x14ac:dyDescent="0.25">
      <c r="A94" s="3"/>
      <c r="B94" s="3"/>
      <c r="C94" s="3"/>
      <c r="D94" s="3"/>
      <c r="E94" s="3"/>
      <c r="F94" s="3"/>
      <c r="G94" s="623"/>
      <c r="H94" s="81"/>
      <c r="I94" s="81"/>
      <c r="J94" s="81"/>
      <c r="K94" s="81"/>
      <c r="L94" s="81"/>
      <c r="M94" s="81"/>
      <c r="N94" s="81"/>
      <c r="O94" s="81"/>
      <c r="P94" s="81"/>
      <c r="Q94" s="58" t="s">
        <v>1690</v>
      </c>
      <c r="R94" s="58"/>
      <c r="S94" s="58"/>
      <c r="T94" s="58"/>
      <c r="U94" s="1935">
        <f>U92*(12/44)</f>
        <v>51326.195166815924</v>
      </c>
      <c r="V94" s="3"/>
      <c r="W94" s="3"/>
      <c r="X94" s="3"/>
      <c r="Y94" s="3"/>
      <c r="Z94" s="3"/>
    </row>
    <row r="95" spans="1:26" ht="15.75" customHeight="1" x14ac:dyDescent="0.25">
      <c r="A95" s="3"/>
      <c r="B95" s="3"/>
      <c r="C95" s="3"/>
      <c r="D95" s="3"/>
      <c r="E95" s="3"/>
      <c r="F95" s="3"/>
      <c r="G95" s="623"/>
      <c r="H95" s="81"/>
      <c r="I95" s="81"/>
      <c r="J95" s="81"/>
      <c r="K95" s="81"/>
      <c r="L95" s="81"/>
      <c r="M95" s="81"/>
      <c r="N95" s="81"/>
      <c r="O95" s="81"/>
      <c r="P95" s="81"/>
      <c r="Q95" s="81"/>
      <c r="R95" s="81"/>
      <c r="S95" s="81"/>
      <c r="T95" s="81"/>
      <c r="U95" s="928"/>
      <c r="V95" s="3"/>
      <c r="W95" s="3"/>
      <c r="X95" s="3"/>
      <c r="Y95" s="3"/>
      <c r="Z95" s="3"/>
    </row>
    <row r="96" spans="1:26" ht="15.75" customHeight="1" x14ac:dyDescent="0.25">
      <c r="A96" s="3"/>
      <c r="B96" s="3"/>
      <c r="C96" s="3"/>
      <c r="D96" s="3"/>
      <c r="E96" s="3"/>
      <c r="F96" s="3"/>
      <c r="G96" s="623"/>
      <c r="H96" s="81"/>
      <c r="I96" s="81"/>
      <c r="J96" s="81"/>
      <c r="K96" s="81"/>
      <c r="L96" s="81"/>
      <c r="M96" s="81"/>
      <c r="N96" s="81"/>
      <c r="O96" s="81"/>
      <c r="P96" s="81"/>
      <c r="Q96" s="1954" t="s">
        <v>1691</v>
      </c>
      <c r="R96" s="1954"/>
      <c r="S96" s="1954"/>
      <c r="T96" s="1954"/>
      <c r="U96" s="1956">
        <f>U92*7%</f>
        <v>13173.723426149421</v>
      </c>
      <c r="V96" s="3"/>
      <c r="W96" s="3"/>
      <c r="X96" s="3"/>
      <c r="Y96" s="3"/>
      <c r="Z96" s="3"/>
    </row>
    <row r="97" spans="1:26" ht="15.75" customHeight="1" x14ac:dyDescent="0.25">
      <c r="A97" s="3"/>
      <c r="B97" s="3"/>
      <c r="C97" s="3"/>
      <c r="D97" s="3"/>
      <c r="E97" s="3"/>
      <c r="F97" s="3"/>
      <c r="G97" s="623"/>
      <c r="H97" s="81"/>
      <c r="I97" s="81"/>
      <c r="J97" s="81"/>
      <c r="K97" s="81"/>
      <c r="L97" s="81"/>
      <c r="M97" s="81"/>
      <c r="N97" s="81"/>
      <c r="O97" s="81"/>
      <c r="P97" s="81"/>
      <c r="Q97" s="81"/>
      <c r="R97" s="81"/>
      <c r="S97" s="81"/>
      <c r="T97" s="81"/>
      <c r="U97" s="928"/>
      <c r="V97" s="3"/>
      <c r="W97" s="3"/>
      <c r="X97" s="3"/>
      <c r="Y97" s="3"/>
      <c r="Z97" s="3"/>
    </row>
    <row r="98" spans="1:26" ht="15.75" customHeight="1" x14ac:dyDescent="0.25">
      <c r="A98" s="3"/>
      <c r="B98" s="3"/>
      <c r="C98" s="3"/>
      <c r="D98" s="3"/>
      <c r="E98" s="3"/>
      <c r="F98" s="3"/>
      <c r="G98" s="623"/>
      <c r="H98" s="81"/>
      <c r="I98" s="81"/>
      <c r="J98" s="81"/>
      <c r="K98" s="81"/>
      <c r="L98" s="81"/>
      <c r="M98" s="81"/>
      <c r="N98" s="81"/>
      <c r="O98" s="81"/>
      <c r="P98" s="81"/>
      <c r="Q98" s="1954" t="s">
        <v>1695</v>
      </c>
      <c r="R98" s="1954"/>
      <c r="S98" s="1954"/>
      <c r="T98" s="1954"/>
      <c r="U98" s="1956">
        <f>U96*(12/44)</f>
        <v>3592.8336616771148</v>
      </c>
      <c r="V98" s="3"/>
      <c r="W98" s="3"/>
      <c r="X98" s="3"/>
      <c r="Y98" s="3"/>
      <c r="Z98" s="3"/>
    </row>
    <row r="99" spans="1:26" ht="15.75" customHeight="1" x14ac:dyDescent="0.25">
      <c r="A99" s="3"/>
      <c r="B99" s="3"/>
      <c r="C99" s="3"/>
      <c r="D99" s="3"/>
      <c r="E99" s="3"/>
      <c r="F99" s="3"/>
      <c r="G99" s="623"/>
      <c r="H99" s="81"/>
      <c r="I99" s="81"/>
      <c r="J99" s="81"/>
      <c r="K99" s="81"/>
      <c r="L99" s="81"/>
      <c r="M99" s="81"/>
      <c r="N99" s="81"/>
      <c r="O99" s="81"/>
      <c r="P99" s="81"/>
      <c r="Q99" s="81"/>
      <c r="R99" s="81"/>
      <c r="S99" s="81"/>
      <c r="T99" s="81"/>
      <c r="U99" s="928"/>
      <c r="V99" s="3"/>
      <c r="W99" s="3"/>
      <c r="X99" s="3"/>
      <c r="Y99" s="3"/>
      <c r="Z99" s="3"/>
    </row>
    <row r="100" spans="1:26" ht="15.75" customHeight="1" x14ac:dyDescent="0.25">
      <c r="A100" s="3"/>
      <c r="B100" s="3"/>
      <c r="C100" s="3"/>
      <c r="D100" s="3"/>
      <c r="E100" s="3"/>
      <c r="F100" s="3"/>
      <c r="G100" s="623"/>
      <c r="H100" s="81"/>
      <c r="I100" s="81"/>
      <c r="J100" s="81"/>
      <c r="K100" s="81"/>
      <c r="L100" s="81"/>
      <c r="M100" s="81"/>
      <c r="N100" s="81"/>
      <c r="O100" s="81"/>
      <c r="P100" s="81"/>
      <c r="Q100" s="1959" t="s">
        <v>1698</v>
      </c>
      <c r="R100" s="1960"/>
      <c r="S100" s="1960"/>
      <c r="T100" s="1960"/>
      <c r="U100" s="1961">
        <f>K90-O90-U92-U96</f>
        <v>1955535.7884914302</v>
      </c>
      <c r="V100" s="3"/>
      <c r="W100" s="3"/>
      <c r="X100" s="3"/>
      <c r="Y100" s="3"/>
      <c r="Z100" s="3"/>
    </row>
    <row r="101" spans="1:26" ht="15.75" customHeight="1" x14ac:dyDescent="0.25">
      <c r="A101" s="3"/>
      <c r="B101" s="3"/>
      <c r="C101" s="3"/>
      <c r="D101" s="3"/>
      <c r="E101" s="3"/>
      <c r="F101" s="3"/>
      <c r="G101" s="623"/>
      <c r="H101" s="81"/>
      <c r="I101" s="81"/>
      <c r="J101" s="81"/>
      <c r="K101" s="81"/>
      <c r="L101" s="81"/>
      <c r="M101" s="81"/>
      <c r="N101" s="81"/>
      <c r="O101" s="81"/>
      <c r="P101" s="81"/>
      <c r="Q101" s="81"/>
      <c r="R101" s="81"/>
      <c r="S101" s="81"/>
      <c r="T101" s="81"/>
      <c r="U101" s="928"/>
      <c r="V101" s="3"/>
      <c r="W101" s="3"/>
      <c r="X101" s="3"/>
      <c r="Y101" s="3"/>
      <c r="Z101" s="3"/>
    </row>
    <row r="102" spans="1:26" ht="15.75" customHeight="1" x14ac:dyDescent="0.25">
      <c r="A102" s="3"/>
      <c r="B102" s="3"/>
      <c r="C102" s="3"/>
      <c r="D102" s="3"/>
      <c r="E102" s="3"/>
      <c r="F102" s="3"/>
      <c r="G102" s="623"/>
      <c r="H102" s="81"/>
      <c r="I102" s="81"/>
      <c r="J102" s="81"/>
      <c r="K102" s="81"/>
      <c r="L102" s="81"/>
      <c r="M102" s="81"/>
      <c r="N102" s="81"/>
      <c r="O102" s="81"/>
      <c r="P102" s="81"/>
      <c r="Q102" s="1962" t="s">
        <v>1703</v>
      </c>
      <c r="R102" s="1963"/>
      <c r="S102" s="1963"/>
      <c r="T102" s="1963"/>
      <c r="U102" s="1964">
        <f>P80*0.907184</f>
        <v>158316.06853601782</v>
      </c>
      <c r="V102" s="3"/>
      <c r="W102" s="3"/>
      <c r="X102" s="3"/>
      <c r="Y102" s="3"/>
      <c r="Z102" s="3"/>
    </row>
    <row r="103" spans="1:26" ht="15.75" customHeight="1" x14ac:dyDescent="0.25">
      <c r="A103" s="3"/>
      <c r="B103" s="3"/>
      <c r="C103" s="3"/>
      <c r="D103" s="3"/>
      <c r="E103" s="3"/>
      <c r="F103" s="3"/>
      <c r="G103" s="623"/>
      <c r="H103" s="81"/>
      <c r="I103" s="81"/>
      <c r="J103" s="81"/>
      <c r="K103" s="81"/>
      <c r="L103" s="81"/>
      <c r="M103" s="81"/>
      <c r="N103" s="81"/>
      <c r="O103" s="81"/>
      <c r="P103" s="81"/>
      <c r="Q103" s="1962"/>
      <c r="R103" s="1963"/>
      <c r="S103" s="1963"/>
      <c r="T103" s="1963"/>
      <c r="U103" s="1964"/>
      <c r="V103" s="3"/>
      <c r="W103" s="3"/>
      <c r="X103" s="3"/>
      <c r="Y103" s="3"/>
      <c r="Z103" s="3"/>
    </row>
    <row r="104" spans="1:26" ht="15.75" customHeight="1" x14ac:dyDescent="0.25">
      <c r="A104" s="3"/>
      <c r="B104" s="3"/>
      <c r="C104" s="3"/>
      <c r="D104" s="3"/>
      <c r="E104" s="3"/>
      <c r="F104" s="3"/>
      <c r="G104" s="623"/>
      <c r="H104" s="81"/>
      <c r="I104" s="81"/>
      <c r="J104" s="81"/>
      <c r="K104" s="81"/>
      <c r="L104" s="81"/>
      <c r="M104" s="81"/>
      <c r="N104" s="81"/>
      <c r="O104" s="81"/>
      <c r="P104" s="81"/>
      <c r="Q104" s="58" t="s">
        <v>1704</v>
      </c>
      <c r="R104" s="81"/>
      <c r="S104" s="81"/>
      <c r="T104" s="81"/>
      <c r="U104" s="1050">
        <f>U102/1000000</f>
        <v>0.15831606853601782</v>
      </c>
      <c r="V104" s="3"/>
      <c r="W104" s="3"/>
      <c r="X104" s="3"/>
      <c r="Y104" s="3"/>
      <c r="Z104" s="3"/>
    </row>
    <row r="105" spans="1:26" ht="15.75" customHeight="1" x14ac:dyDescent="0.25">
      <c r="A105" s="3"/>
      <c r="B105" s="3"/>
      <c r="C105" s="3"/>
      <c r="D105" s="3"/>
      <c r="E105" s="3"/>
      <c r="F105" s="3"/>
      <c r="G105" s="623"/>
      <c r="H105" s="81"/>
      <c r="I105" s="81"/>
      <c r="J105" s="81"/>
      <c r="K105" s="81"/>
      <c r="L105" s="81"/>
      <c r="M105" s="81"/>
      <c r="N105" s="81"/>
      <c r="O105" s="81"/>
      <c r="P105" s="81"/>
      <c r="Q105" s="1962"/>
      <c r="R105" s="1963"/>
      <c r="S105" s="1963"/>
      <c r="T105" s="1963"/>
      <c r="U105" s="1964"/>
      <c r="V105" s="3"/>
      <c r="W105" s="3"/>
      <c r="X105" s="3"/>
      <c r="Y105" s="3"/>
      <c r="Z105" s="3"/>
    </row>
    <row r="106" spans="1:26" ht="18" customHeight="1" x14ac:dyDescent="0.35">
      <c r="A106" s="3"/>
      <c r="B106" s="3"/>
      <c r="C106" s="3"/>
      <c r="D106" s="3"/>
      <c r="E106" s="3"/>
      <c r="F106" s="3"/>
      <c r="G106" s="623"/>
      <c r="H106" s="81"/>
      <c r="I106" s="81"/>
      <c r="J106" s="81"/>
      <c r="K106" s="81"/>
      <c r="L106" s="81"/>
      <c r="M106" s="81"/>
      <c r="N106" s="81"/>
      <c r="O106" s="81"/>
      <c r="P106" s="81"/>
      <c r="Q106" s="1962" t="s">
        <v>1707</v>
      </c>
      <c r="R106" s="1963"/>
      <c r="S106" s="1963"/>
      <c r="T106" s="1963"/>
      <c r="U106" s="1964">
        <f>J80*0.907184</f>
        <v>336903.83512852195</v>
      </c>
      <c r="V106" s="3"/>
      <c r="W106" s="3"/>
      <c r="X106" s="3"/>
      <c r="Y106" s="3"/>
      <c r="Z106" s="3"/>
    </row>
    <row r="107" spans="1:26" ht="15.75" customHeight="1" x14ac:dyDescent="0.25">
      <c r="A107" s="3"/>
      <c r="B107" s="3"/>
      <c r="C107" s="3"/>
      <c r="D107" s="3"/>
      <c r="E107" s="3"/>
      <c r="F107" s="3"/>
      <c r="G107" s="623"/>
      <c r="H107" s="81"/>
      <c r="I107" s="81"/>
      <c r="J107" s="81"/>
      <c r="K107" s="81"/>
      <c r="L107" s="81"/>
      <c r="M107" s="81"/>
      <c r="N107" s="81"/>
      <c r="O107" s="81"/>
      <c r="P107" s="81"/>
      <c r="Q107" s="1962"/>
      <c r="R107" s="1963"/>
      <c r="S107" s="1963"/>
      <c r="T107" s="1963"/>
      <c r="U107" s="1964"/>
      <c r="V107" s="3"/>
      <c r="W107" s="3"/>
      <c r="X107" s="3"/>
      <c r="Y107" s="3"/>
      <c r="Z107" s="3"/>
    </row>
    <row r="108" spans="1:26" ht="18" customHeight="1" x14ac:dyDescent="0.35">
      <c r="A108" s="3"/>
      <c r="B108" s="3"/>
      <c r="C108" s="3"/>
      <c r="D108" s="3"/>
      <c r="E108" s="3"/>
      <c r="F108" s="3"/>
      <c r="G108" s="623"/>
      <c r="H108" s="81"/>
      <c r="I108" s="81"/>
      <c r="J108" s="81"/>
      <c r="K108" s="81"/>
      <c r="L108" s="81"/>
      <c r="M108" s="81"/>
      <c r="N108" s="81"/>
      <c r="O108" s="81"/>
      <c r="P108" s="81"/>
      <c r="Q108" s="58" t="s">
        <v>1709</v>
      </c>
      <c r="R108" s="81"/>
      <c r="S108" s="81"/>
      <c r="T108" s="81"/>
      <c r="U108" s="1050">
        <f>U106/1000000</f>
        <v>0.33690383512852196</v>
      </c>
      <c r="V108" s="3"/>
      <c r="W108" s="3"/>
      <c r="X108" s="3"/>
      <c r="Y108" s="3"/>
      <c r="Z108" s="3"/>
    </row>
    <row r="109" spans="1:26" ht="15.75" customHeight="1" x14ac:dyDescent="0.25">
      <c r="A109" s="3"/>
      <c r="B109" s="3"/>
      <c r="C109" s="3"/>
      <c r="D109" s="3"/>
      <c r="E109" s="3"/>
      <c r="F109" s="3"/>
      <c r="G109" s="623"/>
      <c r="H109" s="81"/>
      <c r="I109" s="81"/>
      <c r="J109" s="81"/>
      <c r="K109" s="81"/>
      <c r="L109" s="81"/>
      <c r="M109" s="81"/>
      <c r="N109" s="81"/>
      <c r="O109" s="81"/>
      <c r="P109" s="81"/>
      <c r="Q109" s="1962"/>
      <c r="R109" s="1963"/>
      <c r="S109" s="1963"/>
      <c r="T109" s="1963"/>
      <c r="U109" s="1964"/>
      <c r="V109" s="3"/>
      <c r="W109" s="3"/>
      <c r="X109" s="3"/>
      <c r="Y109" s="3"/>
      <c r="Z109" s="3"/>
    </row>
    <row r="110" spans="1:26" ht="15.75" customHeight="1" x14ac:dyDescent="0.25">
      <c r="A110" s="3"/>
      <c r="B110" s="3"/>
      <c r="C110" s="3"/>
      <c r="D110" s="3"/>
      <c r="E110" s="3"/>
      <c r="F110" s="3"/>
      <c r="G110" s="623"/>
      <c r="H110" s="81"/>
      <c r="I110" s="81"/>
      <c r="J110" s="81"/>
      <c r="K110" s="81"/>
      <c r="L110" s="81"/>
      <c r="M110" s="81"/>
      <c r="N110" s="81"/>
      <c r="O110" s="81"/>
      <c r="P110" s="81"/>
      <c r="Q110" s="81"/>
      <c r="R110" s="81"/>
      <c r="S110" s="81"/>
      <c r="T110" s="81"/>
      <c r="U110" s="928"/>
      <c r="V110" s="3"/>
      <c r="W110" s="3"/>
      <c r="X110" s="3"/>
      <c r="Y110" s="3"/>
      <c r="Z110" s="3"/>
    </row>
    <row r="111" spans="1:26" ht="15.75" customHeight="1" x14ac:dyDescent="0.25">
      <c r="A111" s="3"/>
      <c r="B111" s="3"/>
      <c r="C111" s="3"/>
      <c r="D111" s="3"/>
      <c r="E111" s="3"/>
      <c r="F111" s="3"/>
      <c r="G111" s="623"/>
      <c r="H111" s="81"/>
      <c r="I111" s="81"/>
      <c r="J111" s="81"/>
      <c r="K111" s="81"/>
      <c r="L111" s="81"/>
      <c r="M111" s="81"/>
      <c r="N111" s="81"/>
      <c r="O111" s="81"/>
      <c r="P111" s="81"/>
      <c r="Q111" s="58" t="s">
        <v>1712</v>
      </c>
      <c r="R111" s="81"/>
      <c r="S111" s="81"/>
      <c r="T111" s="81"/>
      <c r="U111" s="1050">
        <f>U100/1000000</f>
        <v>1.9555357884914302</v>
      </c>
      <c r="V111" s="3"/>
      <c r="W111" s="3"/>
      <c r="X111" s="3"/>
      <c r="Y111" s="3"/>
      <c r="Z111" s="3"/>
    </row>
    <row r="112" spans="1:26" ht="15.75" customHeight="1" x14ac:dyDescent="0.25">
      <c r="A112" s="3"/>
      <c r="B112" s="3"/>
      <c r="C112" s="3"/>
      <c r="D112" s="3"/>
      <c r="E112" s="3"/>
      <c r="F112" s="3"/>
      <c r="G112" s="989"/>
      <c r="H112" s="991"/>
      <c r="I112" s="991"/>
      <c r="J112" s="991"/>
      <c r="K112" s="991"/>
      <c r="L112" s="991"/>
      <c r="M112" s="991"/>
      <c r="N112" s="991"/>
      <c r="O112" s="991"/>
      <c r="P112" s="991"/>
      <c r="Q112" s="991"/>
      <c r="R112" s="991"/>
      <c r="S112" s="991"/>
      <c r="T112" s="991"/>
      <c r="U112" s="1055"/>
      <c r="V112" s="3"/>
      <c r="W112" s="3"/>
      <c r="X112" s="3"/>
      <c r="Y112" s="3"/>
      <c r="Z112" s="3"/>
    </row>
    <row r="113" spans="1:26" ht="15.75" customHeight="1"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5">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ht="15.75" customHeight="1" x14ac:dyDescent="0.25">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ht="15.75" customHeight="1" x14ac:dyDescent="0.25">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ht="15.75" customHeight="1" x14ac:dyDescent="0.25">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ht="15.75" customHeight="1" x14ac:dyDescent="0.25">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ht="15.75" customHeight="1" x14ac:dyDescent="0.25">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ht="15.75" customHeight="1" x14ac:dyDescent="0.25">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ht="15.75" customHeight="1" x14ac:dyDescent="0.25">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ht="15.75" customHeight="1" x14ac:dyDescent="0.25">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ht="15.75" customHeight="1" x14ac:dyDescent="0.25">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ht="15.75" customHeight="1" x14ac:dyDescent="0.25">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ht="15.75" customHeight="1" x14ac:dyDescent="0.25">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ht="15.75" customHeight="1" x14ac:dyDescent="0.25">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ht="15.75" customHeight="1" x14ac:dyDescent="0.25">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ht="15.75" customHeight="1" x14ac:dyDescent="0.25">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ht="15.75" customHeight="1" x14ac:dyDescent="0.25">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ht="15.75" customHeight="1" x14ac:dyDescent="0.25">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ht="15.75" customHeight="1" x14ac:dyDescent="0.25">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ht="15.75" customHeight="1" x14ac:dyDescent="0.25">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ht="15.75" customHeight="1" x14ac:dyDescent="0.25">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ht="15.75" customHeight="1" x14ac:dyDescent="0.25">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ht="15.75" customHeight="1" x14ac:dyDescent="0.25">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ht="15.75" customHeight="1" x14ac:dyDescent="0.25">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ht="15.75" customHeight="1" x14ac:dyDescent="0.25">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ht="15.75" customHeight="1" x14ac:dyDescent="0.25">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ht="15.75" customHeight="1"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ht="15.75" customHeight="1"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ht="15.75" customHeight="1" x14ac:dyDescent="0.25">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ht="15.75" customHeight="1"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ht="15.75" customHeight="1" x14ac:dyDescent="0.25">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ht="15.75" customHeight="1" x14ac:dyDescent="0.25">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ht="15.75" customHeight="1" x14ac:dyDescent="0.25">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ht="15.75" customHeight="1" x14ac:dyDescent="0.25">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ht="15.75" customHeight="1" x14ac:dyDescent="0.25">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ht="15.75" customHeight="1" x14ac:dyDescent="0.25">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ht="15.75" customHeight="1" x14ac:dyDescent="0.25">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ht="15.75" customHeight="1" x14ac:dyDescent="0.25">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ht="15.75" customHeight="1" x14ac:dyDescent="0.25">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ht="15.75" customHeight="1" x14ac:dyDescent="0.25">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ht="15.75" customHeight="1" x14ac:dyDescent="0.25">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ht="15.75" customHeight="1"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ht="15.75" customHeight="1" x14ac:dyDescent="0.25">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ht="15.75" customHeight="1" x14ac:dyDescent="0.25">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ht="15.75" customHeight="1" x14ac:dyDescent="0.25">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ht="15.75" customHeight="1" x14ac:dyDescent="0.25">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ht="15.75" customHeight="1" x14ac:dyDescent="0.25">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ht="15.75" customHeight="1" x14ac:dyDescent="0.25">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ht="15.75" customHeight="1" x14ac:dyDescent="0.25">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ht="15.75" customHeight="1" x14ac:dyDescent="0.25">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ht="15.75" customHeight="1" x14ac:dyDescent="0.25">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ht="15.75" customHeight="1" x14ac:dyDescent="0.25">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ht="15.75" customHeight="1" x14ac:dyDescent="0.25">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ht="15.75" customHeight="1" x14ac:dyDescent="0.25">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ht="15.75" customHeight="1" x14ac:dyDescent="0.25">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ht="15.75" customHeight="1" x14ac:dyDescent="0.25">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ht="15.75" customHeight="1" x14ac:dyDescent="0.25">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ht="15.75" customHeight="1" x14ac:dyDescent="0.25">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ht="15.75" customHeight="1" x14ac:dyDescent="0.25">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ht="15.75" customHeight="1" x14ac:dyDescent="0.25">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ht="15.75" customHeight="1" x14ac:dyDescent="0.25">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ht="15.75" customHeight="1" x14ac:dyDescent="0.25">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ht="15.75" customHeight="1" x14ac:dyDescent="0.25">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ht="15.75" customHeight="1" x14ac:dyDescent="0.25">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ht="15.75" customHeight="1" x14ac:dyDescent="0.25">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ht="15.75" customHeight="1" x14ac:dyDescent="0.25">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ht="15.75" customHeight="1" x14ac:dyDescent="0.25">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ht="15.75" customHeight="1" x14ac:dyDescent="0.25">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ht="15.75" customHeight="1" x14ac:dyDescent="0.25">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ht="15.75" customHeight="1" x14ac:dyDescent="0.25">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ht="15.75" customHeight="1" x14ac:dyDescent="0.25">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ht="15.75" customHeight="1"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ht="15.75" customHeight="1" x14ac:dyDescent="0.25">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ht="15.75" customHeight="1" x14ac:dyDescent="0.25">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ht="15.75" customHeight="1" x14ac:dyDescent="0.25">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ht="15.75" customHeight="1" x14ac:dyDescent="0.25">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ht="15.75" customHeight="1" x14ac:dyDescent="0.25">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ht="15.75" customHeight="1" x14ac:dyDescent="0.25">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ht="15.75" customHeight="1" x14ac:dyDescent="0.25">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ht="15.75" customHeight="1" x14ac:dyDescent="0.25">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ht="15.75" customHeight="1" x14ac:dyDescent="0.25">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ht="15.75" customHeight="1" x14ac:dyDescent="0.25">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ht="15.75" customHeight="1" x14ac:dyDescent="0.25">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ht="15.75" customHeight="1" x14ac:dyDescent="0.25">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ht="15.75" customHeight="1" x14ac:dyDescent="0.25">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ht="15.75" customHeight="1" x14ac:dyDescent="0.25">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ht="15.75" customHeight="1" x14ac:dyDescent="0.25">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ht="15.75" customHeight="1" x14ac:dyDescent="0.25">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ht="15.75" customHeight="1" x14ac:dyDescent="0.25">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ht="15.75" customHeight="1" x14ac:dyDescent="0.25">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ht="15.75" customHeight="1" x14ac:dyDescent="0.25">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ht="15.75" customHeight="1" x14ac:dyDescent="0.25">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ht="15.75" customHeight="1" x14ac:dyDescent="0.2"/>
    <row r="313" spans="1:26" ht="15.75" customHeight="1" x14ac:dyDescent="0.2"/>
    <row r="314" spans="1:26" ht="15.75" customHeight="1" x14ac:dyDescent="0.2"/>
    <row r="315" spans="1:26" ht="15.75" customHeight="1" x14ac:dyDescent="0.2"/>
    <row r="316" spans="1:26" ht="15.75" customHeight="1" x14ac:dyDescent="0.2"/>
    <row r="317" spans="1:26" ht="15.75" customHeight="1" x14ac:dyDescent="0.2"/>
    <row r="318" spans="1:26" ht="15.75" customHeight="1" x14ac:dyDescent="0.2"/>
    <row r="319" spans="1:26" ht="15.75" customHeight="1" x14ac:dyDescent="0.2"/>
    <row r="320" spans="1:26"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9">
    <mergeCell ref="M90:N90"/>
    <mergeCell ref="M92:N92"/>
    <mergeCell ref="Q84:S84"/>
    <mergeCell ref="C85:D85"/>
    <mergeCell ref="G86:I86"/>
    <mergeCell ref="M86:N86"/>
    <mergeCell ref="G87:I87"/>
    <mergeCell ref="G90:I90"/>
    <mergeCell ref="G92:I92"/>
  </mergeCells>
  <pageMargins left="0.7" right="0.7" top="0.75" bottom="0.75" header="0" footer="0"/>
  <pageSetup orientation="landscape"/>
  <drawing r:id="rId1"/>
  <legacyDrawing r:id="rId2"/>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M1023"/>
  <sheetViews>
    <sheetView workbookViewId="0"/>
  </sheetViews>
  <sheetFormatPr defaultColWidth="16.83203125" defaultRowHeight="15" customHeight="1" x14ac:dyDescent="0.2"/>
  <cols>
    <col min="1" max="1" width="3.83203125" customWidth="1"/>
    <col min="2" max="2" width="23" customWidth="1"/>
    <col min="3" max="3" width="12.5" customWidth="1"/>
    <col min="4" max="4" width="10.6640625" customWidth="1"/>
    <col min="5" max="5" width="14.6640625" customWidth="1"/>
    <col min="6" max="6" width="9.33203125" customWidth="1"/>
    <col min="7" max="7" width="16.5" customWidth="1"/>
    <col min="8" max="8" width="9.33203125" customWidth="1"/>
    <col min="9" max="9" width="13.33203125" customWidth="1"/>
    <col min="10" max="10" width="9.33203125" customWidth="1"/>
    <col min="11" max="11" width="15.1640625" customWidth="1"/>
    <col min="12" max="12" width="9.33203125" customWidth="1"/>
    <col min="13" max="13" width="14.1640625" customWidth="1"/>
    <col min="14" max="14" width="9.33203125" customWidth="1"/>
    <col min="15" max="15" width="15.6640625" customWidth="1"/>
    <col min="16" max="16" width="9.33203125" customWidth="1"/>
    <col min="17" max="17" width="12.1640625" customWidth="1"/>
    <col min="18" max="18" width="9.33203125" customWidth="1"/>
    <col min="19" max="19" width="16.33203125" customWidth="1"/>
    <col min="20" max="20" width="9.33203125" customWidth="1"/>
    <col min="21" max="21" width="15.83203125" customWidth="1"/>
    <col min="22" max="22" width="4.5" customWidth="1"/>
    <col min="23" max="23" width="14.6640625" customWidth="1"/>
    <col min="24" max="24" width="9.33203125" customWidth="1"/>
    <col min="25" max="25" width="14.83203125" customWidth="1"/>
    <col min="26" max="26" width="6" customWidth="1"/>
    <col min="27" max="27" width="12.83203125" customWidth="1"/>
    <col min="28" max="28" width="6.33203125" customWidth="1"/>
    <col min="29" max="29" width="12.6640625" customWidth="1"/>
    <col min="30" max="31" width="9.33203125" customWidth="1"/>
    <col min="32" max="32" width="6" customWidth="1"/>
    <col min="33" max="33" width="10.33203125" customWidth="1"/>
    <col min="34" max="34" width="9.33203125" customWidth="1"/>
    <col min="35" max="35" width="10.1640625" customWidth="1"/>
    <col min="36" max="36" width="5.33203125" customWidth="1"/>
    <col min="37" max="37" width="10.6640625" customWidth="1"/>
    <col min="38" max="38" width="7.33203125" customWidth="1"/>
    <col min="39" max="39" width="13.83203125" customWidth="1"/>
  </cols>
  <sheetData>
    <row r="1" spans="1:39" ht="16.5" x14ac:dyDescent="0.3">
      <c r="A1" s="1643"/>
      <c r="B1" s="1644" t="s">
        <v>1371</v>
      </c>
      <c r="C1" s="1645"/>
      <c r="D1" s="1643"/>
      <c r="E1" s="1643"/>
      <c r="F1" s="1643"/>
      <c r="G1" s="1646"/>
      <c r="H1" s="1643"/>
      <c r="I1" s="1643"/>
      <c r="J1" s="1643"/>
      <c r="K1" s="1643"/>
      <c r="L1" s="1643"/>
      <c r="M1" s="1643"/>
      <c r="N1" s="1643"/>
      <c r="O1" s="1643"/>
      <c r="P1" s="1643"/>
      <c r="Q1" s="1643"/>
      <c r="R1" s="1643"/>
      <c r="S1" s="1643"/>
      <c r="T1" s="1643"/>
      <c r="U1" s="1643"/>
      <c r="V1" s="1643"/>
      <c r="W1" s="1643"/>
      <c r="X1" s="1643"/>
      <c r="Y1" s="1643"/>
      <c r="Z1" s="1643"/>
      <c r="AA1" s="1643"/>
      <c r="AB1" s="1643"/>
      <c r="AC1" s="1643"/>
      <c r="AD1" s="1643"/>
      <c r="AE1" s="1643"/>
      <c r="AF1" s="1643"/>
      <c r="AG1" s="1643"/>
      <c r="AH1" s="1643"/>
      <c r="AI1" s="1643"/>
      <c r="AJ1" s="1643"/>
      <c r="AK1" s="1643"/>
      <c r="AL1" s="1643"/>
      <c r="AM1" s="1643"/>
    </row>
    <row r="2" spans="1:39" ht="293.25" customHeight="1" x14ac:dyDescent="0.3">
      <c r="A2" s="1643"/>
      <c r="B2" s="1643"/>
      <c r="C2" s="1643"/>
      <c r="D2" s="1643"/>
      <c r="E2" s="1643"/>
      <c r="F2" s="1643"/>
      <c r="G2" s="1643"/>
      <c r="H2" s="1643"/>
      <c r="I2" s="1643"/>
      <c r="J2" s="1643"/>
      <c r="K2" s="1643"/>
      <c r="L2" s="1643"/>
      <c r="M2" s="1643"/>
      <c r="N2" s="1643"/>
      <c r="O2" s="1643"/>
      <c r="P2" s="1643"/>
      <c r="Q2" s="1643"/>
      <c r="R2" s="1643"/>
      <c r="S2" s="1643"/>
      <c r="T2" s="1643"/>
      <c r="U2" s="1643"/>
      <c r="V2" s="1643"/>
      <c r="W2" s="1643"/>
      <c r="X2" s="1643"/>
      <c r="Y2" s="1643"/>
      <c r="Z2" s="1643"/>
      <c r="AA2" s="1643"/>
      <c r="AB2" s="1643"/>
      <c r="AC2" s="1643"/>
      <c r="AD2" s="1643"/>
      <c r="AE2" s="1643"/>
      <c r="AF2" s="1643"/>
      <c r="AG2" s="1643"/>
      <c r="AH2" s="1643"/>
      <c r="AI2" s="1643"/>
      <c r="AJ2" s="1643"/>
      <c r="AK2" s="1643"/>
      <c r="AL2" s="1643"/>
      <c r="AM2" s="1643"/>
    </row>
    <row r="3" spans="1:39" ht="16.5" x14ac:dyDescent="0.3">
      <c r="A3" s="1643"/>
      <c r="B3" s="2377" t="s">
        <v>1373</v>
      </c>
      <c r="C3" s="2378"/>
      <c r="D3" s="2378"/>
      <c r="E3" s="2378"/>
      <c r="F3" s="2378"/>
      <c r="G3" s="2378"/>
      <c r="H3" s="2378"/>
      <c r="I3" s="2379"/>
      <c r="J3" s="1651"/>
      <c r="K3" s="1651"/>
      <c r="L3" s="1651"/>
      <c r="M3" s="1651"/>
      <c r="N3" s="1651"/>
      <c r="O3" s="1651"/>
      <c r="P3" s="1651"/>
      <c r="Q3" s="1651"/>
      <c r="R3" s="1651"/>
      <c r="S3" s="1651"/>
      <c r="T3" s="1651"/>
      <c r="U3" s="1651"/>
      <c r="V3" s="1651"/>
      <c r="W3" s="1651"/>
      <c r="X3" s="1651"/>
      <c r="Y3" s="1652"/>
      <c r="Z3" s="1643"/>
      <c r="AA3" s="1643"/>
      <c r="AB3" s="1643"/>
      <c r="AC3" s="2380" t="s">
        <v>1</v>
      </c>
      <c r="AD3" s="2313"/>
      <c r="AE3" s="1643"/>
      <c r="AF3" s="1643"/>
      <c r="AG3" s="1643"/>
      <c r="AH3" s="1643"/>
      <c r="AI3" s="1643"/>
      <c r="AJ3" s="1643"/>
      <c r="AK3" s="1643"/>
      <c r="AL3" s="1643"/>
      <c r="AM3" s="1643"/>
    </row>
    <row r="4" spans="1:39" ht="70.5" customHeight="1" x14ac:dyDescent="0.35">
      <c r="A4" s="1643"/>
      <c r="B4" s="1654" t="s">
        <v>835</v>
      </c>
      <c r="C4" s="1655" t="s">
        <v>1140</v>
      </c>
      <c r="D4" s="1655"/>
      <c r="E4" s="1655" t="s">
        <v>1375</v>
      </c>
      <c r="F4" s="1656"/>
      <c r="G4" s="1655" t="s">
        <v>1378</v>
      </c>
      <c r="H4" s="1656"/>
      <c r="I4" s="1655" t="s">
        <v>1379</v>
      </c>
      <c r="J4" s="1656"/>
      <c r="K4" s="1655" t="s">
        <v>1380</v>
      </c>
      <c r="L4" s="1656"/>
      <c r="M4" s="1655" t="s">
        <v>1381</v>
      </c>
      <c r="N4" s="1656"/>
      <c r="O4" s="1655" t="s">
        <v>1382</v>
      </c>
      <c r="P4" s="1656"/>
      <c r="Q4" s="1655" t="s">
        <v>1383</v>
      </c>
      <c r="R4" s="1656"/>
      <c r="S4" s="1655" t="s">
        <v>1384</v>
      </c>
      <c r="T4" s="1655"/>
      <c r="U4" s="1655" t="s">
        <v>1385</v>
      </c>
      <c r="V4" s="1656"/>
      <c r="W4" s="1655" t="s">
        <v>1202</v>
      </c>
      <c r="X4" s="1657"/>
      <c r="Y4" s="1658" t="s">
        <v>1386</v>
      </c>
      <c r="Z4" s="1643"/>
      <c r="AA4" s="1643"/>
      <c r="AB4" s="1643"/>
      <c r="AC4" s="1659"/>
      <c r="AD4" s="1659"/>
      <c r="AE4" s="1643"/>
      <c r="AF4" s="1643"/>
      <c r="AG4" s="1643"/>
      <c r="AH4" s="1643"/>
      <c r="AI4" s="1643"/>
      <c r="AJ4" s="1643"/>
      <c r="AK4" s="1643"/>
      <c r="AL4" s="1643"/>
      <c r="AM4" s="1643"/>
    </row>
    <row r="5" spans="1:39" ht="16.5" x14ac:dyDescent="0.3">
      <c r="A5" s="1660"/>
      <c r="B5" s="1661">
        <v>2011</v>
      </c>
      <c r="C5" s="1662">
        <v>5828289</v>
      </c>
      <c r="D5" s="1663" t="s">
        <v>904</v>
      </c>
      <c r="E5" s="1664">
        <v>0.09</v>
      </c>
      <c r="F5" s="1663" t="s">
        <v>904</v>
      </c>
      <c r="G5" s="1665">
        <v>365</v>
      </c>
      <c r="H5" s="1663" t="s">
        <v>904</v>
      </c>
      <c r="I5" s="1666">
        <v>1E-3</v>
      </c>
      <c r="J5" s="1663" t="s">
        <v>904</v>
      </c>
      <c r="K5" s="1667">
        <v>0.6</v>
      </c>
      <c r="L5" s="1663" t="s">
        <v>904</v>
      </c>
      <c r="M5" s="1668">
        <v>0.16250000000000001</v>
      </c>
      <c r="N5" s="1663" t="s">
        <v>889</v>
      </c>
      <c r="O5" s="1667">
        <f>C5*$E$5*$G$5*$M$5*$K$5*$I$5</f>
        <v>18667.281130874999</v>
      </c>
      <c r="P5" s="1663" t="s">
        <v>904</v>
      </c>
      <c r="Q5" s="1662">
        <f>$AD$6</f>
        <v>27.9</v>
      </c>
      <c r="R5" s="1663" t="s">
        <v>904</v>
      </c>
      <c r="S5" s="1669">
        <v>9.9999999999999995E-7</v>
      </c>
      <c r="T5" s="1663" t="s">
        <v>904</v>
      </c>
      <c r="U5" s="1667">
        <f>12/44</f>
        <v>0.27272727272727271</v>
      </c>
      <c r="V5" s="1663" t="s">
        <v>889</v>
      </c>
      <c r="W5" s="1670">
        <f>O5*Q$5*S$5*U$5</f>
        <v>0.14204103915038518</v>
      </c>
      <c r="X5" s="1663" t="s">
        <v>889</v>
      </c>
      <c r="Y5" s="1671">
        <f>W5*44/12</f>
        <v>0.52081714355141229</v>
      </c>
      <c r="Z5" s="1660"/>
      <c r="AA5" s="1660"/>
      <c r="AB5" s="1660"/>
      <c r="AC5" s="1659" t="s">
        <v>188</v>
      </c>
      <c r="AD5" s="1672">
        <f>Summary!E4</f>
        <v>1</v>
      </c>
      <c r="AE5" s="1660"/>
      <c r="AF5" s="1660"/>
      <c r="AG5" s="1660"/>
      <c r="AH5" s="1660"/>
      <c r="AI5" s="1660"/>
      <c r="AJ5" s="1660"/>
      <c r="AK5" s="1660"/>
      <c r="AL5" s="1660"/>
      <c r="AM5" s="1660"/>
    </row>
    <row r="6" spans="1:39" ht="16.5" x14ac:dyDescent="0.3">
      <c r="A6" s="1643"/>
      <c r="B6" s="1673"/>
      <c r="C6" s="1674"/>
      <c r="D6" s="1674"/>
      <c r="E6" s="1674"/>
      <c r="F6" s="1674"/>
      <c r="G6" s="1674"/>
      <c r="H6" s="1674"/>
      <c r="I6" s="1674"/>
      <c r="J6" s="1674"/>
      <c r="K6" s="1674"/>
      <c r="L6" s="1674"/>
      <c r="M6" s="1674"/>
      <c r="N6" s="1674"/>
      <c r="O6" s="1674"/>
      <c r="P6" s="1674"/>
      <c r="Q6" s="1674"/>
      <c r="R6" s="1674"/>
      <c r="S6" s="1674"/>
      <c r="T6" s="1674"/>
      <c r="U6" s="1674"/>
      <c r="V6" s="1674"/>
      <c r="W6" s="1674"/>
      <c r="X6" s="1674"/>
      <c r="Y6" s="1675"/>
      <c r="Z6" s="1643"/>
      <c r="AA6" s="1643"/>
      <c r="AB6" s="1643"/>
      <c r="AC6" s="1659" t="s">
        <v>192</v>
      </c>
      <c r="AD6" s="1672">
        <f>Summary!E5</f>
        <v>27.9</v>
      </c>
      <c r="AE6" s="1643"/>
      <c r="AF6" s="1643"/>
      <c r="AG6" s="1643"/>
      <c r="AH6" s="1643"/>
      <c r="AI6" s="1643"/>
      <c r="AJ6" s="1643"/>
      <c r="AK6" s="1643"/>
      <c r="AL6" s="1643"/>
      <c r="AM6" s="1643"/>
    </row>
    <row r="7" spans="1:39" ht="16.5" x14ac:dyDescent="0.3">
      <c r="A7" s="1643"/>
      <c r="B7" s="1643"/>
      <c r="C7" s="1643"/>
      <c r="D7" s="1643"/>
      <c r="E7" s="1643"/>
      <c r="F7" s="1643"/>
      <c r="G7" s="1643"/>
      <c r="H7" s="1643"/>
      <c r="I7" s="1643"/>
      <c r="J7" s="1643"/>
      <c r="K7" s="1643"/>
      <c r="L7" s="1643"/>
      <c r="M7" s="1643"/>
      <c r="N7" s="1643"/>
      <c r="O7" s="1643"/>
      <c r="P7" s="1643"/>
      <c r="Q7" s="1643"/>
      <c r="R7" s="1643"/>
      <c r="S7" s="1643"/>
      <c r="T7" s="1643"/>
      <c r="U7" s="1643"/>
      <c r="V7" s="1643"/>
      <c r="W7" s="1643"/>
      <c r="X7" s="1643"/>
      <c r="Y7" s="1643"/>
      <c r="Z7" s="1643"/>
      <c r="AA7" s="1643"/>
      <c r="AB7" s="1643"/>
      <c r="AC7" s="1659" t="s">
        <v>194</v>
      </c>
      <c r="AD7" s="1672">
        <f>Summary!E6</f>
        <v>273</v>
      </c>
      <c r="AE7" s="1643"/>
      <c r="AF7" s="1643"/>
      <c r="AG7" s="1643"/>
      <c r="AH7" s="1643"/>
      <c r="AI7" s="1643"/>
      <c r="AJ7" s="1643"/>
      <c r="AK7" s="1643"/>
      <c r="AL7" s="1643"/>
      <c r="AM7" s="1643"/>
    </row>
    <row r="8" spans="1:39" ht="16.5" x14ac:dyDescent="0.3">
      <c r="A8" s="1643"/>
      <c r="B8" s="1676" t="s">
        <v>1391</v>
      </c>
      <c r="C8" s="1677"/>
      <c r="D8" s="1677"/>
      <c r="E8" s="1677"/>
      <c r="F8" s="1677"/>
      <c r="G8" s="1677"/>
      <c r="H8" s="1677"/>
      <c r="I8" s="1677"/>
      <c r="J8" s="1651"/>
      <c r="K8" s="1651"/>
      <c r="L8" s="1651"/>
      <c r="M8" s="1651"/>
      <c r="N8" s="1651"/>
      <c r="O8" s="1651"/>
      <c r="P8" s="1651"/>
      <c r="Q8" s="1651"/>
      <c r="R8" s="1651"/>
      <c r="S8" s="1651"/>
      <c r="T8" s="1651"/>
      <c r="U8" s="1651"/>
      <c r="V8" s="1651"/>
      <c r="W8" s="1651"/>
      <c r="X8" s="1651"/>
      <c r="Y8" s="1652"/>
      <c r="Z8" s="1643"/>
      <c r="AA8" s="1643"/>
      <c r="AB8" s="1643"/>
      <c r="AC8" s="1659" t="s">
        <v>197</v>
      </c>
      <c r="AD8" s="1672">
        <f>Summary!E7</f>
        <v>24300</v>
      </c>
      <c r="AE8" s="1643"/>
      <c r="AF8" s="1643"/>
      <c r="AG8" s="1643"/>
      <c r="AH8" s="1643"/>
      <c r="AI8" s="1643"/>
      <c r="AJ8" s="1643"/>
      <c r="AK8" s="1643"/>
      <c r="AL8" s="1643"/>
      <c r="AM8" s="1643"/>
    </row>
    <row r="9" spans="1:39" ht="83.25" customHeight="1" x14ac:dyDescent="0.35">
      <c r="A9" s="1643"/>
      <c r="B9" s="1654" t="s">
        <v>835</v>
      </c>
      <c r="C9" s="1655" t="s">
        <v>1140</v>
      </c>
      <c r="D9" s="1657"/>
      <c r="E9" s="1655" t="s">
        <v>1392</v>
      </c>
      <c r="F9" s="1656"/>
      <c r="G9" s="1655" t="s">
        <v>1393</v>
      </c>
      <c r="H9" s="1656"/>
      <c r="I9" s="1655" t="s">
        <v>1394</v>
      </c>
      <c r="J9" s="1655"/>
      <c r="K9" s="1655" t="s">
        <v>1395</v>
      </c>
      <c r="L9" s="1656"/>
      <c r="M9" s="1655" t="s">
        <v>1396</v>
      </c>
      <c r="N9" s="1656"/>
      <c r="O9" s="1655" t="s">
        <v>1397</v>
      </c>
      <c r="P9" s="1655"/>
      <c r="Q9" s="1655" t="s">
        <v>1398</v>
      </c>
      <c r="R9" s="1656"/>
      <c r="S9" s="1655" t="s">
        <v>1202</v>
      </c>
      <c r="T9" s="1657"/>
      <c r="U9" s="1655" t="s">
        <v>1399</v>
      </c>
      <c r="V9" s="1643"/>
      <c r="W9" s="1643"/>
      <c r="X9" s="1643"/>
      <c r="Y9" s="1679"/>
      <c r="Z9" s="1643"/>
      <c r="AA9" s="1643"/>
      <c r="AB9" s="1643"/>
      <c r="AC9" s="1659"/>
      <c r="AD9" s="1672"/>
      <c r="AE9" s="1643"/>
      <c r="AF9" s="1643"/>
      <c r="AG9" s="1643"/>
      <c r="AH9" s="1643"/>
      <c r="AI9" s="1643"/>
      <c r="AJ9" s="1643"/>
      <c r="AK9" s="1643"/>
      <c r="AL9" s="1643"/>
      <c r="AM9" s="1643"/>
    </row>
    <row r="10" spans="1:39" ht="16.5" x14ac:dyDescent="0.3">
      <c r="A10" s="1660"/>
      <c r="B10" s="1661">
        <v>2011</v>
      </c>
      <c r="C10" s="1662">
        <v>5828289</v>
      </c>
      <c r="D10" s="1663" t="s">
        <v>904</v>
      </c>
      <c r="E10" s="1682">
        <v>0.81169999999999998</v>
      </c>
      <c r="F10" s="1663" t="s">
        <v>904</v>
      </c>
      <c r="G10" s="1684">
        <v>4</v>
      </c>
      <c r="H10" s="1663" t="s">
        <v>904</v>
      </c>
      <c r="I10" s="1686">
        <v>9.9999999999999995E-7</v>
      </c>
      <c r="J10" s="1663" t="s">
        <v>889</v>
      </c>
      <c r="K10" s="1689">
        <f>C10*E10*G10*I10</f>
        <v>18.923288725199999</v>
      </c>
      <c r="L10" s="1663" t="s">
        <v>904</v>
      </c>
      <c r="M10" s="1662">
        <f>$AD$7</f>
        <v>273</v>
      </c>
      <c r="N10" s="1663" t="s">
        <v>904</v>
      </c>
      <c r="O10" s="1669">
        <f>1/1000000</f>
        <v>9.9999999999999995E-7</v>
      </c>
      <c r="P10" s="1663" t="s">
        <v>904</v>
      </c>
      <c r="Q10" s="1667">
        <f>12/44</f>
        <v>0.27272727272727271</v>
      </c>
      <c r="R10" s="1663" t="s">
        <v>889</v>
      </c>
      <c r="S10" s="1693">
        <f>K10*M10*O10*Q10</f>
        <v>1.4089248605398908E-3</v>
      </c>
      <c r="T10" s="1663" t="s">
        <v>889</v>
      </c>
      <c r="U10" s="1693">
        <f>S10*44/12</f>
        <v>5.1660578219795998E-3</v>
      </c>
      <c r="V10" s="1660"/>
      <c r="W10" s="1660"/>
      <c r="X10" s="1660"/>
      <c r="Y10" s="1694"/>
      <c r="Z10" s="1660"/>
      <c r="AA10" s="1660"/>
      <c r="AB10" s="1660"/>
      <c r="AC10" s="1660"/>
      <c r="AD10" s="1660"/>
      <c r="AE10" s="1660"/>
      <c r="AF10" s="1660"/>
      <c r="AG10" s="1660"/>
      <c r="AH10" s="1660"/>
      <c r="AI10" s="1660"/>
      <c r="AJ10" s="1660"/>
      <c r="AK10" s="1660"/>
      <c r="AL10" s="1660"/>
      <c r="AM10" s="1660"/>
    </row>
    <row r="11" spans="1:39" ht="16.5" x14ac:dyDescent="0.3">
      <c r="A11" s="1643"/>
      <c r="B11" s="1673"/>
      <c r="C11" s="1674"/>
      <c r="D11" s="1674"/>
      <c r="E11" s="1674"/>
      <c r="F11" s="1674"/>
      <c r="G11" s="1674"/>
      <c r="H11" s="1674"/>
      <c r="I11" s="1674"/>
      <c r="J11" s="1674"/>
      <c r="K11" s="1674"/>
      <c r="L11" s="1674"/>
      <c r="M11" s="1674"/>
      <c r="N11" s="1674"/>
      <c r="O11" s="1674"/>
      <c r="P11" s="1674"/>
      <c r="Q11" s="1674"/>
      <c r="R11" s="1674"/>
      <c r="S11" s="1674"/>
      <c r="T11" s="1674"/>
      <c r="U11" s="1674"/>
      <c r="V11" s="1674"/>
      <c r="W11" s="1674"/>
      <c r="X11" s="1674"/>
      <c r="Y11" s="1675"/>
      <c r="Z11" s="1643"/>
      <c r="AA11" s="1643"/>
      <c r="AB11" s="1643"/>
      <c r="AC11" s="1643"/>
      <c r="AD11" s="1643"/>
      <c r="AE11" s="1643"/>
      <c r="AF11" s="1643"/>
      <c r="AG11" s="1643"/>
      <c r="AH11" s="1643"/>
      <c r="AI11" s="1643"/>
      <c r="AJ11" s="1643"/>
      <c r="AK11" s="1643"/>
      <c r="AL11" s="1643"/>
      <c r="AM11" s="1643"/>
    </row>
    <row r="12" spans="1:39" ht="16.5" x14ac:dyDescent="0.3">
      <c r="A12" s="1643"/>
      <c r="B12" s="1643"/>
      <c r="C12" s="1643"/>
      <c r="D12" s="1643"/>
      <c r="E12" s="1643"/>
      <c r="F12" s="1643"/>
      <c r="G12" s="1643"/>
      <c r="H12" s="1643"/>
      <c r="I12" s="1643"/>
      <c r="J12" s="1643"/>
      <c r="K12" s="1643"/>
      <c r="L12" s="1643"/>
      <c r="M12" s="1643"/>
      <c r="N12" s="1643"/>
      <c r="O12" s="1643"/>
      <c r="P12" s="1643"/>
      <c r="Q12" s="1643"/>
      <c r="R12" s="1643"/>
      <c r="S12" s="1643"/>
      <c r="T12" s="1643"/>
      <c r="U12" s="1643"/>
      <c r="V12" s="1643"/>
      <c r="W12" s="1643"/>
      <c r="X12" s="1643"/>
      <c r="Y12" s="1643"/>
      <c r="Z12" s="1643"/>
      <c r="AA12" s="1643"/>
      <c r="AB12" s="1643"/>
      <c r="AC12" s="1643"/>
      <c r="AD12" s="1643"/>
      <c r="AE12" s="1643"/>
      <c r="AF12" s="1643"/>
      <c r="AG12" s="1643"/>
      <c r="AH12" s="1643"/>
      <c r="AI12" s="1643"/>
      <c r="AJ12" s="1643"/>
      <c r="AK12" s="1643"/>
      <c r="AL12" s="1643"/>
      <c r="AM12" s="1643"/>
    </row>
    <row r="13" spans="1:39" ht="16.5" x14ac:dyDescent="0.3">
      <c r="A13" s="1643"/>
      <c r="B13" s="1676" t="s">
        <v>1403</v>
      </c>
      <c r="C13" s="1677"/>
      <c r="D13" s="1677"/>
      <c r="E13" s="1677"/>
      <c r="F13" s="1677"/>
      <c r="G13" s="1677"/>
      <c r="H13" s="1677"/>
      <c r="I13" s="1677"/>
      <c r="J13" s="1651"/>
      <c r="K13" s="1651"/>
      <c r="L13" s="1651"/>
      <c r="M13" s="1651"/>
      <c r="N13" s="1651"/>
      <c r="O13" s="1651"/>
      <c r="P13" s="1651"/>
      <c r="Q13" s="1651"/>
      <c r="R13" s="1651"/>
      <c r="S13" s="1651"/>
      <c r="T13" s="1651"/>
      <c r="U13" s="1651"/>
      <c r="V13" s="1651"/>
      <c r="W13" s="1651"/>
      <c r="X13" s="1651"/>
      <c r="Y13" s="1651"/>
      <c r="Z13" s="1651"/>
      <c r="AA13" s="1651"/>
      <c r="AB13" s="1651"/>
      <c r="AC13" s="1651"/>
      <c r="AD13" s="1651"/>
      <c r="AE13" s="1651"/>
      <c r="AF13" s="1651"/>
      <c r="AG13" s="1651"/>
      <c r="AH13" s="1651"/>
      <c r="AI13" s="1651"/>
      <c r="AJ13" s="1651"/>
      <c r="AK13" s="1651"/>
      <c r="AL13" s="1651"/>
      <c r="AM13" s="1652"/>
    </row>
    <row r="14" spans="1:39" ht="90" customHeight="1" x14ac:dyDescent="0.35">
      <c r="A14" s="1643"/>
      <c r="B14" s="1654" t="s">
        <v>835</v>
      </c>
      <c r="C14" s="1655" t="s">
        <v>1140</v>
      </c>
      <c r="D14" s="1657"/>
      <c r="E14" s="1655" t="s">
        <v>1404</v>
      </c>
      <c r="F14" s="1656"/>
      <c r="G14" s="1655" t="s">
        <v>1407</v>
      </c>
      <c r="H14" s="1656"/>
      <c r="I14" s="1655" t="s">
        <v>1408</v>
      </c>
      <c r="J14" s="1656"/>
      <c r="K14" s="1655" t="s">
        <v>1379</v>
      </c>
      <c r="L14" s="1655"/>
      <c r="M14" s="1655" t="s">
        <v>1409</v>
      </c>
      <c r="N14" s="1655"/>
      <c r="O14" s="1655" t="s">
        <v>1410</v>
      </c>
      <c r="P14" s="1657"/>
      <c r="Q14" s="1655" t="s">
        <v>1411</v>
      </c>
      <c r="R14" s="1655"/>
      <c r="S14" s="1655" t="s">
        <v>1412</v>
      </c>
      <c r="T14" s="1655"/>
      <c r="U14" s="1655" t="s">
        <v>1413</v>
      </c>
      <c r="V14" s="1656"/>
      <c r="W14" s="1655" t="s">
        <v>1414</v>
      </c>
      <c r="X14" s="1656"/>
      <c r="Y14" s="1655" t="s">
        <v>1415</v>
      </c>
      <c r="Z14" s="1656"/>
      <c r="AA14" s="1655" t="s">
        <v>1416</v>
      </c>
      <c r="AB14" s="1656"/>
      <c r="AC14" s="1655" t="s">
        <v>1384</v>
      </c>
      <c r="AD14" s="1655"/>
      <c r="AE14" s="1655" t="s">
        <v>1417</v>
      </c>
      <c r="AF14" s="1656"/>
      <c r="AG14" s="1655" t="s">
        <v>1418</v>
      </c>
      <c r="AH14" s="1655"/>
      <c r="AI14" s="1655" t="s">
        <v>1419</v>
      </c>
      <c r="AJ14" s="1655"/>
      <c r="AK14" s="1655" t="s">
        <v>1420</v>
      </c>
      <c r="AL14" s="1657"/>
      <c r="AM14" s="1658" t="s">
        <v>1421</v>
      </c>
    </row>
    <row r="15" spans="1:39" ht="16.5" x14ac:dyDescent="0.3">
      <c r="A15" s="1643"/>
      <c r="B15" s="1695"/>
      <c r="C15" s="1696"/>
      <c r="D15" s="1696"/>
      <c r="E15" s="1697"/>
      <c r="F15" s="1698"/>
      <c r="G15" s="1697"/>
      <c r="H15" s="1698"/>
      <c r="I15" s="1698"/>
      <c r="J15" s="1698"/>
      <c r="K15" s="1698"/>
      <c r="L15" s="1698"/>
      <c r="M15" s="1698"/>
      <c r="N15" s="1698"/>
      <c r="O15" s="1698"/>
      <c r="P15" s="1698"/>
      <c r="Q15" s="1698"/>
      <c r="R15" s="1698"/>
      <c r="S15" s="1698"/>
      <c r="T15" s="1698"/>
      <c r="U15" s="1697"/>
      <c r="V15" s="1698"/>
      <c r="W15" s="1698"/>
      <c r="X15" s="1698"/>
      <c r="Y15" s="1698"/>
      <c r="Z15" s="1698"/>
      <c r="AA15" s="1698"/>
      <c r="AB15" s="1698"/>
      <c r="AC15" s="1698" t="s">
        <v>1422</v>
      </c>
      <c r="AD15" s="1696"/>
      <c r="AE15" s="1696"/>
      <c r="AF15" s="1696"/>
      <c r="AG15" s="1698"/>
      <c r="AH15" s="1698"/>
      <c r="AI15" s="1698"/>
      <c r="AJ15" s="1698"/>
      <c r="AK15" s="1698"/>
      <c r="AL15" s="1696"/>
      <c r="AM15" s="1699"/>
    </row>
    <row r="16" spans="1:39" ht="16.5" x14ac:dyDescent="0.3">
      <c r="A16" s="1660"/>
      <c r="B16" s="1661">
        <v>2011</v>
      </c>
      <c r="C16" s="1662">
        <v>5828289</v>
      </c>
      <c r="D16" s="1663" t="s">
        <v>904</v>
      </c>
      <c r="E16" s="1667">
        <v>42.6</v>
      </c>
      <c r="F16" s="1663" t="s">
        <v>904</v>
      </c>
      <c r="G16" s="1682">
        <v>0.16</v>
      </c>
      <c r="H16" s="1663" t="s">
        <v>904</v>
      </c>
      <c r="I16" s="1689">
        <v>1.75</v>
      </c>
      <c r="J16" s="1663" t="s">
        <v>904</v>
      </c>
      <c r="K16" s="1666">
        <v>1E-3</v>
      </c>
      <c r="L16" s="1663" t="s">
        <v>889</v>
      </c>
      <c r="M16" s="1662">
        <f>C16*E16*G16*I16*K16</f>
        <v>69519.831191999998</v>
      </c>
      <c r="N16" s="1700" t="s">
        <v>887</v>
      </c>
      <c r="O16" s="1662">
        <v>11.265631541818182</v>
      </c>
      <c r="P16" s="1663" t="s">
        <v>889</v>
      </c>
      <c r="Q16" s="1662">
        <f>M16-O16</f>
        <v>69508.565560458184</v>
      </c>
      <c r="R16" s="1662" t="s">
        <v>904</v>
      </c>
      <c r="S16" s="1682">
        <v>0</v>
      </c>
      <c r="T16" s="1663" t="s">
        <v>904</v>
      </c>
      <c r="U16" s="1689">
        <v>5.0000000000000001E-3</v>
      </c>
      <c r="V16" s="1663" t="s">
        <v>904</v>
      </c>
      <c r="W16" s="1693">
        <f>44/28</f>
        <v>1.5714285714285714</v>
      </c>
      <c r="X16" s="1663" t="s">
        <v>889</v>
      </c>
      <c r="Y16" s="1667">
        <f>Q16*(1-S16)*U16*W16</f>
        <v>546.1387294036</v>
      </c>
      <c r="Z16" s="1663" t="s">
        <v>904</v>
      </c>
      <c r="AA16" s="1662">
        <f>$AD$7</f>
        <v>273</v>
      </c>
      <c r="AB16" s="1663" t="s">
        <v>904</v>
      </c>
      <c r="AC16" s="1669">
        <f>1/1000000</f>
        <v>9.9999999999999995E-7</v>
      </c>
      <c r="AD16" s="1663" t="s">
        <v>904</v>
      </c>
      <c r="AE16" s="1667">
        <f>12/44</f>
        <v>0.27272727272727271</v>
      </c>
      <c r="AF16" s="1663" t="s">
        <v>889</v>
      </c>
      <c r="AG16" s="1693">
        <f>Y16*AA$16*AC$16*AE$16</f>
        <v>4.0662510852868025E-2</v>
      </c>
      <c r="AH16" s="1708" t="s">
        <v>885</v>
      </c>
      <c r="AI16" s="1693">
        <f>(0.00149671961912727)*(AD7/310)</f>
        <v>1.3180788903927247E-3</v>
      </c>
      <c r="AJ16" s="1708" t="s">
        <v>889</v>
      </c>
      <c r="AK16" s="1693">
        <f>AG16+AI16</f>
        <v>4.198058974326075E-2</v>
      </c>
      <c r="AL16" s="1708" t="s">
        <v>889</v>
      </c>
      <c r="AM16" s="1711">
        <f>AK16/AE16</f>
        <v>0.15392882905862276</v>
      </c>
    </row>
    <row r="17" spans="1:39" ht="16.5" x14ac:dyDescent="0.3">
      <c r="A17" s="1660"/>
      <c r="B17" s="1712"/>
      <c r="C17" s="1713"/>
      <c r="D17" s="1714"/>
      <c r="E17" s="1715"/>
      <c r="F17" s="1714"/>
      <c r="G17" s="1716"/>
      <c r="H17" s="1714"/>
      <c r="I17" s="1717"/>
      <c r="J17" s="1714"/>
      <c r="K17" s="1718"/>
      <c r="L17" s="1714"/>
      <c r="M17" s="1713"/>
      <c r="N17" s="1719"/>
      <c r="O17" s="1713"/>
      <c r="P17" s="1714"/>
      <c r="Q17" s="1713"/>
      <c r="R17" s="1713"/>
      <c r="S17" s="1716"/>
      <c r="T17" s="1714"/>
      <c r="U17" s="1717"/>
      <c r="V17" s="1714"/>
      <c r="W17" s="1720"/>
      <c r="X17" s="1714"/>
      <c r="Y17" s="1715"/>
      <c r="Z17" s="1714"/>
      <c r="AA17" s="1713"/>
      <c r="AB17" s="1714"/>
      <c r="AC17" s="1721"/>
      <c r="AD17" s="1714"/>
      <c r="AE17" s="1715"/>
      <c r="AF17" s="1714"/>
      <c r="AG17" s="1720"/>
      <c r="AH17" s="1722"/>
      <c r="AI17" s="1720"/>
      <c r="AJ17" s="1722"/>
      <c r="AK17" s="1720"/>
      <c r="AL17" s="1722"/>
      <c r="AM17" s="1724"/>
    </row>
    <row r="18" spans="1:39" ht="16.5" x14ac:dyDescent="0.3">
      <c r="A18" s="1643"/>
      <c r="B18" s="1643"/>
      <c r="C18" s="1643"/>
      <c r="D18" s="1643"/>
      <c r="E18" s="1643"/>
      <c r="F18" s="1643"/>
      <c r="G18" s="1643"/>
      <c r="H18" s="1643"/>
      <c r="I18" s="1643"/>
      <c r="J18" s="1643"/>
      <c r="K18" s="1643"/>
      <c r="L18" s="1643"/>
      <c r="M18" s="1643"/>
      <c r="N18" s="1643"/>
      <c r="O18" s="1643"/>
      <c r="P18" s="1643"/>
      <c r="Q18" s="1643"/>
      <c r="R18" s="1643"/>
      <c r="S18" s="1643"/>
      <c r="T18" s="1643"/>
      <c r="U18" s="1643"/>
      <c r="V18" s="1643"/>
      <c r="W18" s="1643"/>
      <c r="X18" s="1643"/>
      <c r="Y18" s="1643"/>
      <c r="Z18" s="1643"/>
      <c r="AA18" s="1643"/>
      <c r="AB18" s="1643"/>
      <c r="AC18" s="1643"/>
      <c r="AD18" s="1643"/>
      <c r="AE18" s="1643"/>
      <c r="AF18" s="1643"/>
      <c r="AG18" s="1643"/>
      <c r="AH18" s="1643"/>
      <c r="AI18" s="1643"/>
      <c r="AJ18" s="1643"/>
      <c r="AK18" s="1643"/>
      <c r="AL18" s="1643"/>
      <c r="AM18" s="1643"/>
    </row>
    <row r="19" spans="1:39" ht="19.5" customHeight="1" x14ac:dyDescent="0.3">
      <c r="A19" s="1643"/>
      <c r="B19" s="1676" t="s">
        <v>1430</v>
      </c>
      <c r="C19" s="1677"/>
      <c r="D19" s="1677"/>
      <c r="E19" s="1677"/>
      <c r="F19" s="1677"/>
      <c r="G19" s="1677"/>
      <c r="H19" s="1651"/>
      <c r="I19" s="1651"/>
      <c r="J19" s="1651"/>
      <c r="K19" s="1651"/>
      <c r="L19" s="1651"/>
      <c r="M19" s="1651"/>
      <c r="N19" s="1651"/>
      <c r="O19" s="1651"/>
      <c r="P19" s="1651"/>
      <c r="Q19" s="1651"/>
      <c r="R19" s="1651"/>
      <c r="S19" s="1651"/>
      <c r="T19" s="1651"/>
      <c r="U19" s="1651"/>
      <c r="V19" s="1651"/>
      <c r="W19" s="1651"/>
      <c r="X19" s="1651"/>
      <c r="Y19" s="1651"/>
      <c r="Z19" s="1651"/>
      <c r="AA19" s="1652"/>
      <c r="AB19" s="1643"/>
      <c r="AC19" s="1643"/>
      <c r="AD19" s="1643"/>
      <c r="AE19" s="1643"/>
      <c r="AF19" s="1643"/>
      <c r="AG19" s="1643"/>
      <c r="AH19" s="1643"/>
      <c r="AI19" s="1643"/>
      <c r="AJ19" s="1643"/>
      <c r="AK19" s="1643"/>
      <c r="AL19" s="1643"/>
      <c r="AM19" s="1643"/>
    </row>
    <row r="20" spans="1:39" ht="45" customHeight="1" x14ac:dyDescent="0.35">
      <c r="A20" s="1643"/>
      <c r="B20" s="1654" t="s">
        <v>835</v>
      </c>
      <c r="C20" s="1655" t="s">
        <v>1432</v>
      </c>
      <c r="D20" s="1655"/>
      <c r="E20" s="1655" t="s">
        <v>1433</v>
      </c>
      <c r="F20" s="1656"/>
      <c r="G20" s="1655" t="s">
        <v>1434</v>
      </c>
      <c r="H20" s="1656"/>
      <c r="I20" s="1655" t="s">
        <v>1435</v>
      </c>
      <c r="J20" s="1656"/>
      <c r="K20" s="1655" t="s">
        <v>738</v>
      </c>
      <c r="L20" s="1656"/>
      <c r="M20" s="1655" t="s">
        <v>1436</v>
      </c>
      <c r="N20" s="1656"/>
      <c r="O20" s="1655" t="s">
        <v>686</v>
      </c>
      <c r="P20" s="1656"/>
      <c r="Q20" s="1655" t="s">
        <v>1434</v>
      </c>
      <c r="R20" s="1656"/>
      <c r="S20" s="1655" t="s">
        <v>686</v>
      </c>
      <c r="T20" s="1656"/>
      <c r="U20" s="1655" t="s">
        <v>1437</v>
      </c>
      <c r="V20" s="1655"/>
      <c r="W20" s="1655" t="s">
        <v>1438</v>
      </c>
      <c r="X20" s="1656"/>
      <c r="Y20" s="1655" t="s">
        <v>686</v>
      </c>
      <c r="Z20" s="1657"/>
      <c r="AA20" s="1658" t="s">
        <v>686</v>
      </c>
      <c r="AB20" s="1643"/>
      <c r="AC20" s="1643"/>
      <c r="AD20" s="1643"/>
      <c r="AE20" s="1643"/>
      <c r="AF20" s="1643"/>
      <c r="AG20" s="1643"/>
      <c r="AH20" s="1643"/>
      <c r="AI20" s="1643"/>
      <c r="AJ20" s="1643"/>
      <c r="AK20" s="1643"/>
      <c r="AL20" s="1643"/>
      <c r="AM20" s="1643"/>
    </row>
    <row r="21" spans="1:39" ht="15.75" customHeight="1" x14ac:dyDescent="0.35">
      <c r="A21" s="1643"/>
      <c r="B21" s="1695"/>
      <c r="C21" s="1696" t="s">
        <v>185</v>
      </c>
      <c r="D21" s="1657"/>
      <c r="E21" s="1696" t="s">
        <v>1440</v>
      </c>
      <c r="F21" s="1696"/>
      <c r="G21" s="1696" t="s">
        <v>1441</v>
      </c>
      <c r="H21" s="1696"/>
      <c r="I21" s="1696" t="s">
        <v>1442</v>
      </c>
      <c r="J21" s="1696"/>
      <c r="K21" s="1696" t="s">
        <v>1443</v>
      </c>
      <c r="L21" s="1696"/>
      <c r="M21" s="1696" t="s">
        <v>1444</v>
      </c>
      <c r="N21" s="1696"/>
      <c r="O21" s="1696" t="s">
        <v>1445</v>
      </c>
      <c r="P21" s="1696"/>
      <c r="Q21" s="1696" t="s">
        <v>1446</v>
      </c>
      <c r="R21" s="1696"/>
      <c r="S21" s="1696" t="s">
        <v>1447</v>
      </c>
      <c r="T21" s="1696"/>
      <c r="U21" s="1696" t="s">
        <v>1448</v>
      </c>
      <c r="V21" s="1696"/>
      <c r="W21" s="1696"/>
      <c r="X21" s="1696"/>
      <c r="Y21" s="1696" t="s">
        <v>1008</v>
      </c>
      <c r="Z21" s="1657"/>
      <c r="AA21" s="1734" t="s">
        <v>1449</v>
      </c>
      <c r="AB21" s="1643"/>
      <c r="AC21" s="1643"/>
      <c r="AD21" s="1643"/>
      <c r="AE21" s="1643"/>
      <c r="AF21" s="1643"/>
      <c r="AG21" s="1643"/>
      <c r="AH21" s="1643"/>
      <c r="AI21" s="1643"/>
      <c r="AJ21" s="1643"/>
      <c r="AK21" s="1643"/>
      <c r="AL21" s="1643"/>
      <c r="AM21" s="1643"/>
    </row>
    <row r="22" spans="1:39" ht="15.75" customHeight="1" x14ac:dyDescent="0.3">
      <c r="A22" s="1660"/>
      <c r="B22" s="1661">
        <v>2011</v>
      </c>
      <c r="C22" s="1667">
        <v>8618.4</v>
      </c>
      <c r="D22" s="1663" t="s">
        <v>904</v>
      </c>
      <c r="E22" s="1665">
        <v>7.9</v>
      </c>
      <c r="F22" s="1663" t="s">
        <v>904</v>
      </c>
      <c r="G22" s="1662">
        <v>1000</v>
      </c>
      <c r="H22" s="1663" t="s">
        <v>904</v>
      </c>
      <c r="I22" s="1737">
        <v>4.0999999999999996</v>
      </c>
      <c r="J22" s="1663" t="s">
        <v>904</v>
      </c>
      <c r="K22" s="1667">
        <v>0.25</v>
      </c>
      <c r="L22" s="1663" t="s">
        <v>904</v>
      </c>
      <c r="M22" s="1682">
        <v>0.33</v>
      </c>
      <c r="N22" s="1663" t="s">
        <v>889</v>
      </c>
      <c r="O22" s="1740">
        <f>C22*$E$22*$I$22*$M$22*$K$22*$G$22</f>
        <v>23029873.02</v>
      </c>
      <c r="P22" s="1663" t="s">
        <v>904</v>
      </c>
      <c r="Q22" s="1742">
        <v>9.9999999999999998E-13</v>
      </c>
      <c r="R22" s="1663" t="s">
        <v>889</v>
      </c>
      <c r="S22" s="1667">
        <f>O22*Q22</f>
        <v>2.302987302E-5</v>
      </c>
      <c r="T22" s="1663" t="s">
        <v>904</v>
      </c>
      <c r="U22" s="1662">
        <f>$AD$6</f>
        <v>27.9</v>
      </c>
      <c r="V22" s="1663" t="s">
        <v>904</v>
      </c>
      <c r="W22" s="1667">
        <f>12/44</f>
        <v>0.27272727272727271</v>
      </c>
      <c r="X22" s="1663" t="s">
        <v>889</v>
      </c>
      <c r="Y22" s="1693">
        <f>S22*U$22*W$22</f>
        <v>1.7523639743399996E-4</v>
      </c>
      <c r="Z22" s="1663" t="s">
        <v>889</v>
      </c>
      <c r="AA22" s="1750">
        <f>Y22*(44/12)</f>
        <v>6.4253345725799984E-4</v>
      </c>
      <c r="AB22" s="1643"/>
      <c r="AC22" s="1643"/>
      <c r="AD22" s="1643"/>
      <c r="AE22" s="1643"/>
      <c r="AF22" s="1643"/>
      <c r="AG22" s="1643"/>
      <c r="AH22" s="1643"/>
      <c r="AI22" s="1643"/>
      <c r="AJ22" s="1643"/>
      <c r="AK22" s="1643"/>
      <c r="AL22" s="1643"/>
      <c r="AM22" s="1643"/>
    </row>
    <row r="23" spans="1:39" ht="15.75" customHeight="1" x14ac:dyDescent="0.3">
      <c r="A23" s="1643"/>
      <c r="B23" s="1673"/>
      <c r="C23" s="1674"/>
      <c r="D23" s="1674"/>
      <c r="E23" s="1674"/>
      <c r="F23" s="1674"/>
      <c r="G23" s="1674"/>
      <c r="H23" s="1674"/>
      <c r="I23" s="1674"/>
      <c r="J23" s="1674"/>
      <c r="K23" s="1674"/>
      <c r="L23" s="1674"/>
      <c r="M23" s="1674"/>
      <c r="N23" s="1674"/>
      <c r="O23" s="1674"/>
      <c r="P23" s="1674"/>
      <c r="Q23" s="1674"/>
      <c r="R23" s="1674"/>
      <c r="S23" s="1674"/>
      <c r="T23" s="1674"/>
      <c r="U23" s="1674"/>
      <c r="V23" s="1674"/>
      <c r="W23" s="1674"/>
      <c r="X23" s="1674"/>
      <c r="Y23" s="1674"/>
      <c r="Z23" s="1674"/>
      <c r="AA23" s="1675"/>
      <c r="AB23" s="1643"/>
      <c r="AC23" s="1643"/>
      <c r="AD23" s="1643"/>
      <c r="AE23" s="1643"/>
      <c r="AF23" s="1643"/>
      <c r="AG23" s="1643"/>
      <c r="AH23" s="1643"/>
      <c r="AI23" s="1643"/>
      <c r="AJ23" s="1643"/>
      <c r="AK23" s="1643"/>
      <c r="AL23" s="1643"/>
      <c r="AM23" s="1643"/>
    </row>
    <row r="24" spans="1:39" ht="15.75" customHeight="1" x14ac:dyDescent="0.3">
      <c r="A24" s="1643"/>
      <c r="B24" s="1643"/>
      <c r="C24" s="1643"/>
      <c r="D24" s="1643"/>
      <c r="E24" s="1643"/>
      <c r="F24" s="1643"/>
      <c r="G24" s="1643"/>
      <c r="H24" s="1643"/>
      <c r="I24" s="1643"/>
      <c r="J24" s="1643"/>
      <c r="K24" s="1643"/>
      <c r="L24" s="1643"/>
      <c r="M24" s="1643"/>
      <c r="N24" s="1643"/>
      <c r="O24" s="1643"/>
      <c r="P24" s="1643"/>
      <c r="Q24" s="1643"/>
      <c r="R24" s="1643"/>
      <c r="S24" s="1643"/>
      <c r="T24" s="1643"/>
      <c r="U24" s="1643"/>
      <c r="V24" s="1643"/>
      <c r="W24" s="1643"/>
      <c r="X24" s="1643"/>
      <c r="Y24" s="1643"/>
      <c r="Z24" s="1643"/>
      <c r="AA24" s="1643"/>
      <c r="AB24" s="1643"/>
      <c r="AC24" s="1643"/>
      <c r="AD24" s="1643"/>
      <c r="AE24" s="1643"/>
      <c r="AF24" s="1643"/>
      <c r="AG24" s="1643"/>
      <c r="AH24" s="1643"/>
      <c r="AI24" s="1643"/>
      <c r="AJ24" s="1643"/>
      <c r="AK24" s="1643"/>
      <c r="AL24" s="1643"/>
      <c r="AM24" s="1643"/>
    </row>
    <row r="25" spans="1:39" ht="15.75" customHeight="1" x14ac:dyDescent="0.3">
      <c r="A25" s="1643"/>
      <c r="B25" s="1643"/>
      <c r="C25" s="1643"/>
      <c r="D25" s="1643"/>
      <c r="E25" s="1643"/>
      <c r="F25" s="1643"/>
      <c r="G25" s="1643"/>
      <c r="H25" s="1643"/>
      <c r="I25" s="1643"/>
      <c r="J25" s="1643"/>
      <c r="K25" s="1643"/>
      <c r="L25" s="1643"/>
      <c r="M25" s="1643"/>
      <c r="N25" s="1643"/>
      <c r="O25" s="1643"/>
      <c r="P25" s="1643"/>
      <c r="Q25" s="1643"/>
      <c r="R25" s="1643"/>
      <c r="S25" s="1643"/>
      <c r="T25" s="1643"/>
      <c r="U25" s="1643"/>
      <c r="V25" s="1643"/>
      <c r="W25" s="1643"/>
      <c r="X25" s="1643"/>
      <c r="Y25" s="1643"/>
      <c r="Z25" s="1643"/>
      <c r="AA25" s="1643"/>
      <c r="AB25" s="1643"/>
      <c r="AC25" s="1643"/>
      <c r="AD25" s="1643"/>
      <c r="AE25" s="1643"/>
      <c r="AF25" s="1643"/>
      <c r="AG25" s="1643"/>
      <c r="AH25" s="1643"/>
      <c r="AI25" s="1643"/>
      <c r="AJ25" s="1643"/>
      <c r="AK25" s="1643"/>
      <c r="AL25" s="1643"/>
      <c r="AM25" s="1643"/>
    </row>
    <row r="26" spans="1:39" ht="15.75" customHeight="1" x14ac:dyDescent="0.35">
      <c r="A26" s="1643"/>
      <c r="B26" s="1754" t="s">
        <v>1471</v>
      </c>
      <c r="C26" s="1755"/>
      <c r="D26" s="1755"/>
      <c r="E26" s="1755"/>
      <c r="F26" s="1755"/>
      <c r="G26" s="1755"/>
      <c r="H26" s="1755"/>
      <c r="I26" s="1755"/>
      <c r="J26" s="1755"/>
      <c r="K26" s="1755"/>
      <c r="L26" s="1755"/>
      <c r="M26" s="1755"/>
      <c r="N26" s="1755"/>
      <c r="O26" s="1755"/>
      <c r="P26" s="1755"/>
      <c r="Q26" s="1755"/>
      <c r="R26" s="1755"/>
      <c r="S26" s="1755"/>
      <c r="T26" s="1755"/>
      <c r="U26" s="1755"/>
      <c r="V26" s="1755"/>
      <c r="W26" s="1755"/>
      <c r="X26" s="1755"/>
      <c r="Y26" s="1755"/>
      <c r="Z26" s="1755"/>
      <c r="AA26" s="1757"/>
      <c r="AB26" s="1643"/>
      <c r="AC26" s="1643"/>
      <c r="AD26" s="1643"/>
      <c r="AE26" s="1643"/>
      <c r="AF26" s="1643"/>
      <c r="AG26" s="1643"/>
      <c r="AH26" s="1643"/>
      <c r="AI26" s="1643"/>
      <c r="AJ26" s="1643"/>
      <c r="AK26" s="1643"/>
      <c r="AL26" s="1643"/>
      <c r="AM26" s="1643"/>
    </row>
    <row r="27" spans="1:39" ht="27.75" customHeight="1" x14ac:dyDescent="0.35">
      <c r="A27" s="1643"/>
      <c r="B27" s="1758" t="s">
        <v>835</v>
      </c>
      <c r="C27" s="1760" t="s">
        <v>1432</v>
      </c>
      <c r="D27" s="1761"/>
      <c r="E27" s="1760" t="s">
        <v>1433</v>
      </c>
      <c r="F27" s="1761"/>
      <c r="G27" s="1760" t="s">
        <v>1434</v>
      </c>
      <c r="H27" s="1761"/>
      <c r="I27" s="1760" t="s">
        <v>1435</v>
      </c>
      <c r="J27" s="1761"/>
      <c r="K27" s="1760" t="s">
        <v>738</v>
      </c>
      <c r="L27" s="1761"/>
      <c r="M27" s="1760" t="s">
        <v>1436</v>
      </c>
      <c r="N27" s="1761"/>
      <c r="O27" s="1760" t="s">
        <v>686</v>
      </c>
      <c r="P27" s="1761"/>
      <c r="Q27" s="1760" t="s">
        <v>1434</v>
      </c>
      <c r="R27" s="1761"/>
      <c r="S27" s="1760" t="s">
        <v>686</v>
      </c>
      <c r="T27" s="1761"/>
      <c r="U27" s="1760" t="s">
        <v>1472</v>
      </c>
      <c r="V27" s="1761"/>
      <c r="W27" s="1760" t="s">
        <v>1473</v>
      </c>
      <c r="X27" s="1761"/>
      <c r="Y27" s="1760" t="s">
        <v>686</v>
      </c>
      <c r="Z27" s="1761"/>
      <c r="AA27" s="1763" t="s">
        <v>686</v>
      </c>
      <c r="AB27" s="1643"/>
      <c r="AC27" s="1643"/>
      <c r="AD27" s="1643"/>
      <c r="AE27" s="1643"/>
      <c r="AF27" s="1643"/>
      <c r="AG27" s="1643"/>
      <c r="AH27" s="1643"/>
      <c r="AI27" s="1643"/>
      <c r="AJ27" s="1643"/>
      <c r="AK27" s="1643"/>
      <c r="AL27" s="1643"/>
      <c r="AM27" s="1643"/>
    </row>
    <row r="28" spans="1:39" ht="15.75" customHeight="1" x14ac:dyDescent="0.35">
      <c r="A28" s="1643"/>
      <c r="B28" s="1695"/>
      <c r="C28" s="1696" t="s">
        <v>185</v>
      </c>
      <c r="D28" s="1657"/>
      <c r="E28" s="1696" t="s">
        <v>1478</v>
      </c>
      <c r="F28" s="1657"/>
      <c r="G28" s="1696" t="s">
        <v>1479</v>
      </c>
      <c r="H28" s="1657"/>
      <c r="I28" s="1696" t="s">
        <v>1442</v>
      </c>
      <c r="J28" s="1657"/>
      <c r="K28" s="1696" t="s">
        <v>1480</v>
      </c>
      <c r="L28" s="1657"/>
      <c r="M28" s="1696" t="s">
        <v>1444</v>
      </c>
      <c r="N28" s="1657"/>
      <c r="O28" s="1696" t="s">
        <v>1481</v>
      </c>
      <c r="P28" s="1657"/>
      <c r="Q28" s="1696" t="s">
        <v>1446</v>
      </c>
      <c r="R28" s="1657"/>
      <c r="S28" s="1696" t="s">
        <v>1482</v>
      </c>
      <c r="T28" s="1657"/>
      <c r="U28" s="1696" t="s">
        <v>1483</v>
      </c>
      <c r="V28" s="1657"/>
      <c r="W28" s="1657"/>
      <c r="X28" s="1657"/>
      <c r="Y28" s="1696" t="s">
        <v>1008</v>
      </c>
      <c r="Z28" s="1657"/>
      <c r="AA28" s="1734" t="s">
        <v>1484</v>
      </c>
      <c r="AB28" s="1643"/>
      <c r="AC28" s="1643"/>
      <c r="AD28" s="1643"/>
      <c r="AE28" s="1643"/>
      <c r="AF28" s="1643"/>
      <c r="AG28" s="1643"/>
      <c r="AH28" s="1643"/>
      <c r="AI28" s="1643"/>
      <c r="AJ28" s="1643"/>
      <c r="AK28" s="1643"/>
      <c r="AL28" s="1643"/>
      <c r="AM28" s="1643"/>
    </row>
    <row r="29" spans="1:39" ht="15.75" customHeight="1" x14ac:dyDescent="0.3">
      <c r="A29" s="1643"/>
      <c r="B29" s="1661">
        <v>2011</v>
      </c>
      <c r="C29" s="1767">
        <f>359264</f>
        <v>359264</v>
      </c>
      <c r="D29" s="1663" t="s">
        <v>904</v>
      </c>
      <c r="E29" s="1769">
        <v>12.5</v>
      </c>
      <c r="F29" s="1663" t="s">
        <v>904</v>
      </c>
      <c r="G29" s="1767">
        <v>1000</v>
      </c>
      <c r="H29" s="1663" t="s">
        <v>904</v>
      </c>
      <c r="I29" s="1771">
        <v>4.0999999999999996</v>
      </c>
      <c r="J29" s="1663" t="s">
        <v>904</v>
      </c>
      <c r="K29" s="1772">
        <v>0.25</v>
      </c>
      <c r="L29" s="1663" t="s">
        <v>904</v>
      </c>
      <c r="M29" s="1773">
        <v>0.25</v>
      </c>
      <c r="N29" s="1663" t="s">
        <v>889</v>
      </c>
      <c r="O29" s="1767">
        <f>C29*$E$29*$I$29*$M$29*$K$29*$G$29</f>
        <v>1150767500</v>
      </c>
      <c r="P29" s="1663" t="s">
        <v>904</v>
      </c>
      <c r="Q29" s="1774">
        <v>9.9999999999999998E-13</v>
      </c>
      <c r="R29" s="1775" t="s">
        <v>889</v>
      </c>
      <c r="S29" s="1772">
        <f>O29*Q29</f>
        <v>1.1507675E-3</v>
      </c>
      <c r="T29" s="1663" t="s">
        <v>904</v>
      </c>
      <c r="U29" s="1662">
        <f>$AD$6</f>
        <v>27.9</v>
      </c>
      <c r="V29" s="1663" t="s">
        <v>904</v>
      </c>
      <c r="W29" s="1772">
        <f>12/44</f>
        <v>0.27272727272727271</v>
      </c>
      <c r="X29" s="1775" t="s">
        <v>889</v>
      </c>
      <c r="Y29" s="1708">
        <f>S29*U$29*W$29</f>
        <v>8.7562945227272725E-3</v>
      </c>
      <c r="Z29" s="1775" t="s">
        <v>889</v>
      </c>
      <c r="AA29" s="1776">
        <f>Y29*44/12</f>
        <v>3.210641325E-2</v>
      </c>
      <c r="AB29" s="1643"/>
      <c r="AC29" s="1643"/>
      <c r="AD29" s="1643"/>
      <c r="AE29" s="1643"/>
      <c r="AF29" s="1643"/>
      <c r="AG29" s="1643"/>
      <c r="AH29" s="1643"/>
      <c r="AI29" s="1643"/>
      <c r="AJ29" s="1643"/>
      <c r="AK29" s="1643"/>
      <c r="AL29" s="1643"/>
      <c r="AM29" s="1643"/>
    </row>
    <row r="30" spans="1:39" ht="15.75" customHeight="1" x14ac:dyDescent="0.3">
      <c r="A30" s="1643"/>
      <c r="B30" s="1673"/>
      <c r="C30" s="1674"/>
      <c r="D30" s="1674"/>
      <c r="E30" s="1674"/>
      <c r="F30" s="1674"/>
      <c r="G30" s="1674"/>
      <c r="H30" s="1674"/>
      <c r="I30" s="1674"/>
      <c r="J30" s="1674"/>
      <c r="K30" s="1674"/>
      <c r="L30" s="1674"/>
      <c r="M30" s="1674"/>
      <c r="N30" s="1674"/>
      <c r="O30" s="1674"/>
      <c r="P30" s="1674"/>
      <c r="Q30" s="1674"/>
      <c r="R30" s="1674"/>
      <c r="S30" s="1674"/>
      <c r="T30" s="1674"/>
      <c r="U30" s="1674"/>
      <c r="V30" s="1674"/>
      <c r="W30" s="1674"/>
      <c r="X30" s="1674"/>
      <c r="Y30" s="1674"/>
      <c r="Z30" s="1674"/>
      <c r="AA30" s="1675"/>
      <c r="AB30" s="1643"/>
      <c r="AC30" s="1643"/>
      <c r="AD30" s="1643"/>
      <c r="AE30" s="1643"/>
      <c r="AF30" s="1643"/>
      <c r="AG30" s="1643"/>
      <c r="AH30" s="1643"/>
      <c r="AI30" s="1643"/>
      <c r="AJ30" s="1643"/>
      <c r="AK30" s="1643"/>
      <c r="AL30" s="1643"/>
      <c r="AM30" s="1643"/>
    </row>
    <row r="31" spans="1:39" ht="15.75" customHeight="1" x14ac:dyDescent="0.3">
      <c r="A31" s="1643"/>
      <c r="B31" s="1643"/>
      <c r="C31" s="1643"/>
      <c r="D31" s="1643"/>
      <c r="E31" s="1643"/>
      <c r="F31" s="1643"/>
      <c r="G31" s="1643"/>
      <c r="H31" s="1643"/>
      <c r="I31" s="1643"/>
      <c r="J31" s="1643"/>
      <c r="K31" s="1643"/>
      <c r="L31" s="1643"/>
      <c r="M31" s="1643"/>
      <c r="N31" s="1643"/>
      <c r="O31" s="1643"/>
      <c r="P31" s="1643"/>
      <c r="Q31" s="1643"/>
      <c r="R31" s="1643"/>
      <c r="S31" s="1643"/>
      <c r="T31" s="1643"/>
      <c r="U31" s="1643"/>
      <c r="V31" s="1643"/>
      <c r="W31" s="1643"/>
      <c r="X31" s="1643"/>
      <c r="Y31" s="1643"/>
      <c r="Z31" s="1643"/>
      <c r="AA31" s="1643"/>
      <c r="AB31" s="1643"/>
      <c r="AC31" s="1643"/>
      <c r="AD31" s="1643"/>
      <c r="AE31" s="1643"/>
      <c r="AF31" s="1643"/>
      <c r="AG31" s="1643"/>
      <c r="AH31" s="1643"/>
      <c r="AI31" s="1643"/>
      <c r="AJ31" s="1643"/>
      <c r="AK31" s="1643"/>
      <c r="AL31" s="1643"/>
      <c r="AM31" s="1643"/>
    </row>
    <row r="32" spans="1:39" ht="15.75" customHeight="1" x14ac:dyDescent="0.3">
      <c r="A32" s="1643"/>
      <c r="B32" s="1643"/>
      <c r="C32" s="1643"/>
      <c r="D32" s="1643"/>
      <c r="E32" s="1643"/>
      <c r="F32" s="1643"/>
      <c r="G32" s="1643"/>
      <c r="H32" s="1643"/>
      <c r="I32" s="1643"/>
      <c r="J32" s="1643"/>
      <c r="K32" s="1643"/>
      <c r="L32" s="1643"/>
      <c r="M32" s="1643"/>
      <c r="N32" s="1643"/>
      <c r="O32" s="1643"/>
      <c r="P32" s="1643"/>
      <c r="Q32" s="1643"/>
      <c r="R32" s="1643"/>
      <c r="S32" s="1643"/>
      <c r="T32" s="1643"/>
      <c r="U32" s="1643"/>
      <c r="V32" s="1643"/>
      <c r="W32" s="1643"/>
      <c r="X32" s="1643"/>
      <c r="Y32" s="1643"/>
      <c r="Z32" s="1643"/>
      <c r="AA32" s="1643"/>
      <c r="AB32" s="1643"/>
      <c r="AC32" s="1643"/>
      <c r="AD32" s="1643"/>
      <c r="AE32" s="1643"/>
      <c r="AF32" s="1643"/>
      <c r="AG32" s="1643"/>
      <c r="AH32" s="1643"/>
      <c r="AI32" s="1643"/>
      <c r="AJ32" s="1643"/>
      <c r="AK32" s="1643"/>
      <c r="AL32" s="1643"/>
      <c r="AM32" s="1643"/>
    </row>
    <row r="33" spans="1:39" ht="15.75" customHeight="1" x14ac:dyDescent="0.35">
      <c r="A33" s="1643"/>
      <c r="B33" s="1778" t="s">
        <v>1498</v>
      </c>
      <c r="C33" s="1779"/>
      <c r="D33" s="1779"/>
      <c r="E33" s="1779"/>
      <c r="F33" s="1779"/>
      <c r="G33" s="1779"/>
      <c r="H33" s="1779"/>
      <c r="I33" s="1779"/>
      <c r="J33" s="1779"/>
      <c r="K33" s="1779"/>
      <c r="L33" s="1779"/>
      <c r="M33" s="1779"/>
      <c r="N33" s="1779"/>
      <c r="O33" s="1779"/>
      <c r="P33" s="1779"/>
      <c r="Q33" s="1779"/>
      <c r="R33" s="1779"/>
      <c r="S33" s="1779"/>
      <c r="T33" s="1779"/>
      <c r="U33" s="1779"/>
      <c r="V33" s="1779"/>
      <c r="W33" s="1779"/>
      <c r="X33" s="1779"/>
      <c r="Y33" s="1779"/>
      <c r="Z33" s="1779"/>
      <c r="AA33" s="1779"/>
      <c r="AB33" s="1779"/>
      <c r="AC33" s="1780"/>
      <c r="AD33" s="1643"/>
      <c r="AE33" s="1643"/>
      <c r="AF33" s="1643"/>
      <c r="AG33" s="1643"/>
      <c r="AH33" s="1643"/>
      <c r="AI33" s="1643"/>
      <c r="AJ33" s="1643"/>
      <c r="AK33" s="1643"/>
      <c r="AL33" s="1643"/>
      <c r="AM33" s="1643"/>
    </row>
    <row r="34" spans="1:39" ht="26.25" customHeight="1" x14ac:dyDescent="0.35">
      <c r="A34" s="1643"/>
      <c r="B34" s="1758" t="s">
        <v>835</v>
      </c>
      <c r="C34" s="2381" t="s">
        <v>1432</v>
      </c>
      <c r="D34" s="2382"/>
      <c r="E34" s="2383"/>
      <c r="F34" s="1643"/>
      <c r="G34" s="1760" t="s">
        <v>1433</v>
      </c>
      <c r="H34" s="1761"/>
      <c r="I34" s="1760" t="s">
        <v>1434</v>
      </c>
      <c r="J34" s="1761"/>
      <c r="K34" s="1760" t="s">
        <v>1502</v>
      </c>
      <c r="L34" s="1761"/>
      <c r="M34" s="1760" t="s">
        <v>738</v>
      </c>
      <c r="N34" s="1761"/>
      <c r="O34" s="1760" t="s">
        <v>1503</v>
      </c>
      <c r="P34" s="1761"/>
      <c r="Q34" s="1760" t="s">
        <v>686</v>
      </c>
      <c r="R34" s="1761"/>
      <c r="S34" s="1760" t="s">
        <v>1434</v>
      </c>
      <c r="T34" s="1761"/>
      <c r="U34" s="1760" t="s">
        <v>686</v>
      </c>
      <c r="V34" s="1761"/>
      <c r="W34" s="1760" t="s">
        <v>1504</v>
      </c>
      <c r="X34" s="1761"/>
      <c r="Y34" s="1760" t="s">
        <v>1505</v>
      </c>
      <c r="Z34" s="1761"/>
      <c r="AA34" s="1760" t="s">
        <v>686</v>
      </c>
      <c r="AB34" s="1761"/>
      <c r="AC34" s="1763" t="s">
        <v>686</v>
      </c>
      <c r="AD34" s="1643"/>
      <c r="AE34" s="1643"/>
      <c r="AF34" s="1643"/>
      <c r="AG34" s="1643"/>
      <c r="AH34" s="1643"/>
      <c r="AI34" s="1643"/>
      <c r="AJ34" s="1643"/>
      <c r="AK34" s="1643"/>
      <c r="AL34" s="1643"/>
      <c r="AM34" s="1643"/>
    </row>
    <row r="35" spans="1:39" ht="30.75" customHeight="1" x14ac:dyDescent="0.3">
      <c r="A35" s="1643"/>
      <c r="B35" s="1781"/>
      <c r="C35" s="1782" t="s">
        <v>1506</v>
      </c>
      <c r="D35" s="1783"/>
      <c r="E35" s="1782" t="s">
        <v>1509</v>
      </c>
      <c r="F35" s="1657"/>
      <c r="G35" s="1643"/>
      <c r="H35" s="1783"/>
      <c r="I35" s="1783"/>
      <c r="J35" s="1783"/>
      <c r="K35" s="1783"/>
      <c r="L35" s="1783"/>
      <c r="M35" s="1783"/>
      <c r="N35" s="1783"/>
      <c r="O35" s="1783"/>
      <c r="P35" s="1783"/>
      <c r="Q35" s="1783"/>
      <c r="R35" s="1783"/>
      <c r="S35" s="1783"/>
      <c r="T35" s="1783"/>
      <c r="U35" s="1783"/>
      <c r="V35" s="1783"/>
      <c r="W35" s="1783"/>
      <c r="X35" s="1783"/>
      <c r="Y35" s="1783"/>
      <c r="Z35" s="1783"/>
      <c r="AA35" s="1783"/>
      <c r="AB35" s="1783"/>
      <c r="AC35" s="1784"/>
      <c r="AD35" s="1643"/>
      <c r="AE35" s="1643"/>
      <c r="AF35" s="1643"/>
      <c r="AG35" s="1643"/>
      <c r="AH35" s="1643"/>
      <c r="AI35" s="1643"/>
      <c r="AJ35" s="1643"/>
      <c r="AK35" s="1643"/>
      <c r="AL35" s="1643"/>
      <c r="AM35" s="1643"/>
    </row>
    <row r="36" spans="1:39" ht="15.75" customHeight="1" x14ac:dyDescent="0.35">
      <c r="A36" s="1643"/>
      <c r="B36" s="1695"/>
      <c r="C36" s="1785" t="s">
        <v>185</v>
      </c>
      <c r="D36" s="1786" t="s">
        <v>885</v>
      </c>
      <c r="E36" s="1785" t="s">
        <v>185</v>
      </c>
      <c r="F36" s="1657"/>
      <c r="G36" s="1696" t="s">
        <v>1510</v>
      </c>
      <c r="H36" s="1657"/>
      <c r="I36" s="1696" t="s">
        <v>1511</v>
      </c>
      <c r="J36" s="1657"/>
      <c r="K36" s="1696" t="s">
        <v>1512</v>
      </c>
      <c r="L36" s="1657"/>
      <c r="M36" s="1696" t="s">
        <v>1513</v>
      </c>
      <c r="N36" s="1657"/>
      <c r="O36" s="1696" t="s">
        <v>1444</v>
      </c>
      <c r="P36" s="1657"/>
      <c r="Q36" s="1696" t="s">
        <v>1514</v>
      </c>
      <c r="R36" s="1657"/>
      <c r="S36" s="1696" t="s">
        <v>1446</v>
      </c>
      <c r="T36" s="1657"/>
      <c r="U36" s="1696" t="s">
        <v>1515</v>
      </c>
      <c r="V36" s="1657"/>
      <c r="W36" s="1696" t="s">
        <v>1518</v>
      </c>
      <c r="X36" s="1657"/>
      <c r="Y36" s="1657"/>
      <c r="Z36" s="1657"/>
      <c r="AA36" s="1696" t="s">
        <v>1008</v>
      </c>
      <c r="AB36" s="1657"/>
      <c r="AC36" s="1734" t="s">
        <v>1519</v>
      </c>
      <c r="AD36" s="1643"/>
      <c r="AE36" s="1643"/>
      <c r="AF36" s="1643"/>
      <c r="AG36" s="1643"/>
      <c r="AH36" s="1643"/>
      <c r="AI36" s="1643"/>
      <c r="AJ36" s="1643"/>
      <c r="AK36" s="1643"/>
      <c r="AL36" s="1643"/>
      <c r="AM36" s="1643"/>
    </row>
    <row r="37" spans="1:39" ht="15.75" customHeight="1" x14ac:dyDescent="0.3">
      <c r="A37" s="1643"/>
      <c r="B37" s="1787">
        <v>2011</v>
      </c>
      <c r="C37" s="1788">
        <f>78702</f>
        <v>78702</v>
      </c>
      <c r="D37" s="1657"/>
      <c r="E37" s="1789">
        <f>238307</f>
        <v>238307</v>
      </c>
      <c r="F37" s="1657"/>
      <c r="G37" s="1769">
        <v>39</v>
      </c>
      <c r="H37" s="1663" t="s">
        <v>904</v>
      </c>
      <c r="I37" s="1767">
        <v>1000</v>
      </c>
      <c r="J37" s="1663" t="s">
        <v>904</v>
      </c>
      <c r="K37" s="1771">
        <v>0.3</v>
      </c>
      <c r="L37" s="1663" t="s">
        <v>904</v>
      </c>
      <c r="M37" s="1772">
        <v>0.6</v>
      </c>
      <c r="N37" s="1663" t="s">
        <v>904</v>
      </c>
      <c r="O37" s="1790">
        <v>5.1999999999999998E-2</v>
      </c>
      <c r="P37" s="1663" t="s">
        <v>889</v>
      </c>
      <c r="Q37" s="1788">
        <f>(C37+E37)*$G$37*$I$37*$K$37*$M$37*$O$37</f>
        <v>115720965.36</v>
      </c>
      <c r="R37" s="1663" t="s">
        <v>904</v>
      </c>
      <c r="S37" s="1774">
        <v>9.9999999999999998E-13</v>
      </c>
      <c r="T37" s="1775" t="s">
        <v>889</v>
      </c>
      <c r="U37" s="1791">
        <f>Q37*S37</f>
        <v>1.1572096536E-4</v>
      </c>
      <c r="V37" s="1663" t="s">
        <v>904</v>
      </c>
      <c r="W37" s="1662">
        <f>$AD$6</f>
        <v>27.9</v>
      </c>
      <c r="X37" s="1663" t="s">
        <v>904</v>
      </c>
      <c r="Y37" s="1772">
        <f>12/44</f>
        <v>0.27272727272727271</v>
      </c>
      <c r="Z37" s="1775" t="s">
        <v>889</v>
      </c>
      <c r="AA37" s="1708">
        <f>U37*U$37*W$37</f>
        <v>3.7361843688542389E-7</v>
      </c>
      <c r="AB37" s="1775" t="s">
        <v>889</v>
      </c>
      <c r="AC37" s="1776">
        <f>AA37*(44/12)</f>
        <v>1.3699342685798874E-6</v>
      </c>
      <c r="AD37" s="1643"/>
      <c r="AE37" s="1643"/>
      <c r="AF37" s="1643"/>
      <c r="AG37" s="1643"/>
      <c r="AH37" s="1643"/>
      <c r="AI37" s="1643"/>
      <c r="AJ37" s="1643"/>
      <c r="AK37" s="1643"/>
      <c r="AL37" s="1643"/>
      <c r="AM37" s="1643"/>
    </row>
    <row r="38" spans="1:39" ht="15.75" customHeight="1" x14ac:dyDescent="0.3">
      <c r="A38" s="1643"/>
      <c r="B38" s="1673"/>
      <c r="C38" s="1674"/>
      <c r="D38" s="1674"/>
      <c r="E38" s="1674"/>
      <c r="F38" s="1674"/>
      <c r="G38" s="1674"/>
      <c r="H38" s="1674"/>
      <c r="I38" s="1674"/>
      <c r="J38" s="1674"/>
      <c r="K38" s="1674"/>
      <c r="L38" s="1674"/>
      <c r="M38" s="1674"/>
      <c r="N38" s="1674"/>
      <c r="O38" s="1674"/>
      <c r="P38" s="1674"/>
      <c r="Q38" s="1674"/>
      <c r="R38" s="1674"/>
      <c r="S38" s="1674"/>
      <c r="T38" s="1674"/>
      <c r="U38" s="1674"/>
      <c r="V38" s="1674"/>
      <c r="W38" s="1674"/>
      <c r="X38" s="1674"/>
      <c r="Y38" s="1674"/>
      <c r="Z38" s="1674"/>
      <c r="AA38" s="1792"/>
      <c r="AB38" s="1674"/>
      <c r="AC38" s="1793"/>
      <c r="AD38" s="1643"/>
      <c r="AE38" s="1643"/>
      <c r="AF38" s="1643"/>
      <c r="AG38" s="1643"/>
      <c r="AH38" s="1643"/>
      <c r="AI38" s="1643"/>
      <c r="AJ38" s="1643"/>
      <c r="AK38" s="1643"/>
      <c r="AL38" s="1643"/>
      <c r="AM38" s="1643"/>
    </row>
    <row r="39" spans="1:39" ht="15.75" customHeight="1" x14ac:dyDescent="0.3">
      <c r="A39" s="1643"/>
      <c r="B39" s="1643"/>
      <c r="C39" s="1643"/>
      <c r="D39" s="1643"/>
      <c r="E39" s="1643"/>
      <c r="F39" s="1643"/>
      <c r="G39" s="1643"/>
      <c r="H39" s="1643"/>
      <c r="I39" s="1643"/>
      <c r="J39" s="1643"/>
      <c r="K39" s="1643"/>
      <c r="L39" s="1643"/>
      <c r="M39" s="1643"/>
      <c r="N39" s="1643"/>
      <c r="O39" s="1643"/>
      <c r="P39" s="1643"/>
      <c r="Q39" s="1643"/>
      <c r="R39" s="1643"/>
      <c r="S39" s="1643"/>
      <c r="T39" s="1643"/>
      <c r="U39" s="1643"/>
      <c r="V39" s="1643"/>
      <c r="W39" s="1643"/>
      <c r="X39" s="1643"/>
      <c r="Y39" s="1643"/>
      <c r="Z39" s="1643"/>
      <c r="AA39" s="1643"/>
      <c r="AB39" s="1643"/>
      <c r="AC39" s="1643"/>
      <c r="AD39" s="1643"/>
      <c r="AE39" s="1643"/>
      <c r="AF39" s="1643"/>
      <c r="AG39" s="1643"/>
      <c r="AH39" s="1643"/>
      <c r="AI39" s="1643"/>
      <c r="AJ39" s="1643"/>
      <c r="AK39" s="1643"/>
      <c r="AL39" s="1643"/>
      <c r="AM39" s="1643"/>
    </row>
    <row r="40" spans="1:39" ht="15.75" customHeight="1" x14ac:dyDescent="0.3">
      <c r="A40" s="1643"/>
      <c r="B40" s="1643"/>
      <c r="C40" s="1643"/>
      <c r="D40" s="1643"/>
      <c r="E40" s="1643"/>
      <c r="F40" s="1643"/>
      <c r="G40" s="1643"/>
      <c r="H40" s="1643"/>
      <c r="I40" s="1643"/>
      <c r="J40" s="1643"/>
      <c r="K40" s="1643"/>
      <c r="L40" s="1643"/>
      <c r="M40" s="1643"/>
      <c r="N40" s="1643"/>
      <c r="O40" s="1643"/>
      <c r="P40" s="1643"/>
      <c r="Q40" s="1643"/>
      <c r="R40" s="1643"/>
      <c r="S40" s="1643"/>
      <c r="T40" s="1643"/>
      <c r="U40" s="1643"/>
      <c r="V40" s="1643"/>
      <c r="W40" s="1643"/>
      <c r="X40" s="1643"/>
      <c r="Y40" s="1643"/>
      <c r="Z40" s="1643"/>
      <c r="AA40" s="1643"/>
      <c r="AB40" s="1643"/>
      <c r="AC40" s="1643"/>
      <c r="AD40" s="1643"/>
      <c r="AE40" s="1643"/>
      <c r="AF40" s="1643"/>
      <c r="AG40" s="1643"/>
      <c r="AH40" s="1643"/>
      <c r="AI40" s="1643"/>
      <c r="AJ40" s="1643"/>
      <c r="AK40" s="1643"/>
      <c r="AL40" s="1643"/>
      <c r="AM40" s="1643"/>
    </row>
    <row r="41" spans="1:39" ht="15.75" customHeight="1" x14ac:dyDescent="0.35">
      <c r="A41" s="1643"/>
      <c r="B41" s="1754" t="s">
        <v>1527</v>
      </c>
      <c r="C41" s="1755"/>
      <c r="D41" s="1755"/>
      <c r="E41" s="1755"/>
      <c r="F41" s="1755"/>
      <c r="G41" s="1755"/>
      <c r="H41" s="1755"/>
      <c r="I41" s="1755"/>
      <c r="J41" s="1755"/>
      <c r="K41" s="1755"/>
      <c r="L41" s="1755"/>
      <c r="M41" s="1755"/>
      <c r="N41" s="1755"/>
      <c r="O41" s="1755"/>
      <c r="P41" s="1755"/>
      <c r="Q41" s="1755"/>
      <c r="R41" s="1755"/>
      <c r="S41" s="1755"/>
      <c r="T41" s="1755"/>
      <c r="U41" s="1755"/>
      <c r="V41" s="1755"/>
      <c r="W41" s="1755"/>
      <c r="X41" s="1755"/>
      <c r="Y41" s="1755"/>
      <c r="Z41" s="1755"/>
      <c r="AA41" s="1757"/>
      <c r="AB41" s="1643"/>
      <c r="AC41" s="1643"/>
      <c r="AD41" s="1643"/>
      <c r="AE41" s="1643"/>
      <c r="AF41" s="1643"/>
      <c r="AG41" s="1643"/>
      <c r="AH41" s="1643"/>
      <c r="AI41" s="1643"/>
      <c r="AJ41" s="1643"/>
      <c r="AK41" s="1643"/>
      <c r="AL41" s="1643"/>
      <c r="AM41" s="1643"/>
    </row>
    <row r="42" spans="1:39" ht="30" customHeight="1" x14ac:dyDescent="0.35">
      <c r="A42" s="1643"/>
      <c r="B42" s="1758" t="s">
        <v>835</v>
      </c>
      <c r="C42" s="1760" t="s">
        <v>1432</v>
      </c>
      <c r="D42" s="1761"/>
      <c r="E42" s="1760" t="s">
        <v>1433</v>
      </c>
      <c r="F42" s="1761"/>
      <c r="G42" s="1760" t="s">
        <v>1434</v>
      </c>
      <c r="H42" s="1761"/>
      <c r="I42" s="1760" t="s">
        <v>1435</v>
      </c>
      <c r="J42" s="1761"/>
      <c r="K42" s="1760" t="s">
        <v>738</v>
      </c>
      <c r="L42" s="1761"/>
      <c r="M42" s="1760" t="s">
        <v>1436</v>
      </c>
      <c r="N42" s="1761"/>
      <c r="O42" s="1760" t="s">
        <v>686</v>
      </c>
      <c r="P42" s="1761"/>
      <c r="Q42" s="1760" t="s">
        <v>1434</v>
      </c>
      <c r="R42" s="1761"/>
      <c r="S42" s="1760" t="s">
        <v>686</v>
      </c>
      <c r="T42" s="1761"/>
      <c r="U42" s="1760" t="s">
        <v>1528</v>
      </c>
      <c r="V42" s="1761"/>
      <c r="W42" s="1760" t="s">
        <v>1529</v>
      </c>
      <c r="X42" s="1761"/>
      <c r="Y42" s="1760" t="s">
        <v>686</v>
      </c>
      <c r="Z42" s="1761"/>
      <c r="AA42" s="1763" t="s">
        <v>686</v>
      </c>
      <c r="AB42" s="1643"/>
      <c r="AC42" s="1643"/>
      <c r="AD42" s="1643"/>
      <c r="AE42" s="1643"/>
      <c r="AF42" s="1643"/>
      <c r="AG42" s="1643"/>
      <c r="AH42" s="1643"/>
      <c r="AI42" s="1643"/>
      <c r="AJ42" s="1643"/>
      <c r="AK42" s="1643"/>
      <c r="AL42" s="1643"/>
      <c r="AM42" s="1643"/>
    </row>
    <row r="43" spans="1:39" ht="19.5" customHeight="1" x14ac:dyDescent="0.35">
      <c r="A43" s="1643"/>
      <c r="B43" s="1695"/>
      <c r="C43" s="1696" t="s">
        <v>185</v>
      </c>
      <c r="D43" s="1657"/>
      <c r="E43" s="1696" t="s">
        <v>1530</v>
      </c>
      <c r="F43" s="1657"/>
      <c r="G43" s="1696" t="s">
        <v>1531</v>
      </c>
      <c r="H43" s="1657"/>
      <c r="I43" s="1696" t="s">
        <v>1442</v>
      </c>
      <c r="J43" s="1657"/>
      <c r="K43" s="1696" t="s">
        <v>1532</v>
      </c>
      <c r="L43" s="1657"/>
      <c r="M43" s="1696" t="s">
        <v>1444</v>
      </c>
      <c r="N43" s="1657"/>
      <c r="O43" s="1696" t="s">
        <v>1533</v>
      </c>
      <c r="P43" s="1657"/>
      <c r="Q43" s="1696" t="s">
        <v>1446</v>
      </c>
      <c r="R43" s="1657"/>
      <c r="S43" s="1696" t="s">
        <v>1534</v>
      </c>
      <c r="T43" s="1657"/>
      <c r="U43" s="1696" t="s">
        <v>1535</v>
      </c>
      <c r="V43" s="1657"/>
      <c r="W43" s="1657"/>
      <c r="X43" s="1657"/>
      <c r="Y43" s="1696" t="s">
        <v>1008</v>
      </c>
      <c r="Z43" s="1657"/>
      <c r="AA43" s="1734" t="s">
        <v>1536</v>
      </c>
      <c r="AB43" s="1643"/>
      <c r="AC43" s="1643"/>
      <c r="AD43" s="1643"/>
      <c r="AE43" s="1643"/>
      <c r="AF43" s="1643"/>
      <c r="AG43" s="1643"/>
      <c r="AH43" s="1643"/>
      <c r="AI43" s="1643"/>
      <c r="AJ43" s="1643"/>
      <c r="AK43" s="1643"/>
      <c r="AL43" s="1643"/>
      <c r="AM43" s="1643"/>
    </row>
    <row r="44" spans="1:39" ht="15.75" customHeight="1" x14ac:dyDescent="0.3">
      <c r="A44" s="1643"/>
      <c r="B44" s="1787">
        <v>2011</v>
      </c>
      <c r="C44" s="1794">
        <f>0</f>
        <v>0</v>
      </c>
      <c r="D44" s="1663" t="s">
        <v>904</v>
      </c>
      <c r="E44" s="1795">
        <v>9.11</v>
      </c>
      <c r="F44" s="1663" t="s">
        <v>904</v>
      </c>
      <c r="G44" s="1767">
        <v>1000</v>
      </c>
      <c r="H44" s="1663" t="s">
        <v>904</v>
      </c>
      <c r="I44" s="1771">
        <v>5</v>
      </c>
      <c r="J44" s="1663" t="s">
        <v>904</v>
      </c>
      <c r="K44" s="1772">
        <v>0.25</v>
      </c>
      <c r="L44" s="1663" t="s">
        <v>904</v>
      </c>
      <c r="M44" s="1773">
        <v>0.05</v>
      </c>
      <c r="N44" s="1663" t="s">
        <v>889</v>
      </c>
      <c r="O44" s="1794">
        <f>C44*$E$44*$I$44*$M$44*$K$44*$G$44</f>
        <v>0</v>
      </c>
      <c r="P44" s="1663" t="s">
        <v>904</v>
      </c>
      <c r="Q44" s="1774">
        <v>9.9999999999999998E-13</v>
      </c>
      <c r="R44" s="1775" t="s">
        <v>889</v>
      </c>
      <c r="S44" s="1794">
        <f>O44*Q44</f>
        <v>0</v>
      </c>
      <c r="T44" s="1663" t="s">
        <v>904</v>
      </c>
      <c r="U44" s="1662">
        <f>$AD$6</f>
        <v>27.9</v>
      </c>
      <c r="V44" s="1663" t="s">
        <v>904</v>
      </c>
      <c r="W44" s="1772">
        <f>12/44</f>
        <v>0.27272727272727271</v>
      </c>
      <c r="X44" s="1775" t="s">
        <v>889</v>
      </c>
      <c r="Y44" s="1708">
        <f>S44*U$44*W$44</f>
        <v>0</v>
      </c>
      <c r="Z44" s="1775" t="s">
        <v>889</v>
      </c>
      <c r="AA44" s="1776">
        <f>Y44*(44/12)</f>
        <v>0</v>
      </c>
      <c r="AB44" s="1643"/>
      <c r="AC44" s="1643"/>
      <c r="AD44" s="1643"/>
      <c r="AE44" s="1643"/>
      <c r="AF44" s="1643"/>
      <c r="AG44" s="1643"/>
      <c r="AH44" s="1643"/>
      <c r="AI44" s="1643"/>
      <c r="AJ44" s="1643"/>
      <c r="AK44" s="1643"/>
      <c r="AL44" s="1643"/>
      <c r="AM44" s="1643"/>
    </row>
    <row r="45" spans="1:39" ht="15.75" customHeight="1" x14ac:dyDescent="0.3">
      <c r="A45" s="1643"/>
      <c r="B45" s="1673"/>
      <c r="C45" s="1674"/>
      <c r="D45" s="1674"/>
      <c r="E45" s="1674"/>
      <c r="F45" s="1674"/>
      <c r="G45" s="1674"/>
      <c r="H45" s="1674"/>
      <c r="I45" s="1674"/>
      <c r="J45" s="1674"/>
      <c r="K45" s="1674"/>
      <c r="L45" s="1674"/>
      <c r="M45" s="1674"/>
      <c r="N45" s="1674"/>
      <c r="O45" s="1674"/>
      <c r="P45" s="1674"/>
      <c r="Q45" s="1674"/>
      <c r="R45" s="1674"/>
      <c r="S45" s="1674"/>
      <c r="T45" s="1674"/>
      <c r="U45" s="1674"/>
      <c r="V45" s="1674"/>
      <c r="W45" s="1674"/>
      <c r="X45" s="1674"/>
      <c r="Y45" s="1674"/>
      <c r="Z45" s="1674"/>
      <c r="AA45" s="1675"/>
      <c r="AB45" s="1643"/>
      <c r="AC45" s="1643"/>
      <c r="AD45" s="1643"/>
      <c r="AE45" s="1643"/>
      <c r="AF45" s="1643"/>
      <c r="AG45" s="1643"/>
      <c r="AH45" s="1643"/>
      <c r="AI45" s="1643"/>
      <c r="AJ45" s="1643"/>
      <c r="AK45" s="1643"/>
      <c r="AL45" s="1643"/>
      <c r="AM45" s="1643"/>
    </row>
    <row r="46" spans="1:39" ht="15.75" customHeight="1" x14ac:dyDescent="0.3">
      <c r="A46" s="1643"/>
      <c r="B46" s="1643"/>
      <c r="C46" s="1643"/>
      <c r="D46" s="1643"/>
      <c r="E46" s="1643"/>
      <c r="F46" s="1643"/>
      <c r="G46" s="1643"/>
      <c r="H46" s="1643"/>
      <c r="I46" s="1643"/>
      <c r="J46" s="1643"/>
      <c r="K46" s="1643"/>
      <c r="L46" s="1643"/>
      <c r="M46" s="1643"/>
      <c r="N46" s="1643"/>
      <c r="O46" s="1643"/>
      <c r="P46" s="1643"/>
      <c r="Q46" s="1643"/>
      <c r="R46" s="1643"/>
      <c r="S46" s="1643"/>
      <c r="T46" s="1643"/>
      <c r="U46" s="1643"/>
      <c r="V46" s="1643"/>
      <c r="W46" s="1643"/>
      <c r="X46" s="1643"/>
      <c r="Y46" s="1643"/>
      <c r="Z46" s="1643"/>
      <c r="AA46" s="1643"/>
      <c r="AB46" s="1643"/>
      <c r="AC46" s="1643"/>
      <c r="AD46" s="1643"/>
      <c r="AE46" s="1643"/>
      <c r="AF46" s="1643"/>
      <c r="AG46" s="1643"/>
      <c r="AH46" s="1643"/>
      <c r="AI46" s="1643"/>
      <c r="AJ46" s="1643"/>
      <c r="AK46" s="1643"/>
      <c r="AL46" s="1643"/>
      <c r="AM46" s="1643"/>
    </row>
    <row r="47" spans="1:39" ht="15.75" customHeight="1" x14ac:dyDescent="0.3">
      <c r="A47" s="1643"/>
      <c r="B47" s="1643"/>
      <c r="C47" s="1643"/>
      <c r="D47" s="1643"/>
      <c r="E47" s="1643"/>
      <c r="F47" s="1643"/>
      <c r="G47" s="1643"/>
      <c r="H47" s="1643"/>
      <c r="I47" s="1643"/>
      <c r="J47" s="1643"/>
      <c r="K47" s="1643"/>
      <c r="L47" s="1643"/>
      <c r="M47" s="1643"/>
      <c r="N47" s="1643"/>
      <c r="O47" s="1643"/>
      <c r="P47" s="1643"/>
      <c r="Q47" s="1643"/>
      <c r="R47" s="1643"/>
      <c r="S47" s="1643"/>
      <c r="T47" s="1643"/>
      <c r="U47" s="1643"/>
      <c r="V47" s="1643"/>
      <c r="W47" s="1643"/>
      <c r="X47" s="1643"/>
      <c r="Y47" s="1643"/>
      <c r="Z47" s="1643"/>
      <c r="AA47" s="1643"/>
      <c r="AB47" s="1643"/>
      <c r="AC47" s="1643"/>
      <c r="AD47" s="1643"/>
      <c r="AE47" s="1643"/>
      <c r="AF47" s="1643"/>
      <c r="AG47" s="1643"/>
      <c r="AH47" s="1643"/>
      <c r="AI47" s="1643"/>
      <c r="AJ47" s="1643"/>
      <c r="AK47" s="1643"/>
      <c r="AL47" s="1643"/>
      <c r="AM47" s="1643"/>
    </row>
    <row r="48" spans="1:39" ht="15.75" customHeight="1" x14ac:dyDescent="0.3">
      <c r="A48" s="1643"/>
      <c r="B48" s="1643"/>
      <c r="C48" s="1643"/>
      <c r="D48" s="1643"/>
      <c r="E48" s="1643"/>
      <c r="F48" s="1643"/>
      <c r="G48" s="1643"/>
      <c r="H48" s="1643"/>
      <c r="I48" s="1643"/>
      <c r="J48" s="1643"/>
      <c r="K48" s="1643"/>
      <c r="L48" s="1643"/>
      <c r="M48" s="1643"/>
      <c r="N48" s="1643"/>
      <c r="O48" s="1643"/>
      <c r="P48" s="1643"/>
      <c r="Q48" s="1643"/>
      <c r="R48" s="1643"/>
      <c r="S48" s="1643"/>
      <c r="T48" s="1643"/>
      <c r="U48" s="1643"/>
      <c r="V48" s="1643"/>
      <c r="W48" s="1643"/>
      <c r="X48" s="1643"/>
      <c r="Y48" s="1643"/>
      <c r="Z48" s="1643"/>
      <c r="AA48" s="1643"/>
      <c r="AB48" s="1643"/>
      <c r="AC48" s="1643"/>
      <c r="AD48" s="1643"/>
      <c r="AE48" s="1643"/>
      <c r="AF48" s="1643"/>
      <c r="AG48" s="1643"/>
      <c r="AH48" s="1643"/>
      <c r="AI48" s="1643"/>
      <c r="AJ48" s="1643"/>
      <c r="AK48" s="1643"/>
      <c r="AL48" s="1643"/>
      <c r="AM48" s="1643"/>
    </row>
    <row r="49" spans="1:39" ht="12.75" customHeight="1" x14ac:dyDescent="0.3">
      <c r="A49" s="1643"/>
      <c r="B49" s="2384" t="s">
        <v>1543</v>
      </c>
      <c r="C49" s="2317"/>
      <c r="D49" s="2317"/>
      <c r="E49" s="2317"/>
      <c r="F49" s="2317"/>
      <c r="G49" s="2317"/>
      <c r="H49" s="2317"/>
      <c r="I49" s="2317"/>
      <c r="J49" s="2317"/>
      <c r="K49" s="2317"/>
      <c r="L49" s="2317"/>
      <c r="M49" s="2317"/>
      <c r="N49" s="2317"/>
      <c r="O49" s="1643"/>
      <c r="P49" s="1643"/>
      <c r="Q49" s="1643"/>
      <c r="R49" s="1643"/>
      <c r="S49" s="1643"/>
      <c r="T49" s="1643"/>
      <c r="U49" s="1643"/>
      <c r="V49" s="1643"/>
      <c r="W49" s="1643"/>
      <c r="X49" s="1643"/>
      <c r="Y49" s="1643"/>
      <c r="Z49" s="1643"/>
      <c r="AA49" s="1643"/>
      <c r="AB49" s="1643"/>
      <c r="AC49" s="1643"/>
      <c r="AD49" s="1643"/>
      <c r="AE49" s="1643"/>
      <c r="AF49" s="1643"/>
      <c r="AG49" s="1643"/>
      <c r="AH49" s="1643"/>
      <c r="AI49" s="1643"/>
      <c r="AJ49" s="1643"/>
      <c r="AK49" s="1643"/>
      <c r="AL49" s="1643"/>
      <c r="AM49" s="1643"/>
    </row>
    <row r="50" spans="1:39" ht="15.75" customHeight="1" x14ac:dyDescent="0.3">
      <c r="A50" s="1643"/>
      <c r="B50" s="1643"/>
      <c r="C50" s="1643"/>
      <c r="D50" s="1643"/>
      <c r="E50" s="1643"/>
      <c r="F50" s="1643"/>
      <c r="G50" s="1643"/>
      <c r="H50" s="1643"/>
      <c r="I50" s="1643"/>
      <c r="J50" s="1643"/>
      <c r="K50" s="1643"/>
      <c r="L50" s="1643"/>
      <c r="M50" s="1643"/>
      <c r="N50" s="1643"/>
      <c r="O50" s="1643"/>
      <c r="P50" s="1643"/>
      <c r="Q50" s="1643"/>
      <c r="R50" s="1643"/>
      <c r="S50" s="1643"/>
      <c r="T50" s="1643"/>
      <c r="U50" s="1643"/>
      <c r="V50" s="1643"/>
      <c r="W50" s="1643"/>
      <c r="X50" s="1643"/>
      <c r="Y50" s="1643"/>
      <c r="Z50" s="1643"/>
      <c r="AA50" s="1643"/>
      <c r="AB50" s="1643"/>
      <c r="AC50" s="1643"/>
      <c r="AD50" s="1643"/>
      <c r="AE50" s="1643"/>
      <c r="AF50" s="1643"/>
      <c r="AG50" s="1643"/>
      <c r="AH50" s="1643"/>
      <c r="AI50" s="1643"/>
      <c r="AJ50" s="1643"/>
      <c r="AK50" s="1643"/>
      <c r="AL50" s="1643"/>
      <c r="AM50" s="1643"/>
    </row>
    <row r="51" spans="1:39" ht="15.75" customHeight="1" x14ac:dyDescent="0.35">
      <c r="A51" s="1643"/>
      <c r="B51" s="1798" t="s">
        <v>1548</v>
      </c>
      <c r="C51" s="1799">
        <v>2011</v>
      </c>
      <c r="D51" s="1643"/>
      <c r="E51" s="1643"/>
      <c r="F51" s="1643"/>
      <c r="G51" s="2385" t="s">
        <v>1</v>
      </c>
      <c r="H51" s="2304"/>
      <c r="I51" s="1643"/>
      <c r="J51" s="1643"/>
      <c r="K51" s="1643"/>
      <c r="L51" s="1643"/>
      <c r="M51" s="1643"/>
      <c r="N51" s="1643"/>
      <c r="O51" s="1643"/>
      <c r="P51" s="1643"/>
      <c r="Q51" s="1643"/>
      <c r="R51" s="1643"/>
      <c r="S51" s="1643"/>
      <c r="T51" s="1643"/>
      <c r="U51" s="1643"/>
      <c r="V51" s="1643"/>
      <c r="W51" s="1643"/>
      <c r="X51" s="1643"/>
      <c r="Y51" s="1643"/>
      <c r="Z51" s="1643"/>
      <c r="AA51" s="1643"/>
      <c r="AB51" s="1643"/>
      <c r="AC51" s="1643"/>
      <c r="AD51" s="1643"/>
      <c r="AE51" s="1643"/>
      <c r="AF51" s="1643"/>
      <c r="AG51" s="1643"/>
      <c r="AH51" s="1643"/>
      <c r="AI51" s="1643"/>
      <c r="AJ51" s="1643"/>
      <c r="AK51" s="1643"/>
      <c r="AL51" s="1643"/>
      <c r="AM51" s="1643"/>
    </row>
    <row r="52" spans="1:39" ht="18" customHeight="1" x14ac:dyDescent="0.35">
      <c r="A52" s="1643"/>
      <c r="B52" s="1781" t="s">
        <v>1550</v>
      </c>
      <c r="C52" s="1800">
        <f>Y5</f>
        <v>0.52081714355141229</v>
      </c>
      <c r="D52" s="1801"/>
      <c r="E52" s="1643"/>
      <c r="F52" s="1643"/>
      <c r="G52" s="1659"/>
      <c r="H52" s="1659"/>
      <c r="I52" s="1643"/>
      <c r="J52" s="1643"/>
      <c r="K52" s="1643"/>
      <c r="L52" s="1643"/>
      <c r="M52" s="1643"/>
      <c r="N52" s="1643"/>
      <c r="O52" s="1643"/>
      <c r="P52" s="1643"/>
      <c r="Q52" s="1643"/>
      <c r="R52" s="1643"/>
      <c r="S52" s="1643"/>
      <c r="T52" s="1643"/>
      <c r="U52" s="1643"/>
      <c r="V52" s="1643"/>
      <c r="W52" s="1643"/>
      <c r="X52" s="1643"/>
      <c r="Y52" s="1643"/>
      <c r="Z52" s="1643"/>
      <c r="AA52" s="1643"/>
      <c r="AB52" s="1643"/>
      <c r="AC52" s="1643"/>
      <c r="AD52" s="1643"/>
      <c r="AE52" s="1643"/>
      <c r="AF52" s="1643"/>
      <c r="AG52" s="1643"/>
      <c r="AH52" s="1643"/>
      <c r="AI52" s="1643"/>
      <c r="AJ52" s="1643"/>
      <c r="AK52" s="1643"/>
      <c r="AL52" s="1643"/>
      <c r="AM52" s="1643"/>
    </row>
    <row r="53" spans="1:39" ht="18" customHeight="1" x14ac:dyDescent="0.35">
      <c r="A53" s="1643"/>
      <c r="B53" s="1695" t="s">
        <v>1553</v>
      </c>
      <c r="C53" s="1803">
        <f>U10+AM16</f>
        <v>0.15909488688060236</v>
      </c>
      <c r="D53" s="1801"/>
      <c r="E53" s="1643"/>
      <c r="F53" s="1643"/>
      <c r="G53" s="1659" t="s">
        <v>188</v>
      </c>
      <c r="H53" s="1672">
        <f>Summary!$E5</f>
        <v>27.9</v>
      </c>
      <c r="I53" s="1643"/>
      <c r="J53" s="1643"/>
      <c r="K53" s="1643"/>
      <c r="L53" s="1643"/>
      <c r="M53" s="1643"/>
      <c r="N53" s="1643"/>
      <c r="O53" s="1643"/>
      <c r="P53" s="1643"/>
      <c r="Q53" s="1643"/>
      <c r="R53" s="1643"/>
      <c r="S53" s="1643"/>
      <c r="T53" s="1643"/>
      <c r="U53" s="1643"/>
      <c r="V53" s="1643"/>
      <c r="W53" s="1643"/>
      <c r="X53" s="1643"/>
      <c r="Y53" s="1643"/>
      <c r="Z53" s="1643"/>
      <c r="AA53" s="1643"/>
      <c r="AB53" s="1643"/>
      <c r="AC53" s="1643"/>
      <c r="AD53" s="1643"/>
      <c r="AE53" s="1643"/>
      <c r="AF53" s="1643"/>
      <c r="AG53" s="1643"/>
      <c r="AH53" s="1643"/>
      <c r="AI53" s="1643"/>
      <c r="AJ53" s="1643"/>
      <c r="AK53" s="1643"/>
      <c r="AL53" s="1643"/>
      <c r="AM53" s="1643"/>
    </row>
    <row r="54" spans="1:39" ht="18" customHeight="1" x14ac:dyDescent="0.35">
      <c r="A54" s="1643"/>
      <c r="B54" s="1809" t="s">
        <v>1556</v>
      </c>
      <c r="C54" s="1711">
        <f>SUM(C55:C58)</f>
        <v>3.2750316641526583E-2</v>
      </c>
      <c r="D54" s="1801"/>
      <c r="E54" s="1643"/>
      <c r="F54" s="1643"/>
      <c r="G54" s="1659" t="s">
        <v>192</v>
      </c>
      <c r="H54" s="1672">
        <f>Summary!$E6</f>
        <v>273</v>
      </c>
      <c r="I54" s="1643"/>
      <c r="J54" s="1643"/>
      <c r="K54" s="1643"/>
      <c r="L54" s="1643"/>
      <c r="M54" s="1643"/>
      <c r="N54" s="1643"/>
      <c r="O54" s="1643"/>
      <c r="P54" s="1643"/>
      <c r="Q54" s="1643"/>
      <c r="R54" s="1643"/>
      <c r="S54" s="1643"/>
      <c r="T54" s="1643"/>
      <c r="U54" s="1643"/>
      <c r="V54" s="1643"/>
      <c r="W54" s="1643"/>
      <c r="X54" s="1643"/>
      <c r="Y54" s="1643"/>
      <c r="Z54" s="1643"/>
      <c r="AA54" s="1643"/>
      <c r="AB54" s="1643"/>
      <c r="AC54" s="1643"/>
      <c r="AD54" s="1643"/>
      <c r="AE54" s="1643"/>
      <c r="AF54" s="1643"/>
      <c r="AG54" s="1643"/>
      <c r="AH54" s="1643"/>
      <c r="AI54" s="1643"/>
      <c r="AJ54" s="1643"/>
      <c r="AK54" s="1643"/>
      <c r="AL54" s="1643"/>
      <c r="AM54" s="1643"/>
    </row>
    <row r="55" spans="1:39" ht="15.75" customHeight="1" x14ac:dyDescent="0.3">
      <c r="A55" s="1643"/>
      <c r="B55" s="1814" t="s">
        <v>1557</v>
      </c>
      <c r="C55" s="1817">
        <f>AA44</f>
        <v>0</v>
      </c>
      <c r="D55" s="1801"/>
      <c r="E55" s="1643"/>
      <c r="F55" s="1643"/>
      <c r="G55" s="1659" t="s">
        <v>194</v>
      </c>
      <c r="H55" s="1672">
        <f>Summary!$E7</f>
        <v>24300</v>
      </c>
      <c r="I55" s="1643"/>
      <c r="J55" s="1643"/>
      <c r="K55" s="1643"/>
      <c r="L55" s="1643"/>
      <c r="M55" s="1643"/>
      <c r="N55" s="1643"/>
      <c r="O55" s="1643"/>
      <c r="P55" s="1643"/>
      <c r="Q55" s="1643"/>
      <c r="R55" s="1643"/>
      <c r="S55" s="1643"/>
      <c r="T55" s="1643"/>
      <c r="U55" s="1643"/>
      <c r="V55" s="1643"/>
      <c r="W55" s="1643"/>
      <c r="X55" s="1643"/>
      <c r="Y55" s="1643"/>
      <c r="Z55" s="1643"/>
      <c r="AA55" s="1643"/>
      <c r="AB55" s="1643"/>
      <c r="AC55" s="1643"/>
      <c r="AD55" s="1643"/>
      <c r="AE55" s="1643"/>
      <c r="AF55" s="1643"/>
      <c r="AG55" s="1643"/>
      <c r="AH55" s="1643"/>
      <c r="AI55" s="1643"/>
      <c r="AJ55" s="1643"/>
      <c r="AK55" s="1643"/>
      <c r="AL55" s="1643"/>
      <c r="AM55" s="1643"/>
    </row>
    <row r="56" spans="1:39" ht="15.75" customHeight="1" x14ac:dyDescent="0.3">
      <c r="A56" s="1643"/>
      <c r="B56" s="1814" t="s">
        <v>1558</v>
      </c>
      <c r="C56" s="1817">
        <f>AA22</f>
        <v>6.4253345725799984E-4</v>
      </c>
      <c r="D56" s="1801"/>
      <c r="E56" s="1643"/>
      <c r="F56" s="1643"/>
      <c r="G56" s="1659" t="s">
        <v>197</v>
      </c>
      <c r="H56" s="1672">
        <f>Summary!$E8</f>
        <v>0</v>
      </c>
      <c r="I56" s="1643"/>
      <c r="J56" s="1643"/>
      <c r="K56" s="1643"/>
      <c r="L56" s="1643"/>
      <c r="M56" s="1643"/>
      <c r="N56" s="1643"/>
      <c r="O56" s="1643"/>
      <c r="P56" s="1643"/>
      <c r="Q56" s="1643"/>
      <c r="R56" s="1643"/>
      <c r="S56" s="1643"/>
      <c r="T56" s="1643"/>
      <c r="U56" s="1643"/>
      <c r="V56" s="1643"/>
      <c r="W56" s="1643"/>
      <c r="X56" s="1643"/>
      <c r="Y56" s="1643"/>
      <c r="Z56" s="1643"/>
      <c r="AA56" s="1643"/>
      <c r="AB56" s="1643"/>
      <c r="AC56" s="1643"/>
      <c r="AD56" s="1643"/>
      <c r="AE56" s="1643"/>
      <c r="AF56" s="1643"/>
      <c r="AG56" s="1643"/>
      <c r="AH56" s="1643"/>
      <c r="AI56" s="1643"/>
      <c r="AJ56" s="1643"/>
      <c r="AK56" s="1643"/>
      <c r="AL56" s="1643"/>
      <c r="AM56" s="1643"/>
    </row>
    <row r="57" spans="1:39" ht="15.75" customHeight="1" x14ac:dyDescent="0.3">
      <c r="A57" s="1643"/>
      <c r="B57" s="1814" t="s">
        <v>1302</v>
      </c>
      <c r="C57" s="1817">
        <f>AA29</f>
        <v>3.210641325E-2</v>
      </c>
      <c r="D57" s="1801"/>
      <c r="E57" s="1643"/>
      <c r="F57" s="1643"/>
      <c r="G57" s="1659"/>
      <c r="H57" s="1823"/>
      <c r="I57" s="1643"/>
      <c r="J57" s="1643"/>
      <c r="K57" s="1643"/>
      <c r="L57" s="1643"/>
      <c r="M57" s="1643"/>
      <c r="N57" s="1643"/>
      <c r="O57" s="1643"/>
      <c r="P57" s="1643"/>
      <c r="Q57" s="1643"/>
      <c r="R57" s="1643"/>
      <c r="S57" s="1643"/>
      <c r="T57" s="1643"/>
      <c r="U57" s="1643"/>
      <c r="V57" s="1643"/>
      <c r="W57" s="1643"/>
      <c r="X57" s="1643"/>
      <c r="Y57" s="1643"/>
      <c r="Z57" s="1643"/>
      <c r="AA57" s="1643"/>
      <c r="AB57" s="1643"/>
      <c r="AC57" s="1643"/>
      <c r="AD57" s="1643"/>
      <c r="AE57" s="1643"/>
      <c r="AF57" s="1643"/>
      <c r="AG57" s="1643"/>
      <c r="AH57" s="1643"/>
      <c r="AI57" s="1643"/>
      <c r="AJ57" s="1643"/>
      <c r="AK57" s="1643"/>
      <c r="AL57" s="1643"/>
      <c r="AM57" s="1643"/>
    </row>
    <row r="58" spans="1:39" ht="15.75" customHeight="1" x14ac:dyDescent="0.3">
      <c r="A58" s="1643"/>
      <c r="B58" s="1825" t="s">
        <v>1560</v>
      </c>
      <c r="C58" s="1826">
        <f>AC37</f>
        <v>1.3699342685798874E-6</v>
      </c>
      <c r="D58" s="1801"/>
      <c r="E58" s="1643"/>
      <c r="F58" s="1643"/>
      <c r="G58" s="1643"/>
      <c r="H58" s="1643"/>
      <c r="I58" s="1643"/>
      <c r="J58" s="1643"/>
      <c r="K58" s="1643"/>
      <c r="L58" s="1643"/>
      <c r="M58" s="1643"/>
      <c r="N58" s="1643"/>
      <c r="O58" s="1643"/>
      <c r="P58" s="1643"/>
      <c r="Q58" s="1643"/>
      <c r="R58" s="1643"/>
      <c r="S58" s="1643"/>
      <c r="T58" s="1643"/>
      <c r="U58" s="1643"/>
      <c r="V58" s="1643"/>
      <c r="W58" s="1643"/>
      <c r="X58" s="1643"/>
      <c r="Y58" s="1643"/>
      <c r="Z58" s="1643"/>
      <c r="AA58" s="1643"/>
      <c r="AB58" s="1643"/>
      <c r="AC58" s="1643"/>
      <c r="AD58" s="1643"/>
      <c r="AE58" s="1643"/>
      <c r="AF58" s="1643"/>
      <c r="AG58" s="1643"/>
      <c r="AH58" s="1643"/>
      <c r="AI58" s="1643"/>
      <c r="AJ58" s="1643"/>
      <c r="AK58" s="1643"/>
      <c r="AL58" s="1643"/>
      <c r="AM58" s="1643"/>
    </row>
    <row r="59" spans="1:39" ht="15.75" customHeight="1" x14ac:dyDescent="0.3">
      <c r="A59" s="1643"/>
      <c r="B59" s="1829" t="s">
        <v>1184</v>
      </c>
      <c r="C59" s="1830">
        <f>SUM(C52:C54)</f>
        <v>0.71266234707354126</v>
      </c>
      <c r="D59" s="1801"/>
      <c r="E59" s="1643"/>
      <c r="F59" s="1643"/>
      <c r="G59" s="1643"/>
      <c r="H59" s="1643"/>
      <c r="I59" s="1643"/>
      <c r="J59" s="1643"/>
      <c r="K59" s="1643"/>
      <c r="L59" s="1643"/>
      <c r="M59" s="1643"/>
      <c r="N59" s="1643"/>
      <c r="O59" s="1643"/>
      <c r="P59" s="1643"/>
      <c r="Q59" s="1643"/>
      <c r="R59" s="1643"/>
      <c r="S59" s="1643"/>
      <c r="T59" s="1643"/>
      <c r="U59" s="1643"/>
      <c r="V59" s="1643"/>
      <c r="W59" s="1643"/>
      <c r="X59" s="1643"/>
      <c r="Y59" s="1643"/>
      <c r="Z59" s="1643"/>
      <c r="AA59" s="1643"/>
      <c r="AB59" s="1643"/>
      <c r="AC59" s="1643"/>
      <c r="AD59" s="1643"/>
      <c r="AE59" s="1643"/>
      <c r="AF59" s="1643"/>
      <c r="AG59" s="1643"/>
      <c r="AH59" s="1643"/>
      <c r="AI59" s="1643"/>
      <c r="AJ59" s="1643"/>
      <c r="AK59" s="1643"/>
      <c r="AL59" s="1643"/>
      <c r="AM59" s="1643"/>
    </row>
    <row r="60" spans="1:39" ht="15.75" customHeight="1" x14ac:dyDescent="0.3">
      <c r="A60" s="1643"/>
      <c r="B60" s="1643"/>
      <c r="C60" s="1643"/>
      <c r="D60" s="1643"/>
      <c r="E60" s="1643"/>
      <c r="F60" s="1643"/>
      <c r="G60" s="1643"/>
      <c r="H60" s="1643"/>
      <c r="I60" s="1643"/>
      <c r="J60" s="1643"/>
      <c r="K60" s="1643"/>
      <c r="L60" s="1643"/>
      <c r="M60" s="1643"/>
      <c r="N60" s="1643"/>
      <c r="O60" s="1643"/>
      <c r="P60" s="1643"/>
      <c r="Q60" s="1643"/>
      <c r="R60" s="1643"/>
      <c r="S60" s="1836">
        <f>SUM(C52:C54)</f>
        <v>0.71266234707354126</v>
      </c>
      <c r="T60" s="1643"/>
      <c r="U60" s="1643"/>
      <c r="V60" s="1643"/>
      <c r="W60" s="1643"/>
      <c r="X60" s="1643"/>
      <c r="Y60" s="1643"/>
      <c r="Z60" s="1643"/>
      <c r="AA60" s="1643"/>
      <c r="AB60" s="1643"/>
      <c r="AC60" s="1643"/>
      <c r="AD60" s="1643"/>
      <c r="AE60" s="1643"/>
      <c r="AF60" s="1643"/>
      <c r="AG60" s="1643"/>
      <c r="AH60" s="1643"/>
      <c r="AI60" s="1643"/>
      <c r="AJ60" s="1643"/>
      <c r="AK60" s="1643"/>
      <c r="AL60" s="1643"/>
      <c r="AM60" s="1643"/>
    </row>
    <row r="61" spans="1:39" ht="15.75" customHeight="1" x14ac:dyDescent="0.3">
      <c r="A61" s="1643"/>
      <c r="B61" s="1643"/>
      <c r="C61" s="1643"/>
      <c r="D61" s="1643"/>
      <c r="E61" s="1643"/>
      <c r="F61" s="1643"/>
      <c r="G61" s="1643"/>
      <c r="H61" s="1643"/>
      <c r="I61" s="1643"/>
      <c r="J61" s="1643"/>
      <c r="K61" s="1643"/>
      <c r="L61" s="1643"/>
      <c r="M61" s="1643"/>
      <c r="N61" s="1643"/>
      <c r="O61" s="1643"/>
      <c r="P61" s="1643"/>
      <c r="Q61" s="1643"/>
      <c r="R61" s="1643"/>
      <c r="S61" s="1643"/>
      <c r="T61" s="1643"/>
      <c r="U61" s="1643"/>
      <c r="V61" s="1643"/>
      <c r="W61" s="1643"/>
      <c r="X61" s="1643"/>
      <c r="Y61" s="1643"/>
      <c r="Z61" s="1643"/>
      <c r="AA61" s="1643"/>
      <c r="AB61" s="1643"/>
      <c r="AC61" s="1643"/>
      <c r="AD61" s="1643"/>
      <c r="AE61" s="1643"/>
      <c r="AF61" s="1643"/>
      <c r="AG61" s="1643"/>
      <c r="AH61" s="1643"/>
      <c r="AI61" s="1643"/>
      <c r="AJ61" s="1643"/>
      <c r="AK61" s="1643"/>
      <c r="AL61" s="1643"/>
      <c r="AM61" s="1643"/>
    </row>
    <row r="62" spans="1:39" ht="15.75" customHeight="1" x14ac:dyDescent="0.3">
      <c r="A62" s="1643"/>
      <c r="B62" s="1643"/>
      <c r="C62" s="1643"/>
      <c r="D62" s="1643"/>
      <c r="E62" s="1643"/>
      <c r="F62" s="1643"/>
      <c r="G62" s="1643"/>
      <c r="H62" s="1643"/>
      <c r="I62" s="1643"/>
      <c r="J62" s="1643"/>
      <c r="K62" s="1643"/>
      <c r="L62" s="1643"/>
      <c r="M62" s="1643"/>
      <c r="N62" s="1643"/>
      <c r="O62" s="1643"/>
      <c r="P62" s="1643"/>
      <c r="Q62" s="1643"/>
      <c r="R62" s="1643"/>
      <c r="S62" s="1643"/>
      <c r="T62" s="1643"/>
      <c r="U62" s="1643"/>
      <c r="V62" s="1643"/>
      <c r="W62" s="1643"/>
      <c r="X62" s="1643"/>
      <c r="Y62" s="1643"/>
      <c r="Z62" s="1643"/>
      <c r="AA62" s="1643"/>
      <c r="AB62" s="1643"/>
      <c r="AC62" s="1643"/>
      <c r="AD62" s="1643"/>
      <c r="AE62" s="1643"/>
      <c r="AF62" s="1643"/>
      <c r="AG62" s="1643"/>
      <c r="AH62" s="1643"/>
      <c r="AI62" s="1643"/>
      <c r="AJ62" s="1643"/>
      <c r="AK62" s="1643"/>
      <c r="AL62" s="1643"/>
      <c r="AM62" s="1643"/>
    </row>
    <row r="63" spans="1:39" ht="15.75" customHeight="1" x14ac:dyDescent="0.3">
      <c r="A63" s="1643"/>
      <c r="B63" s="1643"/>
      <c r="C63" s="1643"/>
      <c r="D63" s="1643"/>
      <c r="E63" s="1643"/>
      <c r="F63" s="1643"/>
      <c r="G63" s="1643"/>
      <c r="H63" s="1643"/>
      <c r="I63" s="1643"/>
      <c r="J63" s="1643"/>
      <c r="K63" s="1643"/>
      <c r="L63" s="1643"/>
      <c r="M63" s="1643"/>
      <c r="N63" s="1643"/>
      <c r="O63" s="1643"/>
      <c r="P63" s="1643"/>
      <c r="Q63" s="1643"/>
      <c r="R63" s="1643"/>
      <c r="S63" s="1643"/>
      <c r="T63" s="1643"/>
      <c r="U63" s="1643"/>
      <c r="V63" s="1643"/>
      <c r="W63" s="1643"/>
      <c r="X63" s="1643"/>
      <c r="Y63" s="1643"/>
      <c r="Z63" s="1643"/>
      <c r="AA63" s="1643"/>
      <c r="AB63" s="1643"/>
      <c r="AC63" s="1643"/>
      <c r="AD63" s="1643"/>
      <c r="AE63" s="1643"/>
      <c r="AF63" s="1643"/>
      <c r="AG63" s="1643"/>
      <c r="AH63" s="1643"/>
      <c r="AI63" s="1643"/>
      <c r="AJ63" s="1643"/>
      <c r="AK63" s="1643"/>
      <c r="AL63" s="1643"/>
      <c r="AM63" s="1643"/>
    </row>
    <row r="64" spans="1:39" ht="15.75" customHeight="1" x14ac:dyDescent="0.3">
      <c r="A64" s="1643"/>
      <c r="B64" s="1643"/>
      <c r="C64" s="1643"/>
      <c r="D64" s="1643"/>
      <c r="E64" s="1643"/>
      <c r="F64" s="1643"/>
      <c r="G64" s="1643"/>
      <c r="H64" s="1643"/>
      <c r="I64" s="1643"/>
      <c r="J64" s="1643"/>
      <c r="K64" s="1643"/>
      <c r="L64" s="1643"/>
      <c r="M64" s="1643"/>
      <c r="N64" s="1643"/>
      <c r="O64" s="1643"/>
      <c r="P64" s="1643"/>
      <c r="Q64" s="1643"/>
      <c r="R64" s="1643"/>
      <c r="S64" s="1643"/>
      <c r="T64" s="1643"/>
      <c r="U64" s="1643"/>
      <c r="V64" s="1643"/>
      <c r="W64" s="1643"/>
      <c r="X64" s="1643"/>
      <c r="Y64" s="1643"/>
      <c r="Z64" s="1643"/>
      <c r="AA64" s="1643"/>
      <c r="AB64" s="1643"/>
      <c r="AC64" s="1643"/>
      <c r="AD64" s="1643"/>
      <c r="AE64" s="1643"/>
      <c r="AF64" s="1643"/>
      <c r="AG64" s="1643"/>
      <c r="AH64" s="1643"/>
      <c r="AI64" s="1643"/>
      <c r="AJ64" s="1643"/>
      <c r="AK64" s="1643"/>
      <c r="AL64" s="1643"/>
      <c r="AM64" s="1643"/>
    </row>
    <row r="65" spans="1:39" ht="15.75" customHeight="1" x14ac:dyDescent="0.3">
      <c r="A65" s="1643"/>
      <c r="B65" s="1643"/>
      <c r="C65" s="1643"/>
      <c r="D65" s="1643"/>
      <c r="E65" s="1643"/>
      <c r="F65" s="1643"/>
      <c r="G65" s="1643"/>
      <c r="H65" s="1643"/>
      <c r="I65" s="1643"/>
      <c r="J65" s="1643"/>
      <c r="K65" s="1643"/>
      <c r="L65" s="1643"/>
      <c r="M65" s="1643"/>
      <c r="N65" s="1643"/>
      <c r="O65" s="1643"/>
      <c r="P65" s="1643"/>
      <c r="Q65" s="1643"/>
      <c r="R65" s="1643"/>
      <c r="S65" s="1643"/>
      <c r="T65" s="1643"/>
      <c r="U65" s="1643"/>
      <c r="V65" s="1643"/>
      <c r="W65" s="1643"/>
      <c r="X65" s="1643"/>
      <c r="Y65" s="1643"/>
      <c r="Z65" s="1643"/>
      <c r="AA65" s="1643"/>
      <c r="AB65" s="1643"/>
      <c r="AC65" s="1643"/>
      <c r="AD65" s="1643"/>
      <c r="AE65" s="1643"/>
      <c r="AF65" s="1643"/>
      <c r="AG65" s="1643"/>
      <c r="AH65" s="1643"/>
      <c r="AI65" s="1643"/>
      <c r="AJ65" s="1643"/>
      <c r="AK65" s="1643"/>
      <c r="AL65" s="1643"/>
      <c r="AM65" s="1643"/>
    </row>
    <row r="66" spans="1:39" ht="15.75" customHeight="1" x14ac:dyDescent="0.3">
      <c r="A66" s="1643"/>
      <c r="B66" s="1643"/>
      <c r="C66" s="1643"/>
      <c r="D66" s="1643"/>
      <c r="E66" s="1643"/>
      <c r="F66" s="1643"/>
      <c r="G66" s="1643"/>
      <c r="H66" s="1643"/>
      <c r="I66" s="1643"/>
      <c r="J66" s="1643"/>
      <c r="K66" s="1643"/>
      <c r="L66" s="1643"/>
      <c r="M66" s="1643"/>
      <c r="N66" s="1643"/>
      <c r="O66" s="1643"/>
      <c r="P66" s="1643"/>
      <c r="Q66" s="1643"/>
      <c r="R66" s="1643"/>
      <c r="S66" s="1643"/>
      <c r="T66" s="1643"/>
      <c r="U66" s="1643"/>
      <c r="V66" s="1643"/>
      <c r="W66" s="1643"/>
      <c r="X66" s="1643"/>
      <c r="Y66" s="1643"/>
      <c r="Z66" s="1643"/>
      <c r="AA66" s="1643"/>
      <c r="AB66" s="1643"/>
      <c r="AC66" s="1643"/>
      <c r="AD66" s="1643"/>
      <c r="AE66" s="1643"/>
      <c r="AF66" s="1643"/>
      <c r="AG66" s="1643"/>
      <c r="AH66" s="1643"/>
      <c r="AI66" s="1643"/>
      <c r="AJ66" s="1643"/>
      <c r="AK66" s="1643"/>
      <c r="AL66" s="1643"/>
      <c r="AM66" s="1643"/>
    </row>
    <row r="67" spans="1:39" ht="15.75" customHeight="1" x14ac:dyDescent="0.3">
      <c r="A67" s="1643"/>
      <c r="B67" s="1643"/>
      <c r="C67" s="1643"/>
      <c r="D67" s="1643"/>
      <c r="E67" s="1643"/>
      <c r="F67" s="1643"/>
      <c r="G67" s="1643"/>
      <c r="H67" s="1643"/>
      <c r="I67" s="1643"/>
      <c r="J67" s="1643"/>
      <c r="K67" s="1643"/>
      <c r="L67" s="1643"/>
      <c r="M67" s="1643"/>
      <c r="N67" s="1643"/>
      <c r="O67" s="1643"/>
      <c r="P67" s="1643"/>
      <c r="Q67" s="1643"/>
      <c r="R67" s="1643"/>
      <c r="S67" s="1643"/>
      <c r="T67" s="1643"/>
      <c r="U67" s="1643"/>
      <c r="V67" s="1643"/>
      <c r="W67" s="1643"/>
      <c r="X67" s="1643"/>
      <c r="Y67" s="1643"/>
      <c r="Z67" s="1643"/>
      <c r="AA67" s="1643"/>
      <c r="AB67" s="1643"/>
      <c r="AC67" s="1643"/>
      <c r="AD67" s="1643"/>
      <c r="AE67" s="1643"/>
      <c r="AF67" s="1643"/>
      <c r="AG67" s="1643"/>
      <c r="AH67" s="1643"/>
      <c r="AI67" s="1643"/>
      <c r="AJ67" s="1643"/>
      <c r="AK67" s="1643"/>
      <c r="AL67" s="1643"/>
      <c r="AM67" s="1643"/>
    </row>
    <row r="68" spans="1:39" ht="15.75" customHeight="1" x14ac:dyDescent="0.3">
      <c r="A68" s="1643"/>
      <c r="B68" s="1643"/>
      <c r="C68" s="1643"/>
      <c r="D68" s="1643"/>
      <c r="E68" s="1643"/>
      <c r="F68" s="1643"/>
      <c r="G68" s="1643"/>
      <c r="H68" s="1643"/>
      <c r="I68" s="1643"/>
      <c r="J68" s="1643"/>
      <c r="K68" s="1643"/>
      <c r="L68" s="1643"/>
      <c r="M68" s="1643"/>
      <c r="N68" s="1643"/>
      <c r="O68" s="1643"/>
      <c r="P68" s="1643"/>
      <c r="Q68" s="1643"/>
      <c r="R68" s="1643"/>
      <c r="S68" s="1643"/>
      <c r="T68" s="1643"/>
      <c r="U68" s="1643"/>
      <c r="V68" s="1643"/>
      <c r="W68" s="1643"/>
      <c r="X68" s="1643"/>
      <c r="Y68" s="1643"/>
      <c r="Z68" s="1643"/>
      <c r="AA68" s="1643"/>
      <c r="AB68" s="1643"/>
      <c r="AC68" s="1643"/>
      <c r="AD68" s="1643"/>
      <c r="AE68" s="1643"/>
      <c r="AF68" s="1643"/>
      <c r="AG68" s="1643"/>
      <c r="AH68" s="1643"/>
      <c r="AI68" s="1643"/>
      <c r="AJ68" s="1643"/>
      <c r="AK68" s="1643"/>
      <c r="AL68" s="1643"/>
      <c r="AM68" s="1643"/>
    </row>
    <row r="69" spans="1:39" ht="15.75" customHeight="1" x14ac:dyDescent="0.3">
      <c r="A69" s="1643"/>
      <c r="B69" s="1643"/>
      <c r="C69" s="1643"/>
      <c r="D69" s="1643"/>
      <c r="E69" s="1643"/>
      <c r="F69" s="1643"/>
      <c r="G69" s="1643"/>
      <c r="H69" s="1643"/>
      <c r="I69" s="1643"/>
      <c r="J69" s="1643"/>
      <c r="K69" s="1643"/>
      <c r="L69" s="1643"/>
      <c r="M69" s="1643"/>
      <c r="N69" s="1643"/>
      <c r="O69" s="1643"/>
      <c r="P69" s="1643"/>
      <c r="Q69" s="1643"/>
      <c r="R69" s="1643"/>
      <c r="S69" s="1643"/>
      <c r="T69" s="1643"/>
      <c r="U69" s="1643"/>
      <c r="V69" s="1643"/>
      <c r="W69" s="1643"/>
      <c r="X69" s="1643"/>
      <c r="Y69" s="1643"/>
      <c r="Z69" s="1643"/>
      <c r="AA69" s="1643"/>
      <c r="AB69" s="1643"/>
      <c r="AC69" s="1643"/>
      <c r="AD69" s="1643"/>
      <c r="AE69" s="1643"/>
      <c r="AF69" s="1643"/>
      <c r="AG69" s="1643"/>
      <c r="AH69" s="1643"/>
      <c r="AI69" s="1643"/>
      <c r="AJ69" s="1643"/>
      <c r="AK69" s="1643"/>
      <c r="AL69" s="1643"/>
      <c r="AM69" s="1643"/>
    </row>
    <row r="70" spans="1:39" ht="15.75" customHeight="1" x14ac:dyDescent="0.3">
      <c r="A70" s="1643"/>
      <c r="B70" s="1643"/>
      <c r="C70" s="1643"/>
      <c r="D70" s="1643"/>
      <c r="E70" s="1643"/>
      <c r="F70" s="1643"/>
      <c r="G70" s="1643"/>
      <c r="H70" s="1643"/>
      <c r="I70" s="1643"/>
      <c r="J70" s="1643"/>
      <c r="K70" s="1643"/>
      <c r="L70" s="1643"/>
      <c r="M70" s="1643"/>
      <c r="N70" s="1643"/>
      <c r="O70" s="1643"/>
      <c r="P70" s="1643"/>
      <c r="Q70" s="1643"/>
      <c r="R70" s="1643"/>
      <c r="S70" s="1643"/>
      <c r="T70" s="1643"/>
      <c r="U70" s="1643"/>
      <c r="V70" s="1643"/>
      <c r="W70" s="1643"/>
      <c r="X70" s="1643"/>
      <c r="Y70" s="1643"/>
      <c r="Z70" s="1643"/>
      <c r="AA70" s="1643"/>
      <c r="AB70" s="1643"/>
      <c r="AC70" s="1643"/>
      <c r="AD70" s="1643"/>
      <c r="AE70" s="1643"/>
      <c r="AF70" s="1643"/>
      <c r="AG70" s="1643"/>
      <c r="AH70" s="1643"/>
      <c r="AI70" s="1643"/>
      <c r="AJ70" s="1643"/>
      <c r="AK70" s="1643"/>
      <c r="AL70" s="1643"/>
      <c r="AM70" s="1643"/>
    </row>
    <row r="71" spans="1:39" ht="15.75" customHeight="1" x14ac:dyDescent="0.3">
      <c r="A71" s="1643"/>
      <c r="B71" s="1643"/>
      <c r="C71" s="1643"/>
      <c r="D71" s="1643"/>
      <c r="E71" s="1643"/>
      <c r="F71" s="1643"/>
      <c r="G71" s="1643"/>
      <c r="H71" s="1643"/>
      <c r="I71" s="1643"/>
      <c r="J71" s="1643"/>
      <c r="K71" s="1643"/>
      <c r="L71" s="1643"/>
      <c r="M71" s="1643"/>
      <c r="N71" s="1643"/>
      <c r="O71" s="1643"/>
      <c r="P71" s="1643"/>
      <c r="Q71" s="1643"/>
      <c r="R71" s="1643"/>
      <c r="S71" s="1643"/>
      <c r="T71" s="1643"/>
      <c r="U71" s="1643"/>
      <c r="V71" s="1643"/>
      <c r="W71" s="1643"/>
      <c r="X71" s="1643"/>
      <c r="Y71" s="1643"/>
      <c r="Z71" s="1643"/>
      <c r="AA71" s="1643"/>
      <c r="AB71" s="1643"/>
      <c r="AC71" s="1643"/>
      <c r="AD71" s="1643"/>
      <c r="AE71" s="1643"/>
      <c r="AF71" s="1643"/>
      <c r="AG71" s="1643"/>
      <c r="AH71" s="1643"/>
      <c r="AI71" s="1643"/>
      <c r="AJ71" s="1643"/>
      <c r="AK71" s="1643"/>
      <c r="AL71" s="1643"/>
      <c r="AM71" s="1643"/>
    </row>
    <row r="72" spans="1:39" ht="15.75" customHeight="1" x14ac:dyDescent="0.3">
      <c r="A72" s="1643"/>
      <c r="B72" s="1643"/>
      <c r="C72" s="1643"/>
      <c r="D72" s="1643"/>
      <c r="E72" s="1643"/>
      <c r="F72" s="1643"/>
      <c r="G72" s="1643"/>
      <c r="H72" s="1643"/>
      <c r="I72" s="1643"/>
      <c r="J72" s="1643"/>
      <c r="K72" s="1643"/>
      <c r="L72" s="1643"/>
      <c r="M72" s="1643"/>
      <c r="N72" s="1643"/>
      <c r="O72" s="1643"/>
      <c r="P72" s="1643"/>
      <c r="Q72" s="1643"/>
      <c r="R72" s="1643"/>
      <c r="S72" s="1643"/>
      <c r="T72" s="1643"/>
      <c r="U72" s="1643"/>
      <c r="V72" s="1643"/>
      <c r="W72" s="1643"/>
      <c r="X72" s="1643"/>
      <c r="Y72" s="1643"/>
      <c r="Z72" s="1643"/>
      <c r="AA72" s="1643"/>
      <c r="AB72" s="1643"/>
      <c r="AC72" s="1643"/>
      <c r="AD72" s="1643"/>
      <c r="AE72" s="1643"/>
      <c r="AF72" s="1643"/>
      <c r="AG72" s="1643"/>
      <c r="AH72" s="1643"/>
      <c r="AI72" s="1643"/>
      <c r="AJ72" s="1643"/>
      <c r="AK72" s="1643"/>
      <c r="AL72" s="1643"/>
      <c r="AM72" s="1643"/>
    </row>
    <row r="73" spans="1:39" ht="15.75" customHeight="1" x14ac:dyDescent="0.3">
      <c r="A73" s="1643"/>
      <c r="B73" s="1643"/>
      <c r="C73" s="1643"/>
      <c r="D73" s="1643"/>
      <c r="E73" s="1643"/>
      <c r="F73" s="1643"/>
      <c r="G73" s="1643"/>
      <c r="H73" s="1643"/>
      <c r="I73" s="1643"/>
      <c r="J73" s="1643"/>
      <c r="K73" s="1643"/>
      <c r="L73" s="1643"/>
      <c r="M73" s="1643"/>
      <c r="N73" s="1643"/>
      <c r="O73" s="1643"/>
      <c r="P73" s="1643"/>
      <c r="Q73" s="1643"/>
      <c r="R73" s="1643"/>
      <c r="S73" s="1643"/>
      <c r="T73" s="1643"/>
      <c r="U73" s="1643"/>
      <c r="V73" s="1643"/>
      <c r="W73" s="1643"/>
      <c r="X73" s="1643"/>
      <c r="Y73" s="1643"/>
      <c r="Z73" s="1643"/>
      <c r="AA73" s="1643"/>
      <c r="AB73" s="1643"/>
      <c r="AC73" s="1643"/>
      <c r="AD73" s="1643"/>
      <c r="AE73" s="1643"/>
      <c r="AF73" s="1643"/>
      <c r="AG73" s="1643"/>
      <c r="AH73" s="1643"/>
      <c r="AI73" s="1643"/>
      <c r="AJ73" s="1643"/>
      <c r="AK73" s="1643"/>
      <c r="AL73" s="1643"/>
      <c r="AM73" s="1643"/>
    </row>
    <row r="74" spans="1:39" ht="15.75" customHeight="1" x14ac:dyDescent="0.3">
      <c r="A74" s="1643"/>
      <c r="B74" s="1643"/>
      <c r="C74" s="1643"/>
      <c r="D74" s="1643"/>
      <c r="E74" s="1643"/>
      <c r="F74" s="1643"/>
      <c r="G74" s="1643"/>
      <c r="H74" s="1643"/>
      <c r="I74" s="1643"/>
      <c r="J74" s="1643"/>
      <c r="K74" s="1643"/>
      <c r="L74" s="1643"/>
      <c r="M74" s="1643"/>
      <c r="N74" s="1643"/>
      <c r="O74" s="1643"/>
      <c r="P74" s="1643"/>
      <c r="Q74" s="1643"/>
      <c r="R74" s="1643"/>
      <c r="S74" s="1643"/>
      <c r="T74" s="1643"/>
      <c r="U74" s="1643"/>
      <c r="V74" s="1643"/>
      <c r="W74" s="1643"/>
      <c r="X74" s="1643"/>
      <c r="Y74" s="1643"/>
      <c r="Z74" s="1643"/>
      <c r="AA74" s="1643"/>
      <c r="AB74" s="1643"/>
      <c r="AC74" s="1643"/>
      <c r="AD74" s="1643"/>
      <c r="AE74" s="1643"/>
      <c r="AF74" s="1643"/>
      <c r="AG74" s="1643"/>
      <c r="AH74" s="1643"/>
      <c r="AI74" s="1643"/>
      <c r="AJ74" s="1643"/>
      <c r="AK74" s="1643"/>
      <c r="AL74" s="1643"/>
      <c r="AM74" s="1643"/>
    </row>
    <row r="75" spans="1:39" ht="15.75" customHeight="1" x14ac:dyDescent="0.3">
      <c r="A75" s="1643"/>
      <c r="B75" s="1643"/>
      <c r="C75" s="1643"/>
      <c r="D75" s="1643"/>
      <c r="E75" s="1643"/>
      <c r="F75" s="1643"/>
      <c r="G75" s="1643"/>
      <c r="H75" s="1643"/>
      <c r="I75" s="1643"/>
      <c r="J75" s="1643"/>
      <c r="K75" s="1643"/>
      <c r="L75" s="1643"/>
      <c r="M75" s="1643"/>
      <c r="N75" s="1643"/>
      <c r="O75" s="1643"/>
      <c r="P75" s="1643"/>
      <c r="Q75" s="1643"/>
      <c r="R75" s="1643"/>
      <c r="S75" s="1643"/>
      <c r="T75" s="1643"/>
      <c r="U75" s="1643"/>
      <c r="V75" s="1643"/>
      <c r="W75" s="1643"/>
      <c r="X75" s="1643"/>
      <c r="Y75" s="1643"/>
      <c r="Z75" s="1643"/>
      <c r="AA75" s="1643"/>
      <c r="AB75" s="1643"/>
      <c r="AC75" s="1643"/>
      <c r="AD75" s="1643"/>
      <c r="AE75" s="1643"/>
      <c r="AF75" s="1643"/>
      <c r="AG75" s="1643"/>
      <c r="AH75" s="1643"/>
      <c r="AI75" s="1643"/>
      <c r="AJ75" s="1643"/>
      <c r="AK75" s="1643"/>
      <c r="AL75" s="1643"/>
      <c r="AM75" s="1643"/>
    </row>
    <row r="76" spans="1:39" ht="15.75" customHeight="1" x14ac:dyDescent="0.3">
      <c r="A76" s="1643"/>
      <c r="B76" s="1643"/>
      <c r="C76" s="1643"/>
      <c r="D76" s="1643"/>
      <c r="E76" s="1643"/>
      <c r="F76" s="1643"/>
      <c r="G76" s="1643"/>
      <c r="H76" s="1643"/>
      <c r="I76" s="1643"/>
      <c r="J76" s="1643"/>
      <c r="K76" s="1643"/>
      <c r="L76" s="1643"/>
      <c r="M76" s="1643"/>
      <c r="N76" s="1643"/>
      <c r="O76" s="1643"/>
      <c r="P76" s="1643"/>
      <c r="Q76" s="1643"/>
      <c r="R76" s="1643"/>
      <c r="S76" s="1643"/>
      <c r="T76" s="1643"/>
      <c r="U76" s="1643"/>
      <c r="V76" s="1643"/>
      <c r="W76" s="1643"/>
      <c r="X76" s="1643"/>
      <c r="Y76" s="1643"/>
      <c r="Z76" s="1643"/>
      <c r="AA76" s="1643"/>
      <c r="AB76" s="1643"/>
      <c r="AC76" s="1643"/>
      <c r="AD76" s="1643"/>
      <c r="AE76" s="1643"/>
      <c r="AF76" s="1643"/>
      <c r="AG76" s="1643"/>
      <c r="AH76" s="1643"/>
      <c r="AI76" s="1643"/>
      <c r="AJ76" s="1643"/>
      <c r="AK76" s="1643"/>
      <c r="AL76" s="1643"/>
      <c r="AM76" s="1643"/>
    </row>
    <row r="77" spans="1:39" ht="15.75" customHeight="1" x14ac:dyDescent="0.3">
      <c r="A77" s="1643"/>
      <c r="B77" s="1643"/>
      <c r="C77" s="1643"/>
      <c r="D77" s="1643"/>
      <c r="E77" s="1643"/>
      <c r="F77" s="1643"/>
      <c r="G77" s="1643"/>
      <c r="H77" s="1643"/>
      <c r="I77" s="1643"/>
      <c r="J77" s="1643"/>
      <c r="K77" s="1643"/>
      <c r="L77" s="1643"/>
      <c r="M77" s="1643"/>
      <c r="N77" s="1643"/>
      <c r="O77" s="1643"/>
      <c r="P77" s="1643"/>
      <c r="Q77" s="1643"/>
      <c r="R77" s="1643"/>
      <c r="S77" s="1643"/>
      <c r="T77" s="1643"/>
      <c r="U77" s="1643"/>
      <c r="V77" s="1643"/>
      <c r="W77" s="1643"/>
      <c r="X77" s="1643"/>
      <c r="Y77" s="1643"/>
      <c r="Z77" s="1643"/>
      <c r="AA77" s="1643"/>
      <c r="AB77" s="1643"/>
      <c r="AC77" s="1643"/>
      <c r="AD77" s="1643"/>
      <c r="AE77" s="1643"/>
      <c r="AF77" s="1643"/>
      <c r="AG77" s="1643"/>
      <c r="AH77" s="1643"/>
      <c r="AI77" s="1643"/>
      <c r="AJ77" s="1643"/>
      <c r="AK77" s="1643"/>
      <c r="AL77" s="1643"/>
      <c r="AM77" s="1643"/>
    </row>
    <row r="78" spans="1:39" ht="15.75" customHeight="1" x14ac:dyDescent="0.3">
      <c r="A78" s="1643"/>
      <c r="B78" s="1643"/>
      <c r="C78" s="1643"/>
      <c r="D78" s="1643"/>
      <c r="E78" s="1643"/>
      <c r="F78" s="1643"/>
      <c r="G78" s="1643"/>
      <c r="H78" s="1643"/>
      <c r="I78" s="1643"/>
      <c r="J78" s="1643"/>
      <c r="K78" s="1643"/>
      <c r="L78" s="1643"/>
      <c r="M78" s="1643"/>
      <c r="N78" s="1643"/>
      <c r="O78" s="1643"/>
      <c r="P78" s="1643"/>
      <c r="Q78" s="1643"/>
      <c r="R78" s="1643"/>
      <c r="S78" s="1643"/>
      <c r="T78" s="1643"/>
      <c r="U78" s="1643"/>
      <c r="V78" s="1643"/>
      <c r="W78" s="1643"/>
      <c r="X78" s="1643"/>
      <c r="Y78" s="1643"/>
      <c r="Z78" s="1643"/>
      <c r="AA78" s="1643"/>
      <c r="AB78" s="1643"/>
      <c r="AC78" s="1643"/>
      <c r="AD78" s="1643"/>
      <c r="AE78" s="1643"/>
      <c r="AF78" s="1643"/>
      <c r="AG78" s="1643"/>
      <c r="AH78" s="1643"/>
      <c r="AI78" s="1643"/>
      <c r="AJ78" s="1643"/>
      <c r="AK78" s="1643"/>
      <c r="AL78" s="1643"/>
      <c r="AM78" s="1643"/>
    </row>
    <row r="79" spans="1:39" ht="15.75" customHeight="1" x14ac:dyDescent="0.3">
      <c r="A79" s="1643"/>
      <c r="B79" s="1643"/>
      <c r="C79" s="1643"/>
      <c r="D79" s="1643"/>
      <c r="E79" s="1643"/>
      <c r="F79" s="1643"/>
      <c r="G79" s="1643"/>
      <c r="H79" s="1643"/>
      <c r="I79" s="1643"/>
      <c r="J79" s="1643"/>
      <c r="K79" s="1643"/>
      <c r="L79" s="1643"/>
      <c r="M79" s="1643"/>
      <c r="N79" s="1643"/>
      <c r="O79" s="1643"/>
      <c r="P79" s="1643"/>
      <c r="Q79" s="1643"/>
      <c r="R79" s="1643"/>
      <c r="S79" s="1643"/>
      <c r="T79" s="1643"/>
      <c r="U79" s="1643"/>
      <c r="V79" s="1643"/>
      <c r="W79" s="1643"/>
      <c r="X79" s="1643"/>
      <c r="Y79" s="1643"/>
      <c r="Z79" s="1643"/>
      <c r="AA79" s="1643"/>
      <c r="AB79" s="1643"/>
      <c r="AC79" s="1643"/>
      <c r="AD79" s="1643"/>
      <c r="AE79" s="1643"/>
      <c r="AF79" s="1643"/>
      <c r="AG79" s="1643"/>
      <c r="AH79" s="1643"/>
      <c r="AI79" s="1643"/>
      <c r="AJ79" s="1643"/>
      <c r="AK79" s="1643"/>
      <c r="AL79" s="1643"/>
      <c r="AM79" s="1643"/>
    </row>
    <row r="80" spans="1:39" ht="15.75" customHeight="1" x14ac:dyDescent="0.3">
      <c r="A80" s="1643"/>
      <c r="B80" s="1643"/>
      <c r="C80" s="1643"/>
      <c r="D80" s="1643"/>
      <c r="E80" s="1643"/>
      <c r="F80" s="1643"/>
      <c r="G80" s="1643"/>
      <c r="H80" s="1643"/>
      <c r="I80" s="1643"/>
      <c r="J80" s="1643"/>
      <c r="K80" s="1643"/>
      <c r="L80" s="1643"/>
      <c r="M80" s="1643"/>
      <c r="N80" s="1643"/>
      <c r="O80" s="1643"/>
      <c r="P80" s="1643"/>
      <c r="Q80" s="1643"/>
      <c r="R80" s="1643"/>
      <c r="S80" s="1643"/>
      <c r="T80" s="1643"/>
      <c r="U80" s="1643"/>
      <c r="V80" s="1643"/>
      <c r="W80" s="1643"/>
      <c r="X80" s="1643"/>
      <c r="Y80" s="1643"/>
      <c r="Z80" s="1643"/>
      <c r="AA80" s="1643"/>
      <c r="AB80" s="1643"/>
      <c r="AC80" s="1643"/>
      <c r="AD80" s="1643"/>
      <c r="AE80" s="1643"/>
      <c r="AF80" s="1643"/>
      <c r="AG80" s="1643"/>
      <c r="AH80" s="1643"/>
      <c r="AI80" s="1643"/>
      <c r="AJ80" s="1643"/>
      <c r="AK80" s="1643"/>
      <c r="AL80" s="1643"/>
      <c r="AM80" s="1643"/>
    </row>
    <row r="81" spans="1:39" ht="15.75" customHeight="1" x14ac:dyDescent="0.3">
      <c r="A81" s="1643"/>
      <c r="B81" s="1643"/>
      <c r="C81" s="1643"/>
      <c r="D81" s="1643"/>
      <c r="E81" s="1643"/>
      <c r="F81" s="1643"/>
      <c r="G81" s="1643"/>
      <c r="H81" s="1643"/>
      <c r="I81" s="1643"/>
      <c r="J81" s="1643"/>
      <c r="K81" s="1643"/>
      <c r="L81" s="1643"/>
      <c r="M81" s="1643"/>
      <c r="N81" s="1643"/>
      <c r="O81" s="1643"/>
      <c r="P81" s="1643"/>
      <c r="Q81" s="1643"/>
      <c r="R81" s="1643"/>
      <c r="S81" s="1643"/>
      <c r="T81" s="1643"/>
      <c r="U81" s="1643"/>
      <c r="V81" s="1643"/>
      <c r="W81" s="1643"/>
      <c r="X81" s="1643"/>
      <c r="Y81" s="1643"/>
      <c r="Z81" s="1643"/>
      <c r="AA81" s="1643"/>
      <c r="AB81" s="1643"/>
      <c r="AC81" s="1643"/>
      <c r="AD81" s="1643"/>
      <c r="AE81" s="1643"/>
      <c r="AF81" s="1643"/>
      <c r="AG81" s="1643"/>
      <c r="AH81" s="1643"/>
      <c r="AI81" s="1643"/>
      <c r="AJ81" s="1643"/>
      <c r="AK81" s="1643"/>
      <c r="AL81" s="1643"/>
      <c r="AM81" s="1643"/>
    </row>
    <row r="82" spans="1:39" ht="15.75" customHeight="1" x14ac:dyDescent="0.3">
      <c r="A82" s="1643"/>
      <c r="B82" s="1643"/>
      <c r="C82" s="1643"/>
      <c r="D82" s="1643"/>
      <c r="E82" s="1643"/>
      <c r="F82" s="1643"/>
      <c r="G82" s="1643"/>
      <c r="H82" s="1643"/>
      <c r="I82" s="1643"/>
      <c r="J82" s="1643"/>
      <c r="K82" s="1643"/>
      <c r="L82" s="1643"/>
      <c r="M82" s="1643"/>
      <c r="N82" s="1643"/>
      <c r="O82" s="1643"/>
      <c r="P82" s="1643"/>
      <c r="Q82" s="1643"/>
      <c r="R82" s="1643"/>
      <c r="S82" s="1643"/>
      <c r="T82" s="1643"/>
      <c r="U82" s="1643"/>
      <c r="V82" s="1643"/>
      <c r="W82" s="1643"/>
      <c r="X82" s="1643"/>
      <c r="Y82" s="1643"/>
      <c r="Z82" s="1643"/>
      <c r="AA82" s="1643"/>
      <c r="AB82" s="1643"/>
      <c r="AC82" s="1643"/>
      <c r="AD82" s="1643"/>
      <c r="AE82" s="1643"/>
      <c r="AF82" s="1643"/>
      <c r="AG82" s="1643"/>
      <c r="AH82" s="1643"/>
      <c r="AI82" s="1643"/>
      <c r="AJ82" s="1643"/>
      <c r="AK82" s="1643"/>
      <c r="AL82" s="1643"/>
      <c r="AM82" s="1643"/>
    </row>
    <row r="83" spans="1:39" ht="15.75" customHeight="1" x14ac:dyDescent="0.3">
      <c r="A83" s="1643"/>
      <c r="B83" s="1643"/>
      <c r="C83" s="1643"/>
      <c r="D83" s="1643"/>
      <c r="E83" s="1643"/>
      <c r="F83" s="1643"/>
      <c r="G83" s="1643"/>
      <c r="H83" s="1643"/>
      <c r="I83" s="1643"/>
      <c r="J83" s="1643"/>
      <c r="K83" s="1643"/>
      <c r="L83" s="1643"/>
      <c r="M83" s="1643"/>
      <c r="N83" s="1643"/>
      <c r="O83" s="1643"/>
      <c r="P83" s="1643"/>
      <c r="Q83" s="1643"/>
      <c r="R83" s="1643"/>
      <c r="S83" s="1643"/>
      <c r="T83" s="1643"/>
      <c r="U83" s="1643"/>
      <c r="V83" s="1643"/>
      <c r="W83" s="1643"/>
      <c r="X83" s="1643"/>
      <c r="Y83" s="1643"/>
      <c r="Z83" s="1643"/>
      <c r="AA83" s="1643"/>
      <c r="AB83" s="1643"/>
      <c r="AC83" s="1643"/>
      <c r="AD83" s="1643"/>
      <c r="AE83" s="1643"/>
      <c r="AF83" s="1643"/>
      <c r="AG83" s="1643"/>
      <c r="AH83" s="1643"/>
      <c r="AI83" s="1643"/>
      <c r="AJ83" s="1643"/>
      <c r="AK83" s="1643"/>
      <c r="AL83" s="1643"/>
      <c r="AM83" s="1643"/>
    </row>
    <row r="84" spans="1:39" ht="15.75" customHeight="1" x14ac:dyDescent="0.3">
      <c r="A84" s="1643"/>
      <c r="B84" s="1643"/>
      <c r="C84" s="1643"/>
      <c r="D84" s="1643"/>
      <c r="E84" s="1643"/>
      <c r="F84" s="1643"/>
      <c r="G84" s="1643"/>
      <c r="H84" s="1643"/>
      <c r="I84" s="1643"/>
      <c r="J84" s="1643"/>
      <c r="K84" s="1643"/>
      <c r="L84" s="1643"/>
      <c r="M84" s="1643"/>
      <c r="N84" s="1643"/>
      <c r="O84" s="1643"/>
      <c r="P84" s="1643"/>
      <c r="Q84" s="1643"/>
      <c r="R84" s="1643"/>
      <c r="S84" s="1643"/>
      <c r="T84" s="1643"/>
      <c r="U84" s="1643"/>
      <c r="V84" s="1643"/>
      <c r="W84" s="1643"/>
      <c r="X84" s="1643"/>
      <c r="Y84" s="1643"/>
      <c r="Z84" s="1643"/>
      <c r="AA84" s="1643"/>
      <c r="AB84" s="1643"/>
      <c r="AC84" s="1643"/>
      <c r="AD84" s="1643"/>
      <c r="AE84" s="1643"/>
      <c r="AF84" s="1643"/>
      <c r="AG84" s="1643"/>
      <c r="AH84" s="1643"/>
      <c r="AI84" s="1643"/>
      <c r="AJ84" s="1643"/>
      <c r="AK84" s="1643"/>
      <c r="AL84" s="1643"/>
      <c r="AM84" s="1643"/>
    </row>
    <row r="85" spans="1:39" ht="15.75" customHeight="1" x14ac:dyDescent="0.3">
      <c r="A85" s="1643"/>
      <c r="B85" s="1643"/>
      <c r="C85" s="1643"/>
      <c r="D85" s="1643"/>
      <c r="E85" s="1643"/>
      <c r="F85" s="1643"/>
      <c r="G85" s="1643"/>
      <c r="H85" s="1643"/>
      <c r="I85" s="1643"/>
      <c r="J85" s="1643"/>
      <c r="K85" s="1643"/>
      <c r="L85" s="1643"/>
      <c r="M85" s="1643"/>
      <c r="N85" s="1643"/>
      <c r="O85" s="1643"/>
      <c r="P85" s="1643"/>
      <c r="Q85" s="1643"/>
      <c r="R85" s="1643"/>
      <c r="S85" s="1643"/>
      <c r="T85" s="1643"/>
      <c r="U85" s="1643"/>
      <c r="V85" s="1643"/>
      <c r="W85" s="1643"/>
      <c r="X85" s="1643"/>
      <c r="Y85" s="1643"/>
      <c r="Z85" s="1643"/>
      <c r="AA85" s="1643"/>
      <c r="AB85" s="1643"/>
      <c r="AC85" s="1643"/>
      <c r="AD85" s="1643"/>
      <c r="AE85" s="1643"/>
      <c r="AF85" s="1643"/>
      <c r="AG85" s="1643"/>
      <c r="AH85" s="1643"/>
      <c r="AI85" s="1643"/>
      <c r="AJ85" s="1643"/>
      <c r="AK85" s="1643"/>
      <c r="AL85" s="1643"/>
      <c r="AM85" s="1643"/>
    </row>
    <row r="86" spans="1:39" ht="15.75" customHeight="1" x14ac:dyDescent="0.3">
      <c r="A86" s="1643"/>
      <c r="B86" s="1643"/>
      <c r="C86" s="1643"/>
      <c r="D86" s="1643"/>
      <c r="E86" s="1643"/>
      <c r="F86" s="1643"/>
      <c r="G86" s="1643"/>
      <c r="H86" s="1643"/>
      <c r="I86" s="1643"/>
      <c r="J86" s="1643"/>
      <c r="K86" s="1643"/>
      <c r="L86" s="1643"/>
      <c r="M86" s="1643"/>
      <c r="N86" s="1643"/>
      <c r="O86" s="1643"/>
      <c r="P86" s="1643"/>
      <c r="Q86" s="1643"/>
      <c r="R86" s="1643"/>
      <c r="S86" s="1643"/>
      <c r="T86" s="1643"/>
      <c r="U86" s="1643"/>
      <c r="V86" s="1643"/>
      <c r="W86" s="1643"/>
      <c r="X86" s="1643"/>
      <c r="Y86" s="1643"/>
      <c r="Z86" s="1643"/>
      <c r="AA86" s="1643"/>
      <c r="AB86" s="1643"/>
      <c r="AC86" s="1643"/>
      <c r="AD86" s="1643"/>
      <c r="AE86" s="1643"/>
      <c r="AF86" s="1643"/>
      <c r="AG86" s="1643"/>
      <c r="AH86" s="1643"/>
      <c r="AI86" s="1643"/>
      <c r="AJ86" s="1643"/>
      <c r="AK86" s="1643"/>
      <c r="AL86" s="1643"/>
      <c r="AM86" s="1643"/>
    </row>
    <row r="87" spans="1:39" ht="15.75" customHeight="1" x14ac:dyDescent="0.3">
      <c r="A87" s="1643"/>
      <c r="B87" s="1643"/>
      <c r="C87" s="1643"/>
      <c r="D87" s="1643"/>
      <c r="E87" s="1643"/>
      <c r="F87" s="1643"/>
      <c r="G87" s="1643"/>
      <c r="H87" s="1643"/>
      <c r="I87" s="1643"/>
      <c r="J87" s="1643"/>
      <c r="K87" s="1643"/>
      <c r="L87" s="1643"/>
      <c r="M87" s="1643"/>
      <c r="N87" s="1643"/>
      <c r="O87" s="1643"/>
      <c r="P87" s="1643"/>
      <c r="Q87" s="1643"/>
      <c r="R87" s="1643"/>
      <c r="S87" s="1643"/>
      <c r="T87" s="1643"/>
      <c r="U87" s="1643"/>
      <c r="V87" s="1643"/>
      <c r="W87" s="1643"/>
      <c r="X87" s="1643"/>
      <c r="Y87" s="1643"/>
      <c r="Z87" s="1643"/>
      <c r="AA87" s="1643"/>
      <c r="AB87" s="1643"/>
      <c r="AC87" s="1643"/>
      <c r="AD87" s="1643"/>
      <c r="AE87" s="1643"/>
      <c r="AF87" s="1643"/>
      <c r="AG87" s="1643"/>
      <c r="AH87" s="1643"/>
      <c r="AI87" s="1643"/>
      <c r="AJ87" s="1643"/>
      <c r="AK87" s="1643"/>
      <c r="AL87" s="1643"/>
      <c r="AM87" s="1643"/>
    </row>
    <row r="88" spans="1:39" ht="15.75" customHeight="1" x14ac:dyDescent="0.3">
      <c r="A88" s="1643"/>
      <c r="B88" s="1643"/>
      <c r="C88" s="1643"/>
      <c r="D88" s="1643"/>
      <c r="E88" s="1643"/>
      <c r="F88" s="1643"/>
      <c r="G88" s="1643"/>
      <c r="H88" s="1643"/>
      <c r="I88" s="1643"/>
      <c r="J88" s="1643"/>
      <c r="K88" s="1643"/>
      <c r="L88" s="1643"/>
      <c r="M88" s="1643"/>
      <c r="N88" s="1643"/>
      <c r="O88" s="1643"/>
      <c r="P88" s="1643"/>
      <c r="Q88" s="1643"/>
      <c r="R88" s="1643"/>
      <c r="S88" s="1643"/>
      <c r="T88" s="1643"/>
      <c r="U88" s="1643"/>
      <c r="V88" s="1643"/>
      <c r="W88" s="1643"/>
      <c r="X88" s="1643"/>
      <c r="Y88" s="1643"/>
      <c r="Z88" s="1643"/>
      <c r="AA88" s="1643"/>
      <c r="AB88" s="1643"/>
      <c r="AC88" s="1643"/>
      <c r="AD88" s="1643"/>
      <c r="AE88" s="1643"/>
      <c r="AF88" s="1643"/>
      <c r="AG88" s="1643"/>
      <c r="AH88" s="1643"/>
      <c r="AI88" s="1643"/>
      <c r="AJ88" s="1643"/>
      <c r="AK88" s="1643"/>
      <c r="AL88" s="1643"/>
      <c r="AM88" s="1643"/>
    </row>
    <row r="89" spans="1:39" ht="15.75" customHeight="1" x14ac:dyDescent="0.3">
      <c r="A89" s="1643"/>
      <c r="B89" s="1643"/>
      <c r="C89" s="1643"/>
      <c r="D89" s="1643"/>
      <c r="E89" s="1643"/>
      <c r="F89" s="1643"/>
      <c r="G89" s="1643"/>
      <c r="H89" s="1643"/>
      <c r="I89" s="1643"/>
      <c r="J89" s="1643"/>
      <c r="K89" s="1643"/>
      <c r="L89" s="1643"/>
      <c r="M89" s="1643"/>
      <c r="N89" s="1643"/>
      <c r="O89" s="1643"/>
      <c r="P89" s="1643"/>
      <c r="Q89" s="1643"/>
      <c r="R89" s="1643"/>
      <c r="S89" s="1643"/>
      <c r="T89" s="1643"/>
      <c r="U89" s="1643"/>
      <c r="V89" s="1643"/>
      <c r="W89" s="1643"/>
      <c r="X89" s="1643"/>
      <c r="Y89" s="1643"/>
      <c r="Z89" s="1643"/>
      <c r="AA89" s="1643"/>
      <c r="AB89" s="1643"/>
      <c r="AC89" s="1643"/>
      <c r="AD89" s="1643"/>
      <c r="AE89" s="1643"/>
      <c r="AF89" s="1643"/>
      <c r="AG89" s="1643"/>
      <c r="AH89" s="1643"/>
      <c r="AI89" s="1643"/>
      <c r="AJ89" s="1643"/>
      <c r="AK89" s="1643"/>
      <c r="AL89" s="1643"/>
      <c r="AM89" s="1643"/>
    </row>
    <row r="90" spans="1:39" ht="15.75" customHeight="1" x14ac:dyDescent="0.3">
      <c r="A90" s="1643"/>
      <c r="B90" s="1643"/>
      <c r="C90" s="1643"/>
      <c r="D90" s="1643"/>
      <c r="E90" s="1643"/>
      <c r="F90" s="1643"/>
      <c r="G90" s="1643"/>
      <c r="H90" s="1643"/>
      <c r="I90" s="1643"/>
      <c r="J90" s="1643"/>
      <c r="K90" s="1643"/>
      <c r="L90" s="1643"/>
      <c r="M90" s="1643"/>
      <c r="N90" s="1643"/>
      <c r="O90" s="1643"/>
      <c r="P90" s="1643"/>
      <c r="Q90" s="1643"/>
      <c r="R90" s="1643"/>
      <c r="S90" s="1643"/>
      <c r="T90" s="1643"/>
      <c r="U90" s="1643"/>
      <c r="V90" s="1643"/>
      <c r="W90" s="1643"/>
      <c r="X90" s="1643"/>
      <c r="Y90" s="1643"/>
      <c r="Z90" s="1643"/>
      <c r="AA90" s="1643"/>
      <c r="AB90" s="1643"/>
      <c r="AC90" s="1643"/>
      <c r="AD90" s="1643"/>
      <c r="AE90" s="1643"/>
      <c r="AF90" s="1643"/>
      <c r="AG90" s="1643"/>
      <c r="AH90" s="1643"/>
      <c r="AI90" s="1643"/>
      <c r="AJ90" s="1643"/>
      <c r="AK90" s="1643"/>
      <c r="AL90" s="1643"/>
      <c r="AM90" s="1643"/>
    </row>
    <row r="91" spans="1:39" ht="15.75" customHeight="1" x14ac:dyDescent="0.3">
      <c r="A91" s="1643"/>
      <c r="B91" s="1643"/>
      <c r="C91" s="1643"/>
      <c r="D91" s="1643"/>
      <c r="E91" s="1643"/>
      <c r="F91" s="1643"/>
      <c r="G91" s="1643"/>
      <c r="H91" s="1643"/>
      <c r="I91" s="1643"/>
      <c r="J91" s="1643"/>
      <c r="K91" s="1643"/>
      <c r="L91" s="1643"/>
      <c r="M91" s="1643"/>
      <c r="N91" s="1643"/>
      <c r="O91" s="1643"/>
      <c r="P91" s="1643"/>
      <c r="Q91" s="1643"/>
      <c r="R91" s="1643"/>
      <c r="S91" s="1643"/>
      <c r="T91" s="1643"/>
      <c r="U91" s="1643"/>
      <c r="V91" s="1643"/>
      <c r="W91" s="1643"/>
      <c r="X91" s="1643"/>
      <c r="Y91" s="1643"/>
      <c r="Z91" s="1643"/>
      <c r="AA91" s="1643"/>
      <c r="AB91" s="1643"/>
      <c r="AC91" s="1643"/>
      <c r="AD91" s="1643"/>
      <c r="AE91" s="1643"/>
      <c r="AF91" s="1643"/>
      <c r="AG91" s="1643"/>
      <c r="AH91" s="1643"/>
      <c r="AI91" s="1643"/>
      <c r="AJ91" s="1643"/>
      <c r="AK91" s="1643"/>
      <c r="AL91" s="1643"/>
      <c r="AM91" s="1643"/>
    </row>
    <row r="92" spans="1:39" ht="15.75" customHeight="1" x14ac:dyDescent="0.3">
      <c r="A92" s="1643"/>
      <c r="B92" s="1643"/>
      <c r="C92" s="1643"/>
      <c r="D92" s="1643"/>
      <c r="E92" s="1643"/>
      <c r="F92" s="1643"/>
      <c r="G92" s="1643"/>
      <c r="H92" s="1643"/>
      <c r="I92" s="1643"/>
      <c r="J92" s="1643"/>
      <c r="K92" s="1643"/>
      <c r="L92" s="1643"/>
      <c r="M92" s="1643"/>
      <c r="N92" s="1643"/>
      <c r="O92" s="1643"/>
      <c r="P92" s="1643"/>
      <c r="Q92" s="1643"/>
      <c r="R92" s="1643"/>
      <c r="S92" s="1643"/>
      <c r="T92" s="1643"/>
      <c r="U92" s="1643"/>
      <c r="V92" s="1643"/>
      <c r="W92" s="1643"/>
      <c r="X92" s="1643"/>
      <c r="Y92" s="1643"/>
      <c r="Z92" s="1643"/>
      <c r="AA92" s="1643"/>
      <c r="AB92" s="1643"/>
      <c r="AC92" s="1643"/>
      <c r="AD92" s="1643"/>
      <c r="AE92" s="1643"/>
      <c r="AF92" s="1643"/>
      <c r="AG92" s="1643"/>
      <c r="AH92" s="1643"/>
      <c r="AI92" s="1643"/>
      <c r="AJ92" s="1643"/>
      <c r="AK92" s="1643"/>
      <c r="AL92" s="1643"/>
      <c r="AM92" s="1643"/>
    </row>
    <row r="93" spans="1:39" ht="15.75" customHeight="1" x14ac:dyDescent="0.3">
      <c r="A93" s="1643"/>
      <c r="B93" s="1643"/>
      <c r="C93" s="1643"/>
      <c r="D93" s="1643"/>
      <c r="E93" s="1643"/>
      <c r="F93" s="1643"/>
      <c r="G93" s="1643"/>
      <c r="H93" s="1643"/>
      <c r="I93" s="1643"/>
      <c r="J93" s="1643"/>
      <c r="K93" s="1643"/>
      <c r="L93" s="1643"/>
      <c r="M93" s="1643"/>
      <c r="N93" s="1643"/>
      <c r="O93" s="1643"/>
      <c r="P93" s="1643"/>
      <c r="Q93" s="1643"/>
      <c r="R93" s="1643"/>
      <c r="S93" s="1643"/>
      <c r="T93" s="1643"/>
      <c r="U93" s="1643"/>
      <c r="V93" s="1643"/>
      <c r="W93" s="1643"/>
      <c r="X93" s="1643"/>
      <c r="Y93" s="1643"/>
      <c r="Z93" s="1643"/>
      <c r="AA93" s="1643"/>
      <c r="AB93" s="1643"/>
      <c r="AC93" s="1643"/>
      <c r="AD93" s="1643"/>
      <c r="AE93" s="1643"/>
      <c r="AF93" s="1643"/>
      <c r="AG93" s="1643"/>
      <c r="AH93" s="1643"/>
      <c r="AI93" s="1643"/>
      <c r="AJ93" s="1643"/>
      <c r="AK93" s="1643"/>
      <c r="AL93" s="1643"/>
      <c r="AM93" s="1643"/>
    </row>
    <row r="94" spans="1:39" ht="15.75" customHeight="1" x14ac:dyDescent="0.3">
      <c r="A94" s="1643"/>
      <c r="B94" s="1643"/>
      <c r="C94" s="1643"/>
      <c r="D94" s="1643"/>
      <c r="E94" s="1643"/>
      <c r="F94" s="1643"/>
      <c r="G94" s="1643"/>
      <c r="H94" s="1643"/>
      <c r="I94" s="1643"/>
      <c r="J94" s="1643"/>
      <c r="K94" s="1643"/>
      <c r="L94" s="1643"/>
      <c r="M94" s="1643"/>
      <c r="N94" s="1643"/>
      <c r="O94" s="1643"/>
      <c r="P94" s="1643"/>
      <c r="Q94" s="1643"/>
      <c r="R94" s="1643"/>
      <c r="S94" s="1643"/>
      <c r="T94" s="1643"/>
      <c r="U94" s="1643"/>
      <c r="V94" s="1643"/>
      <c r="W94" s="1643"/>
      <c r="X94" s="1643"/>
      <c r="Y94" s="1643"/>
      <c r="Z94" s="1643"/>
      <c r="AA94" s="1643"/>
      <c r="AB94" s="1643"/>
      <c r="AC94" s="1643"/>
      <c r="AD94" s="1643"/>
      <c r="AE94" s="1643"/>
      <c r="AF94" s="1643"/>
      <c r="AG94" s="1643"/>
      <c r="AH94" s="1643"/>
      <c r="AI94" s="1643"/>
      <c r="AJ94" s="1643"/>
      <c r="AK94" s="1643"/>
      <c r="AL94" s="1643"/>
      <c r="AM94" s="1643"/>
    </row>
    <row r="95" spans="1:39" ht="15.75" customHeight="1" x14ac:dyDescent="0.3">
      <c r="A95" s="1643"/>
      <c r="B95" s="1643"/>
      <c r="C95" s="1643"/>
      <c r="D95" s="1643"/>
      <c r="E95" s="1643"/>
      <c r="F95" s="1643"/>
      <c r="G95" s="1643"/>
      <c r="H95" s="1643"/>
      <c r="I95" s="1643"/>
      <c r="J95" s="1643"/>
      <c r="K95" s="1643"/>
      <c r="L95" s="1643"/>
      <c r="M95" s="1643"/>
      <c r="N95" s="1643"/>
      <c r="O95" s="1643"/>
      <c r="P95" s="1643"/>
      <c r="Q95" s="1643"/>
      <c r="R95" s="1643"/>
      <c r="S95" s="1643"/>
      <c r="T95" s="1643"/>
      <c r="U95" s="1643"/>
      <c r="V95" s="1643"/>
      <c r="W95" s="1643"/>
      <c r="X95" s="1643"/>
      <c r="Y95" s="1643"/>
      <c r="Z95" s="1643"/>
      <c r="AA95" s="1643"/>
      <c r="AB95" s="1643"/>
      <c r="AC95" s="1643"/>
      <c r="AD95" s="1643"/>
      <c r="AE95" s="1643"/>
      <c r="AF95" s="1643"/>
      <c r="AG95" s="1643"/>
      <c r="AH95" s="1643"/>
      <c r="AI95" s="1643"/>
      <c r="AJ95" s="1643"/>
      <c r="AK95" s="1643"/>
      <c r="AL95" s="1643"/>
      <c r="AM95" s="1643"/>
    </row>
    <row r="96" spans="1:39" ht="15.75" customHeight="1" x14ac:dyDescent="0.3">
      <c r="A96" s="1643"/>
      <c r="B96" s="1643"/>
      <c r="C96" s="1643"/>
      <c r="D96" s="1643"/>
      <c r="E96" s="1643"/>
      <c r="F96" s="1643"/>
      <c r="G96" s="1643"/>
      <c r="H96" s="1643"/>
      <c r="I96" s="1643"/>
      <c r="J96" s="1643"/>
      <c r="K96" s="1643"/>
      <c r="L96" s="1643"/>
      <c r="M96" s="1643"/>
      <c r="N96" s="1643"/>
      <c r="O96" s="1643"/>
      <c r="P96" s="1643"/>
      <c r="Q96" s="1643"/>
      <c r="R96" s="1643"/>
      <c r="S96" s="1643"/>
      <c r="T96" s="1643"/>
      <c r="U96" s="1643"/>
      <c r="V96" s="1643"/>
      <c r="W96" s="1643"/>
      <c r="X96" s="1643"/>
      <c r="Y96" s="1643"/>
      <c r="Z96" s="1643"/>
      <c r="AA96" s="1643"/>
      <c r="AB96" s="1643"/>
      <c r="AC96" s="1643"/>
      <c r="AD96" s="1643"/>
      <c r="AE96" s="1643"/>
      <c r="AF96" s="1643"/>
      <c r="AG96" s="1643"/>
      <c r="AH96" s="1643"/>
      <c r="AI96" s="1643"/>
      <c r="AJ96" s="1643"/>
      <c r="AK96" s="1643"/>
      <c r="AL96" s="1643"/>
      <c r="AM96" s="1643"/>
    </row>
    <row r="97" spans="1:39" ht="15.75" customHeight="1" x14ac:dyDescent="0.3">
      <c r="A97" s="1643"/>
      <c r="B97" s="1643"/>
      <c r="C97" s="1643"/>
      <c r="D97" s="1643"/>
      <c r="E97" s="1643"/>
      <c r="F97" s="1643"/>
      <c r="G97" s="1643"/>
      <c r="H97" s="1643"/>
      <c r="I97" s="1643"/>
      <c r="J97" s="1643"/>
      <c r="K97" s="1643"/>
      <c r="L97" s="1643"/>
      <c r="M97" s="1643"/>
      <c r="N97" s="1643"/>
      <c r="O97" s="1643"/>
      <c r="P97" s="1643"/>
      <c r="Q97" s="1643"/>
      <c r="R97" s="1643"/>
      <c r="S97" s="1643"/>
      <c r="T97" s="1643"/>
      <c r="U97" s="1643"/>
      <c r="V97" s="1643"/>
      <c r="W97" s="1643"/>
      <c r="X97" s="1643"/>
      <c r="Y97" s="1643"/>
      <c r="Z97" s="1643"/>
      <c r="AA97" s="1643"/>
      <c r="AB97" s="1643"/>
      <c r="AC97" s="1643"/>
      <c r="AD97" s="1643"/>
      <c r="AE97" s="1643"/>
      <c r="AF97" s="1643"/>
      <c r="AG97" s="1643"/>
      <c r="AH97" s="1643"/>
      <c r="AI97" s="1643"/>
      <c r="AJ97" s="1643"/>
      <c r="AK97" s="1643"/>
      <c r="AL97" s="1643"/>
      <c r="AM97" s="1643"/>
    </row>
    <row r="98" spans="1:39" ht="15.75" customHeight="1" x14ac:dyDescent="0.3">
      <c r="A98" s="1643"/>
      <c r="B98" s="1643"/>
      <c r="C98" s="1643"/>
      <c r="D98" s="1643"/>
      <c r="E98" s="1643"/>
      <c r="F98" s="1643"/>
      <c r="G98" s="1643"/>
      <c r="H98" s="1643"/>
      <c r="I98" s="1643"/>
      <c r="J98" s="1643"/>
      <c r="K98" s="1643"/>
      <c r="L98" s="1643"/>
      <c r="M98" s="1643"/>
      <c r="N98" s="1643"/>
      <c r="O98" s="1643"/>
      <c r="P98" s="1643"/>
      <c r="Q98" s="1643"/>
      <c r="R98" s="1643"/>
      <c r="S98" s="1643"/>
      <c r="T98" s="1643"/>
      <c r="U98" s="1643"/>
      <c r="V98" s="1643"/>
      <c r="W98" s="1643"/>
      <c r="X98" s="1643"/>
      <c r="Y98" s="1643"/>
      <c r="Z98" s="1643"/>
      <c r="AA98" s="1643"/>
      <c r="AB98" s="1643"/>
      <c r="AC98" s="1643"/>
      <c r="AD98" s="1643"/>
      <c r="AE98" s="1643"/>
      <c r="AF98" s="1643"/>
      <c r="AG98" s="1643"/>
      <c r="AH98" s="1643"/>
      <c r="AI98" s="1643"/>
      <c r="AJ98" s="1643"/>
      <c r="AK98" s="1643"/>
      <c r="AL98" s="1643"/>
      <c r="AM98" s="1643"/>
    </row>
    <row r="99" spans="1:39" ht="15.75" customHeight="1" x14ac:dyDescent="0.3">
      <c r="A99" s="1643"/>
      <c r="B99" s="1643"/>
      <c r="C99" s="1643"/>
      <c r="D99" s="1643"/>
      <c r="E99" s="1643"/>
      <c r="F99" s="1643"/>
      <c r="G99" s="1643"/>
      <c r="H99" s="1643"/>
      <c r="I99" s="1643"/>
      <c r="J99" s="1643"/>
      <c r="K99" s="1643"/>
      <c r="L99" s="1643"/>
      <c r="M99" s="1643"/>
      <c r="N99" s="1643"/>
      <c r="O99" s="1643"/>
      <c r="P99" s="1643"/>
      <c r="Q99" s="1643"/>
      <c r="R99" s="1643"/>
      <c r="S99" s="1643"/>
      <c r="T99" s="1643"/>
      <c r="U99" s="1643"/>
      <c r="V99" s="1643"/>
      <c r="W99" s="1643"/>
      <c r="X99" s="1643"/>
      <c r="Y99" s="1643"/>
      <c r="Z99" s="1643"/>
      <c r="AA99" s="1643"/>
      <c r="AB99" s="1643"/>
      <c r="AC99" s="1643"/>
      <c r="AD99" s="1643"/>
      <c r="AE99" s="1643"/>
      <c r="AF99" s="1643"/>
      <c r="AG99" s="1643"/>
      <c r="AH99" s="1643"/>
      <c r="AI99" s="1643"/>
      <c r="AJ99" s="1643"/>
      <c r="AK99" s="1643"/>
      <c r="AL99" s="1643"/>
      <c r="AM99" s="1643"/>
    </row>
    <row r="100" spans="1:39" ht="15.75" customHeight="1" x14ac:dyDescent="0.3">
      <c r="A100" s="1643"/>
      <c r="B100" s="1643"/>
      <c r="C100" s="1643"/>
      <c r="D100" s="1643"/>
      <c r="E100" s="1643"/>
      <c r="F100" s="1643"/>
      <c r="G100" s="1643"/>
      <c r="H100" s="1643"/>
      <c r="I100" s="1643"/>
      <c r="J100" s="1643"/>
      <c r="K100" s="1643"/>
      <c r="L100" s="1643"/>
      <c r="M100" s="1643"/>
      <c r="N100" s="1643"/>
      <c r="O100" s="1643"/>
      <c r="P100" s="1643"/>
      <c r="Q100" s="1643"/>
      <c r="R100" s="1643"/>
      <c r="S100" s="1643"/>
      <c r="T100" s="1643"/>
      <c r="U100" s="1643"/>
      <c r="V100" s="1643"/>
      <c r="W100" s="1643"/>
      <c r="X100" s="1643"/>
      <c r="Y100" s="1643"/>
      <c r="Z100" s="1643"/>
      <c r="AA100" s="1643"/>
      <c r="AB100" s="1643"/>
      <c r="AC100" s="1643"/>
      <c r="AD100" s="1643"/>
      <c r="AE100" s="1643"/>
      <c r="AF100" s="1643"/>
      <c r="AG100" s="1643"/>
      <c r="AH100" s="1643"/>
      <c r="AI100" s="1643"/>
      <c r="AJ100" s="1643"/>
      <c r="AK100" s="1643"/>
      <c r="AL100" s="1643"/>
      <c r="AM100" s="1643"/>
    </row>
    <row r="101" spans="1:39" ht="15.75" customHeight="1" x14ac:dyDescent="0.3">
      <c r="A101" s="1643"/>
      <c r="B101" s="1643"/>
      <c r="C101" s="1643"/>
      <c r="D101" s="1643"/>
      <c r="E101" s="1643"/>
      <c r="F101" s="1643"/>
      <c r="G101" s="1643"/>
      <c r="H101" s="1643"/>
      <c r="I101" s="1643"/>
      <c r="J101" s="1643"/>
      <c r="K101" s="1643"/>
      <c r="L101" s="1643"/>
      <c r="M101" s="1643"/>
      <c r="N101" s="1643"/>
      <c r="O101" s="1643"/>
      <c r="P101" s="1643"/>
      <c r="Q101" s="1643"/>
      <c r="R101" s="1643"/>
      <c r="S101" s="1643"/>
      <c r="T101" s="1643"/>
      <c r="U101" s="1643"/>
      <c r="V101" s="1643"/>
      <c r="W101" s="1643"/>
      <c r="X101" s="1643"/>
      <c r="Y101" s="1643"/>
      <c r="Z101" s="1643"/>
      <c r="AA101" s="1643"/>
      <c r="AB101" s="1643"/>
      <c r="AC101" s="1643"/>
      <c r="AD101" s="1643"/>
      <c r="AE101" s="1643"/>
      <c r="AF101" s="1643"/>
      <c r="AG101" s="1643"/>
      <c r="AH101" s="1643"/>
      <c r="AI101" s="1643"/>
      <c r="AJ101" s="1643"/>
      <c r="AK101" s="1643"/>
      <c r="AL101" s="1643"/>
      <c r="AM101" s="1643"/>
    </row>
    <row r="102" spans="1:39" ht="15.75" customHeight="1" x14ac:dyDescent="0.3">
      <c r="A102" s="1643"/>
      <c r="B102" s="1643"/>
      <c r="C102" s="1643"/>
      <c r="D102" s="1643"/>
      <c r="E102" s="1643"/>
      <c r="F102" s="1643"/>
      <c r="G102" s="1643"/>
      <c r="H102" s="1643"/>
      <c r="I102" s="1643"/>
      <c r="J102" s="1643"/>
      <c r="K102" s="1643"/>
      <c r="L102" s="1643"/>
      <c r="M102" s="1643"/>
      <c r="N102" s="1643"/>
      <c r="O102" s="1643"/>
      <c r="P102" s="1643"/>
      <c r="Q102" s="1643"/>
      <c r="R102" s="1643"/>
      <c r="S102" s="1643"/>
      <c r="T102" s="1643"/>
      <c r="U102" s="1643"/>
      <c r="V102" s="1643"/>
      <c r="W102" s="1643"/>
      <c r="X102" s="1643"/>
      <c r="Y102" s="1643"/>
      <c r="Z102" s="1643"/>
      <c r="AA102" s="1643"/>
      <c r="AB102" s="1643"/>
      <c r="AC102" s="1643"/>
      <c r="AD102" s="1643"/>
      <c r="AE102" s="1643"/>
      <c r="AF102" s="1643"/>
      <c r="AG102" s="1643"/>
      <c r="AH102" s="1643"/>
      <c r="AI102" s="1643"/>
      <c r="AJ102" s="1643"/>
      <c r="AK102" s="1643"/>
      <c r="AL102" s="1643"/>
      <c r="AM102" s="1643"/>
    </row>
    <row r="103" spans="1:39" ht="15.75" customHeight="1" x14ac:dyDescent="0.3">
      <c r="A103" s="1643"/>
      <c r="B103" s="1643"/>
      <c r="C103" s="1643"/>
      <c r="D103" s="1643"/>
      <c r="E103" s="1643"/>
      <c r="F103" s="1643"/>
      <c r="G103" s="1643"/>
      <c r="H103" s="1643"/>
      <c r="I103" s="1643"/>
      <c r="J103" s="1643"/>
      <c r="K103" s="1643"/>
      <c r="L103" s="1643"/>
      <c r="M103" s="1643"/>
      <c r="N103" s="1643"/>
      <c r="O103" s="1643"/>
      <c r="P103" s="1643"/>
      <c r="Q103" s="1643"/>
      <c r="R103" s="1643"/>
      <c r="S103" s="1643"/>
      <c r="T103" s="1643"/>
      <c r="U103" s="1643"/>
      <c r="V103" s="1643"/>
      <c r="W103" s="1643"/>
      <c r="X103" s="1643"/>
      <c r="Y103" s="1643"/>
      <c r="Z103" s="1643"/>
      <c r="AA103" s="1643"/>
      <c r="AB103" s="1643"/>
      <c r="AC103" s="1643"/>
      <c r="AD103" s="1643"/>
      <c r="AE103" s="1643"/>
      <c r="AF103" s="1643"/>
      <c r="AG103" s="1643"/>
      <c r="AH103" s="1643"/>
      <c r="AI103" s="1643"/>
      <c r="AJ103" s="1643"/>
      <c r="AK103" s="1643"/>
      <c r="AL103" s="1643"/>
      <c r="AM103" s="1643"/>
    </row>
    <row r="104" spans="1:39" ht="15.75" customHeight="1" x14ac:dyDescent="0.3">
      <c r="A104" s="1643"/>
      <c r="B104" s="1643"/>
      <c r="C104" s="1643"/>
      <c r="D104" s="1643"/>
      <c r="E104" s="1643"/>
      <c r="F104" s="1643"/>
      <c r="G104" s="1643"/>
      <c r="H104" s="1643"/>
      <c r="I104" s="1643"/>
      <c r="J104" s="1643"/>
      <c r="K104" s="1643"/>
      <c r="L104" s="1643"/>
      <c r="M104" s="1643"/>
      <c r="N104" s="1643"/>
      <c r="O104" s="1643"/>
      <c r="P104" s="1643"/>
      <c r="Q104" s="1643"/>
      <c r="R104" s="1643"/>
      <c r="S104" s="1643"/>
      <c r="T104" s="1643"/>
      <c r="U104" s="1643"/>
      <c r="V104" s="1643"/>
      <c r="W104" s="1643"/>
      <c r="X104" s="1643"/>
      <c r="Y104" s="1643"/>
      <c r="Z104" s="1643"/>
      <c r="AA104" s="1643"/>
      <c r="AB104" s="1643"/>
      <c r="AC104" s="1643"/>
      <c r="AD104" s="1643"/>
      <c r="AE104" s="1643"/>
      <c r="AF104" s="1643"/>
      <c r="AG104" s="1643"/>
      <c r="AH104" s="1643"/>
      <c r="AI104" s="1643"/>
      <c r="AJ104" s="1643"/>
      <c r="AK104" s="1643"/>
      <c r="AL104" s="1643"/>
      <c r="AM104" s="1643"/>
    </row>
    <row r="105" spans="1:39" ht="15.75" customHeight="1" x14ac:dyDescent="0.3">
      <c r="A105" s="1643"/>
      <c r="B105" s="1643"/>
      <c r="C105" s="1643"/>
      <c r="D105" s="1643"/>
      <c r="E105" s="1643"/>
      <c r="F105" s="1643"/>
      <c r="G105" s="1643"/>
      <c r="H105" s="1643"/>
      <c r="I105" s="1643"/>
      <c r="J105" s="1643"/>
      <c r="K105" s="1643"/>
      <c r="L105" s="1643"/>
      <c r="M105" s="1643"/>
      <c r="N105" s="1643"/>
      <c r="O105" s="1643"/>
      <c r="P105" s="1643"/>
      <c r="Q105" s="1643"/>
      <c r="R105" s="1643"/>
      <c r="S105" s="1643"/>
      <c r="T105" s="1643"/>
      <c r="U105" s="1643"/>
      <c r="V105" s="1643"/>
      <c r="W105" s="1643"/>
      <c r="X105" s="1643"/>
      <c r="Y105" s="1643"/>
      <c r="Z105" s="1643"/>
      <c r="AA105" s="1643"/>
      <c r="AB105" s="1643"/>
      <c r="AC105" s="1643"/>
      <c r="AD105" s="1643"/>
      <c r="AE105" s="1643"/>
      <c r="AF105" s="1643"/>
      <c r="AG105" s="1643"/>
      <c r="AH105" s="1643"/>
      <c r="AI105" s="1643"/>
      <c r="AJ105" s="1643"/>
      <c r="AK105" s="1643"/>
      <c r="AL105" s="1643"/>
      <c r="AM105" s="1643"/>
    </row>
    <row r="106" spans="1:39" ht="15.75" customHeight="1" x14ac:dyDescent="0.3">
      <c r="A106" s="1643"/>
      <c r="B106" s="1643"/>
      <c r="C106" s="1643"/>
      <c r="D106" s="1643"/>
      <c r="E106" s="1643"/>
      <c r="F106" s="1643"/>
      <c r="G106" s="1643"/>
      <c r="H106" s="1643"/>
      <c r="I106" s="1643"/>
      <c r="J106" s="1643"/>
      <c r="K106" s="1643"/>
      <c r="L106" s="1643"/>
      <c r="M106" s="1643"/>
      <c r="N106" s="1643"/>
      <c r="O106" s="1643"/>
      <c r="P106" s="1643"/>
      <c r="Q106" s="1643"/>
      <c r="R106" s="1643"/>
      <c r="S106" s="1643"/>
      <c r="T106" s="1643"/>
      <c r="U106" s="1643"/>
      <c r="V106" s="1643"/>
      <c r="W106" s="1643"/>
      <c r="X106" s="1643"/>
      <c r="Y106" s="1643"/>
      <c r="Z106" s="1643"/>
      <c r="AA106" s="1643"/>
      <c r="AB106" s="1643"/>
      <c r="AC106" s="1643"/>
      <c r="AD106" s="1643"/>
      <c r="AE106" s="1643"/>
      <c r="AF106" s="1643"/>
      <c r="AG106" s="1643"/>
      <c r="AH106" s="1643"/>
      <c r="AI106" s="1643"/>
      <c r="AJ106" s="1643"/>
      <c r="AK106" s="1643"/>
      <c r="AL106" s="1643"/>
      <c r="AM106" s="1643"/>
    </row>
    <row r="107" spans="1:39" ht="15.75" customHeight="1" x14ac:dyDescent="0.3">
      <c r="A107" s="1643"/>
      <c r="B107" s="1643"/>
      <c r="C107" s="1643"/>
      <c r="D107" s="1643"/>
      <c r="E107" s="1643"/>
      <c r="F107" s="1643"/>
      <c r="G107" s="1643"/>
      <c r="H107" s="1643"/>
      <c r="I107" s="1643"/>
      <c r="J107" s="1643"/>
      <c r="K107" s="1643"/>
      <c r="L107" s="1643"/>
      <c r="M107" s="1643"/>
      <c r="N107" s="1643"/>
      <c r="O107" s="1643"/>
      <c r="P107" s="1643"/>
      <c r="Q107" s="1643"/>
      <c r="R107" s="1643"/>
      <c r="S107" s="1643"/>
      <c r="T107" s="1643"/>
      <c r="U107" s="1643"/>
      <c r="V107" s="1643"/>
      <c r="W107" s="1643"/>
      <c r="X107" s="1643"/>
      <c r="Y107" s="1643"/>
      <c r="Z107" s="1643"/>
      <c r="AA107" s="1643"/>
      <c r="AB107" s="1643"/>
      <c r="AC107" s="1643"/>
      <c r="AD107" s="1643"/>
      <c r="AE107" s="1643"/>
      <c r="AF107" s="1643"/>
      <c r="AG107" s="1643"/>
      <c r="AH107" s="1643"/>
      <c r="AI107" s="1643"/>
      <c r="AJ107" s="1643"/>
      <c r="AK107" s="1643"/>
      <c r="AL107" s="1643"/>
      <c r="AM107" s="1643"/>
    </row>
    <row r="108" spans="1:39" ht="15.75" customHeight="1" x14ac:dyDescent="0.3">
      <c r="A108" s="1643"/>
      <c r="B108" s="1643"/>
      <c r="C108" s="1643"/>
      <c r="D108" s="1643"/>
      <c r="E108" s="1643"/>
      <c r="F108" s="1643"/>
      <c r="G108" s="1643"/>
      <c r="H108" s="1643"/>
      <c r="I108" s="1643"/>
      <c r="J108" s="1643"/>
      <c r="K108" s="1643"/>
      <c r="L108" s="1643"/>
      <c r="M108" s="1643"/>
      <c r="N108" s="1643"/>
      <c r="O108" s="1643"/>
      <c r="P108" s="1643"/>
      <c r="Q108" s="1643"/>
      <c r="R108" s="1643"/>
      <c r="S108" s="1643"/>
      <c r="T108" s="1643"/>
      <c r="U108" s="1643"/>
      <c r="V108" s="1643"/>
      <c r="W108" s="1643"/>
      <c r="X108" s="1643"/>
      <c r="Y108" s="1643"/>
      <c r="Z108" s="1643"/>
      <c r="AA108" s="1643"/>
      <c r="AB108" s="1643"/>
      <c r="AC108" s="1643"/>
      <c r="AD108" s="1643"/>
      <c r="AE108" s="1643"/>
      <c r="AF108" s="1643"/>
      <c r="AG108" s="1643"/>
      <c r="AH108" s="1643"/>
      <c r="AI108" s="1643"/>
      <c r="AJ108" s="1643"/>
      <c r="AK108" s="1643"/>
      <c r="AL108" s="1643"/>
      <c r="AM108" s="1643"/>
    </row>
    <row r="109" spans="1:39" ht="15.75" customHeight="1" x14ac:dyDescent="0.3">
      <c r="A109" s="1643"/>
      <c r="B109" s="1643"/>
      <c r="C109" s="1643"/>
      <c r="D109" s="1643"/>
      <c r="E109" s="1643"/>
      <c r="F109" s="1643"/>
      <c r="G109" s="1643"/>
      <c r="H109" s="1643"/>
      <c r="I109" s="1643"/>
      <c r="J109" s="1643"/>
      <c r="K109" s="1643"/>
      <c r="L109" s="1643"/>
      <c r="M109" s="1643"/>
      <c r="N109" s="1643"/>
      <c r="O109" s="1643"/>
      <c r="P109" s="1643"/>
      <c r="Q109" s="1643"/>
      <c r="R109" s="1643"/>
      <c r="S109" s="1643"/>
      <c r="T109" s="1643"/>
      <c r="U109" s="1643"/>
      <c r="V109" s="1643"/>
      <c r="W109" s="1643"/>
      <c r="X109" s="1643"/>
      <c r="Y109" s="1643"/>
      <c r="Z109" s="1643"/>
      <c r="AA109" s="1643"/>
      <c r="AB109" s="1643"/>
      <c r="AC109" s="1643"/>
      <c r="AD109" s="1643"/>
      <c r="AE109" s="1643"/>
      <c r="AF109" s="1643"/>
      <c r="AG109" s="1643"/>
      <c r="AH109" s="1643"/>
      <c r="AI109" s="1643"/>
      <c r="AJ109" s="1643"/>
      <c r="AK109" s="1643"/>
      <c r="AL109" s="1643"/>
      <c r="AM109" s="1643"/>
    </row>
    <row r="110" spans="1:39" ht="15.75" customHeight="1" x14ac:dyDescent="0.3">
      <c r="A110" s="1643"/>
      <c r="B110" s="1643"/>
      <c r="C110" s="1643"/>
      <c r="D110" s="1643"/>
      <c r="E110" s="1643"/>
      <c r="F110" s="1643"/>
      <c r="G110" s="1643"/>
      <c r="H110" s="1643"/>
      <c r="I110" s="1643"/>
      <c r="J110" s="1643"/>
      <c r="K110" s="1643"/>
      <c r="L110" s="1643"/>
      <c r="M110" s="1643"/>
      <c r="N110" s="1643"/>
      <c r="O110" s="1643"/>
      <c r="P110" s="1643"/>
      <c r="Q110" s="1643"/>
      <c r="R110" s="1643"/>
      <c r="S110" s="1643"/>
      <c r="T110" s="1643"/>
      <c r="U110" s="1643"/>
      <c r="V110" s="1643"/>
      <c r="W110" s="1643"/>
      <c r="X110" s="1643"/>
      <c r="Y110" s="1643"/>
      <c r="Z110" s="1643"/>
      <c r="AA110" s="1643"/>
      <c r="AB110" s="1643"/>
      <c r="AC110" s="1643"/>
      <c r="AD110" s="1643"/>
      <c r="AE110" s="1643"/>
      <c r="AF110" s="1643"/>
      <c r="AG110" s="1643"/>
      <c r="AH110" s="1643"/>
      <c r="AI110" s="1643"/>
      <c r="AJ110" s="1643"/>
      <c r="AK110" s="1643"/>
      <c r="AL110" s="1643"/>
      <c r="AM110" s="1643"/>
    </row>
    <row r="111" spans="1:39" ht="15.75" customHeight="1" x14ac:dyDescent="0.3">
      <c r="A111" s="1643"/>
      <c r="B111" s="1643"/>
      <c r="C111" s="1643"/>
      <c r="D111" s="1643"/>
      <c r="E111" s="1643"/>
      <c r="F111" s="1643"/>
      <c r="G111" s="1643"/>
      <c r="H111" s="1643"/>
      <c r="I111" s="1643"/>
      <c r="J111" s="1643"/>
      <c r="K111" s="1643"/>
      <c r="L111" s="1643"/>
      <c r="M111" s="1643"/>
      <c r="N111" s="1643"/>
      <c r="O111" s="1643"/>
      <c r="P111" s="1643"/>
      <c r="Q111" s="1643"/>
      <c r="R111" s="1643"/>
      <c r="S111" s="1643"/>
      <c r="T111" s="1643"/>
      <c r="U111" s="1643"/>
      <c r="V111" s="1643"/>
      <c r="W111" s="1643"/>
      <c r="X111" s="1643"/>
      <c r="Y111" s="1643"/>
      <c r="Z111" s="1643"/>
      <c r="AA111" s="1643"/>
      <c r="AB111" s="1643"/>
      <c r="AC111" s="1643"/>
      <c r="AD111" s="1643"/>
      <c r="AE111" s="1643"/>
      <c r="AF111" s="1643"/>
      <c r="AG111" s="1643"/>
      <c r="AH111" s="1643"/>
      <c r="AI111" s="1643"/>
      <c r="AJ111" s="1643"/>
      <c r="AK111" s="1643"/>
      <c r="AL111" s="1643"/>
      <c r="AM111" s="1643"/>
    </row>
    <row r="112" spans="1:39" ht="15.75" customHeight="1" x14ac:dyDescent="0.3">
      <c r="A112" s="1643"/>
      <c r="B112" s="1643"/>
      <c r="C112" s="1643"/>
      <c r="D112" s="1643"/>
      <c r="E112" s="1643"/>
      <c r="F112" s="1643"/>
      <c r="G112" s="1643"/>
      <c r="H112" s="1643"/>
      <c r="I112" s="1643"/>
      <c r="J112" s="1643"/>
      <c r="K112" s="1643"/>
      <c r="L112" s="1643"/>
      <c r="M112" s="1643"/>
      <c r="N112" s="1643"/>
      <c r="O112" s="1643"/>
      <c r="P112" s="1643"/>
      <c r="Q112" s="1643"/>
      <c r="R112" s="1643"/>
      <c r="S112" s="1643"/>
      <c r="T112" s="1643"/>
      <c r="U112" s="1643"/>
      <c r="V112" s="1643"/>
      <c r="W112" s="1643"/>
      <c r="X112" s="1643"/>
      <c r="Y112" s="1643"/>
      <c r="Z112" s="1643"/>
      <c r="AA112" s="1643"/>
      <c r="AB112" s="1643"/>
      <c r="AC112" s="1643"/>
      <c r="AD112" s="1643"/>
      <c r="AE112" s="1643"/>
      <c r="AF112" s="1643"/>
      <c r="AG112" s="1643"/>
      <c r="AH112" s="1643"/>
      <c r="AI112" s="1643"/>
      <c r="AJ112" s="1643"/>
      <c r="AK112" s="1643"/>
      <c r="AL112" s="1643"/>
      <c r="AM112" s="1643"/>
    </row>
    <row r="113" spans="1:39" ht="15.75" customHeight="1" x14ac:dyDescent="0.3">
      <c r="A113" s="1643"/>
      <c r="B113" s="1643"/>
      <c r="C113" s="1643"/>
      <c r="D113" s="1643"/>
      <c r="E113" s="1643"/>
      <c r="F113" s="1643"/>
      <c r="G113" s="1643"/>
      <c r="H113" s="1643"/>
      <c r="I113" s="1643"/>
      <c r="J113" s="1643"/>
      <c r="K113" s="1643"/>
      <c r="L113" s="1643"/>
      <c r="M113" s="1643"/>
      <c r="N113" s="1643"/>
      <c r="O113" s="1643"/>
      <c r="P113" s="1643"/>
      <c r="Q113" s="1643"/>
      <c r="R113" s="1643"/>
      <c r="S113" s="1643"/>
      <c r="T113" s="1643"/>
      <c r="U113" s="1643"/>
      <c r="V113" s="1643"/>
      <c r="W113" s="1643"/>
      <c r="X113" s="1643"/>
      <c r="Y113" s="1643"/>
      <c r="Z113" s="1643"/>
      <c r="AA113" s="1643"/>
      <c r="AB113" s="1643"/>
      <c r="AC113" s="1643"/>
      <c r="AD113" s="1643"/>
      <c r="AE113" s="1643"/>
      <c r="AF113" s="1643"/>
      <c r="AG113" s="1643"/>
      <c r="AH113" s="1643"/>
      <c r="AI113" s="1643"/>
      <c r="AJ113" s="1643"/>
      <c r="AK113" s="1643"/>
      <c r="AL113" s="1643"/>
      <c r="AM113" s="1643"/>
    </row>
    <row r="114" spans="1:39" ht="15.75" customHeight="1" x14ac:dyDescent="0.3">
      <c r="A114" s="1643"/>
      <c r="B114" s="1643"/>
      <c r="C114" s="1643"/>
      <c r="D114" s="1643"/>
      <c r="E114" s="1643"/>
      <c r="F114" s="1643"/>
      <c r="G114" s="1643"/>
      <c r="H114" s="1643"/>
      <c r="I114" s="1643"/>
      <c r="J114" s="1643"/>
      <c r="K114" s="1643"/>
      <c r="L114" s="1643"/>
      <c r="M114" s="1643"/>
      <c r="N114" s="1643"/>
      <c r="O114" s="1643"/>
      <c r="P114" s="1643"/>
      <c r="Q114" s="1643"/>
      <c r="R114" s="1643"/>
      <c r="S114" s="1643"/>
      <c r="T114" s="1643"/>
      <c r="U114" s="1643"/>
      <c r="V114" s="1643"/>
      <c r="W114" s="1643"/>
      <c r="X114" s="1643"/>
      <c r="Y114" s="1643"/>
      <c r="Z114" s="1643"/>
      <c r="AA114" s="1643"/>
      <c r="AB114" s="1643"/>
      <c r="AC114" s="1643"/>
      <c r="AD114" s="1643"/>
      <c r="AE114" s="1643"/>
      <c r="AF114" s="1643"/>
      <c r="AG114" s="1643"/>
      <c r="AH114" s="1643"/>
      <c r="AI114" s="1643"/>
      <c r="AJ114" s="1643"/>
      <c r="AK114" s="1643"/>
      <c r="AL114" s="1643"/>
      <c r="AM114" s="1643"/>
    </row>
    <row r="115" spans="1:39" ht="15.75" customHeight="1" x14ac:dyDescent="0.3">
      <c r="A115" s="1643"/>
      <c r="B115" s="1643"/>
      <c r="C115" s="1643"/>
      <c r="D115" s="1643"/>
      <c r="E115" s="1643"/>
      <c r="F115" s="1643"/>
      <c r="G115" s="1643"/>
      <c r="H115" s="1643"/>
      <c r="I115" s="1643"/>
      <c r="J115" s="1643"/>
      <c r="K115" s="1643"/>
      <c r="L115" s="1643"/>
      <c r="M115" s="1643"/>
      <c r="N115" s="1643"/>
      <c r="O115" s="1643"/>
      <c r="P115" s="1643"/>
      <c r="Q115" s="1643"/>
      <c r="R115" s="1643"/>
      <c r="S115" s="1643"/>
      <c r="T115" s="1643"/>
      <c r="U115" s="1643"/>
      <c r="V115" s="1643"/>
      <c r="W115" s="1643"/>
      <c r="X115" s="1643"/>
      <c r="Y115" s="1643"/>
      <c r="Z115" s="1643"/>
      <c r="AA115" s="1643"/>
      <c r="AB115" s="1643"/>
      <c r="AC115" s="1643"/>
      <c r="AD115" s="1643"/>
      <c r="AE115" s="1643"/>
      <c r="AF115" s="1643"/>
      <c r="AG115" s="1643"/>
      <c r="AH115" s="1643"/>
      <c r="AI115" s="1643"/>
      <c r="AJ115" s="1643"/>
      <c r="AK115" s="1643"/>
      <c r="AL115" s="1643"/>
      <c r="AM115" s="1643"/>
    </row>
    <row r="116" spans="1:39" ht="15.75" customHeight="1" x14ac:dyDescent="0.3">
      <c r="A116" s="1643"/>
      <c r="B116" s="1643"/>
      <c r="C116" s="1643"/>
      <c r="D116" s="1643"/>
      <c r="E116" s="1643"/>
      <c r="F116" s="1643"/>
      <c r="G116" s="1643"/>
      <c r="H116" s="1643"/>
      <c r="I116" s="1643"/>
      <c r="J116" s="1643"/>
      <c r="K116" s="1643"/>
      <c r="L116" s="1643"/>
      <c r="M116" s="1643"/>
      <c r="N116" s="1643"/>
      <c r="O116" s="1643"/>
      <c r="P116" s="1643"/>
      <c r="Q116" s="1643"/>
      <c r="R116" s="1643"/>
      <c r="S116" s="1643"/>
      <c r="T116" s="1643"/>
      <c r="U116" s="1643"/>
      <c r="V116" s="1643"/>
      <c r="W116" s="1643"/>
      <c r="X116" s="1643"/>
      <c r="Y116" s="1643"/>
      <c r="Z116" s="1643"/>
      <c r="AA116" s="1643"/>
      <c r="AB116" s="1643"/>
      <c r="AC116" s="1643"/>
      <c r="AD116" s="1643"/>
      <c r="AE116" s="1643"/>
      <c r="AF116" s="1643"/>
      <c r="AG116" s="1643"/>
      <c r="AH116" s="1643"/>
      <c r="AI116" s="1643"/>
      <c r="AJ116" s="1643"/>
      <c r="AK116" s="1643"/>
      <c r="AL116" s="1643"/>
      <c r="AM116" s="1643"/>
    </row>
    <row r="117" spans="1:39" ht="15.75" customHeight="1" x14ac:dyDescent="0.3">
      <c r="A117" s="1643"/>
      <c r="B117" s="1643"/>
      <c r="C117" s="1643"/>
      <c r="D117" s="1643"/>
      <c r="E117" s="1643"/>
      <c r="F117" s="1643"/>
      <c r="G117" s="1643"/>
      <c r="H117" s="1643"/>
      <c r="I117" s="1643"/>
      <c r="J117" s="1643"/>
      <c r="K117" s="1643"/>
      <c r="L117" s="1643"/>
      <c r="M117" s="1643"/>
      <c r="N117" s="1643"/>
      <c r="O117" s="1643"/>
      <c r="P117" s="1643"/>
      <c r="Q117" s="1643"/>
      <c r="R117" s="1643"/>
      <c r="S117" s="1643"/>
      <c r="T117" s="1643"/>
      <c r="U117" s="1643"/>
      <c r="V117" s="1643"/>
      <c r="W117" s="1643"/>
      <c r="X117" s="1643"/>
      <c r="Y117" s="1643"/>
      <c r="Z117" s="1643"/>
      <c r="AA117" s="1643"/>
      <c r="AB117" s="1643"/>
      <c r="AC117" s="1643"/>
      <c r="AD117" s="1643"/>
      <c r="AE117" s="1643"/>
      <c r="AF117" s="1643"/>
      <c r="AG117" s="1643"/>
      <c r="AH117" s="1643"/>
      <c r="AI117" s="1643"/>
      <c r="AJ117" s="1643"/>
      <c r="AK117" s="1643"/>
      <c r="AL117" s="1643"/>
      <c r="AM117" s="1643"/>
    </row>
    <row r="118" spans="1:39" ht="15.75" customHeight="1" x14ac:dyDescent="0.3">
      <c r="A118" s="1643"/>
      <c r="B118" s="1643"/>
      <c r="C118" s="1643"/>
      <c r="D118" s="1643"/>
      <c r="E118" s="1643"/>
      <c r="F118" s="1643"/>
      <c r="G118" s="1643"/>
      <c r="H118" s="1643"/>
      <c r="I118" s="1643"/>
      <c r="J118" s="1643"/>
      <c r="K118" s="1643"/>
      <c r="L118" s="1643"/>
      <c r="M118" s="1643"/>
      <c r="N118" s="1643"/>
      <c r="O118" s="1643"/>
      <c r="P118" s="1643"/>
      <c r="Q118" s="1643"/>
      <c r="R118" s="1643"/>
      <c r="S118" s="1643"/>
      <c r="T118" s="1643"/>
      <c r="U118" s="1643"/>
      <c r="V118" s="1643"/>
      <c r="W118" s="1643"/>
      <c r="X118" s="1643"/>
      <c r="Y118" s="1643"/>
      <c r="Z118" s="1643"/>
      <c r="AA118" s="1643"/>
      <c r="AB118" s="1643"/>
      <c r="AC118" s="1643"/>
      <c r="AD118" s="1643"/>
      <c r="AE118" s="1643"/>
      <c r="AF118" s="1643"/>
      <c r="AG118" s="1643"/>
      <c r="AH118" s="1643"/>
      <c r="AI118" s="1643"/>
      <c r="AJ118" s="1643"/>
      <c r="AK118" s="1643"/>
      <c r="AL118" s="1643"/>
      <c r="AM118" s="1643"/>
    </row>
    <row r="119" spans="1:39" ht="15.75" customHeight="1" x14ac:dyDescent="0.3">
      <c r="A119" s="1643"/>
      <c r="B119" s="1643"/>
      <c r="C119" s="1643"/>
      <c r="D119" s="1643"/>
      <c r="E119" s="1643"/>
      <c r="F119" s="1643"/>
      <c r="G119" s="1643"/>
      <c r="H119" s="1643"/>
      <c r="I119" s="1643"/>
      <c r="J119" s="1643"/>
      <c r="K119" s="1643"/>
      <c r="L119" s="1643"/>
      <c r="M119" s="1643"/>
      <c r="N119" s="1643"/>
      <c r="O119" s="1643"/>
      <c r="P119" s="1643"/>
      <c r="Q119" s="1643"/>
      <c r="R119" s="1643"/>
      <c r="S119" s="1643"/>
      <c r="T119" s="1643"/>
      <c r="U119" s="1643"/>
      <c r="V119" s="1643"/>
      <c r="W119" s="1643"/>
      <c r="X119" s="1643"/>
      <c r="Y119" s="1643"/>
      <c r="Z119" s="1643"/>
      <c r="AA119" s="1643"/>
      <c r="AB119" s="1643"/>
      <c r="AC119" s="1643"/>
      <c r="AD119" s="1643"/>
      <c r="AE119" s="1643"/>
      <c r="AF119" s="1643"/>
      <c r="AG119" s="1643"/>
      <c r="AH119" s="1643"/>
      <c r="AI119" s="1643"/>
      <c r="AJ119" s="1643"/>
      <c r="AK119" s="1643"/>
      <c r="AL119" s="1643"/>
      <c r="AM119" s="1643"/>
    </row>
    <row r="120" spans="1:39" ht="15.75" customHeight="1" x14ac:dyDescent="0.3">
      <c r="A120" s="1643"/>
      <c r="B120" s="1643"/>
      <c r="C120" s="1643"/>
      <c r="D120" s="1643"/>
      <c r="E120" s="1643"/>
      <c r="F120" s="1643"/>
      <c r="G120" s="1643"/>
      <c r="H120" s="1643"/>
      <c r="I120" s="1643"/>
      <c r="J120" s="1643"/>
      <c r="K120" s="1643"/>
      <c r="L120" s="1643"/>
      <c r="M120" s="1643"/>
      <c r="N120" s="1643"/>
      <c r="O120" s="1643"/>
      <c r="P120" s="1643"/>
      <c r="Q120" s="1643"/>
      <c r="R120" s="1643"/>
      <c r="S120" s="1643"/>
      <c r="T120" s="1643"/>
      <c r="U120" s="1643"/>
      <c r="V120" s="1643"/>
      <c r="W120" s="1643"/>
      <c r="X120" s="1643"/>
      <c r="Y120" s="1643"/>
      <c r="Z120" s="1643"/>
      <c r="AA120" s="1643"/>
      <c r="AB120" s="1643"/>
      <c r="AC120" s="1643"/>
      <c r="AD120" s="1643"/>
      <c r="AE120" s="1643"/>
      <c r="AF120" s="1643"/>
      <c r="AG120" s="1643"/>
      <c r="AH120" s="1643"/>
      <c r="AI120" s="1643"/>
      <c r="AJ120" s="1643"/>
      <c r="AK120" s="1643"/>
      <c r="AL120" s="1643"/>
      <c r="AM120" s="1643"/>
    </row>
    <row r="121" spans="1:39" ht="15.75" customHeight="1" x14ac:dyDescent="0.3">
      <c r="A121" s="1643"/>
      <c r="B121" s="1643"/>
      <c r="C121" s="1643"/>
      <c r="D121" s="1643"/>
      <c r="E121" s="1643"/>
      <c r="F121" s="1643"/>
      <c r="G121" s="1643"/>
      <c r="H121" s="1643"/>
      <c r="I121" s="1643"/>
      <c r="J121" s="1643"/>
      <c r="K121" s="1643"/>
      <c r="L121" s="1643"/>
      <c r="M121" s="1643"/>
      <c r="N121" s="1643"/>
      <c r="O121" s="1643"/>
      <c r="P121" s="1643"/>
      <c r="Q121" s="1643"/>
      <c r="R121" s="1643"/>
      <c r="S121" s="1643"/>
      <c r="T121" s="1643"/>
      <c r="U121" s="1643"/>
      <c r="V121" s="1643"/>
      <c r="W121" s="1643"/>
      <c r="X121" s="1643"/>
      <c r="Y121" s="1643"/>
      <c r="Z121" s="1643"/>
      <c r="AA121" s="1643"/>
      <c r="AB121" s="1643"/>
      <c r="AC121" s="1643"/>
      <c r="AD121" s="1643"/>
      <c r="AE121" s="1643"/>
      <c r="AF121" s="1643"/>
      <c r="AG121" s="1643"/>
      <c r="AH121" s="1643"/>
      <c r="AI121" s="1643"/>
      <c r="AJ121" s="1643"/>
      <c r="AK121" s="1643"/>
      <c r="AL121" s="1643"/>
      <c r="AM121" s="1643"/>
    </row>
    <row r="122" spans="1:39" ht="15.75" customHeight="1" x14ac:dyDescent="0.3">
      <c r="A122" s="1643"/>
      <c r="B122" s="1643"/>
      <c r="C122" s="1643"/>
      <c r="D122" s="1643"/>
      <c r="E122" s="1643"/>
      <c r="F122" s="1643"/>
      <c r="G122" s="1643"/>
      <c r="H122" s="1643"/>
      <c r="I122" s="1643"/>
      <c r="J122" s="1643"/>
      <c r="K122" s="1643"/>
      <c r="L122" s="1643"/>
      <c r="M122" s="1643"/>
      <c r="N122" s="1643"/>
      <c r="O122" s="1643"/>
      <c r="P122" s="1643"/>
      <c r="Q122" s="1643"/>
      <c r="R122" s="1643"/>
      <c r="S122" s="1643"/>
      <c r="T122" s="1643"/>
      <c r="U122" s="1643"/>
      <c r="V122" s="1643"/>
      <c r="W122" s="1643"/>
      <c r="X122" s="1643"/>
      <c r="Y122" s="1643"/>
      <c r="Z122" s="1643"/>
      <c r="AA122" s="1643"/>
      <c r="AB122" s="1643"/>
      <c r="AC122" s="1643"/>
      <c r="AD122" s="1643"/>
      <c r="AE122" s="1643"/>
      <c r="AF122" s="1643"/>
      <c r="AG122" s="1643"/>
      <c r="AH122" s="1643"/>
      <c r="AI122" s="1643"/>
      <c r="AJ122" s="1643"/>
      <c r="AK122" s="1643"/>
      <c r="AL122" s="1643"/>
      <c r="AM122" s="1643"/>
    </row>
    <row r="123" spans="1:39" ht="15.75" customHeight="1" x14ac:dyDescent="0.3">
      <c r="A123" s="1643"/>
      <c r="B123" s="1643"/>
      <c r="C123" s="1643"/>
      <c r="D123" s="1643"/>
      <c r="E123" s="1643"/>
      <c r="F123" s="1643"/>
      <c r="G123" s="1643"/>
      <c r="H123" s="1643"/>
      <c r="I123" s="1643"/>
      <c r="J123" s="1643"/>
      <c r="K123" s="1643"/>
      <c r="L123" s="1643"/>
      <c r="M123" s="1643"/>
      <c r="N123" s="1643"/>
      <c r="O123" s="1643"/>
      <c r="P123" s="1643"/>
      <c r="Q123" s="1643"/>
      <c r="R123" s="1643"/>
      <c r="S123" s="1643"/>
      <c r="T123" s="1643"/>
      <c r="U123" s="1643"/>
      <c r="V123" s="1643"/>
      <c r="W123" s="1643"/>
      <c r="X123" s="1643"/>
      <c r="Y123" s="1643"/>
      <c r="Z123" s="1643"/>
      <c r="AA123" s="1643"/>
      <c r="AB123" s="1643"/>
      <c r="AC123" s="1643"/>
      <c r="AD123" s="1643"/>
      <c r="AE123" s="1643"/>
      <c r="AF123" s="1643"/>
      <c r="AG123" s="1643"/>
      <c r="AH123" s="1643"/>
      <c r="AI123" s="1643"/>
      <c r="AJ123" s="1643"/>
      <c r="AK123" s="1643"/>
      <c r="AL123" s="1643"/>
      <c r="AM123" s="1643"/>
    </row>
    <row r="124" spans="1:39" ht="15.75" customHeight="1" x14ac:dyDescent="0.3">
      <c r="A124" s="1643"/>
      <c r="B124" s="1643"/>
      <c r="C124" s="1643"/>
      <c r="D124" s="1643"/>
      <c r="E124" s="1643"/>
      <c r="F124" s="1643"/>
      <c r="G124" s="1643"/>
      <c r="H124" s="1643"/>
      <c r="I124" s="1643"/>
      <c r="J124" s="1643"/>
      <c r="K124" s="1643"/>
      <c r="L124" s="1643"/>
      <c r="M124" s="1643"/>
      <c r="N124" s="1643"/>
      <c r="O124" s="1643"/>
      <c r="P124" s="1643"/>
      <c r="Q124" s="1643"/>
      <c r="R124" s="1643"/>
      <c r="S124" s="1643"/>
      <c r="T124" s="1643"/>
      <c r="U124" s="1643"/>
      <c r="V124" s="1643"/>
      <c r="W124" s="1643"/>
      <c r="X124" s="1643"/>
      <c r="Y124" s="1643"/>
      <c r="Z124" s="1643"/>
      <c r="AA124" s="1643"/>
      <c r="AB124" s="1643"/>
      <c r="AC124" s="1643"/>
      <c r="AD124" s="1643"/>
      <c r="AE124" s="1643"/>
      <c r="AF124" s="1643"/>
      <c r="AG124" s="1643"/>
      <c r="AH124" s="1643"/>
      <c r="AI124" s="1643"/>
      <c r="AJ124" s="1643"/>
      <c r="AK124" s="1643"/>
      <c r="AL124" s="1643"/>
      <c r="AM124" s="1643"/>
    </row>
    <row r="125" spans="1:39" ht="15.75" customHeight="1" x14ac:dyDescent="0.3">
      <c r="A125" s="1643"/>
      <c r="B125" s="1643"/>
      <c r="C125" s="1643"/>
      <c r="D125" s="1643"/>
      <c r="E125" s="1643"/>
      <c r="F125" s="1643"/>
      <c r="G125" s="1643"/>
      <c r="H125" s="1643"/>
      <c r="I125" s="1643"/>
      <c r="J125" s="1643"/>
      <c r="K125" s="1643"/>
      <c r="L125" s="1643"/>
      <c r="M125" s="1643"/>
      <c r="N125" s="1643"/>
      <c r="O125" s="1643"/>
      <c r="P125" s="1643"/>
      <c r="Q125" s="1643"/>
      <c r="R125" s="1643"/>
      <c r="S125" s="1643"/>
      <c r="T125" s="1643"/>
      <c r="U125" s="1643"/>
      <c r="V125" s="1643"/>
      <c r="W125" s="1643"/>
      <c r="X125" s="1643"/>
      <c r="Y125" s="1643"/>
      <c r="Z125" s="1643"/>
      <c r="AA125" s="1643"/>
      <c r="AB125" s="1643"/>
      <c r="AC125" s="1643"/>
      <c r="AD125" s="1643"/>
      <c r="AE125" s="1643"/>
      <c r="AF125" s="1643"/>
      <c r="AG125" s="1643"/>
      <c r="AH125" s="1643"/>
      <c r="AI125" s="1643"/>
      <c r="AJ125" s="1643"/>
      <c r="AK125" s="1643"/>
      <c r="AL125" s="1643"/>
      <c r="AM125" s="1643"/>
    </row>
    <row r="126" spans="1:39" ht="15.75" customHeight="1" x14ac:dyDescent="0.3">
      <c r="A126" s="1643"/>
      <c r="B126" s="1643"/>
      <c r="C126" s="1643"/>
      <c r="D126" s="1643"/>
      <c r="E126" s="1643"/>
      <c r="F126" s="1643"/>
      <c r="G126" s="1643"/>
      <c r="H126" s="1643"/>
      <c r="I126" s="1643"/>
      <c r="J126" s="1643"/>
      <c r="K126" s="1643"/>
      <c r="L126" s="1643"/>
      <c r="M126" s="1643"/>
      <c r="N126" s="1643"/>
      <c r="O126" s="1643"/>
      <c r="P126" s="1643"/>
      <c r="Q126" s="1643"/>
      <c r="R126" s="1643"/>
      <c r="S126" s="1643"/>
      <c r="T126" s="1643"/>
      <c r="U126" s="1643"/>
      <c r="V126" s="1643"/>
      <c r="W126" s="1643"/>
      <c r="X126" s="1643"/>
      <c r="Y126" s="1643"/>
      <c r="Z126" s="1643"/>
      <c r="AA126" s="1643"/>
      <c r="AB126" s="1643"/>
      <c r="AC126" s="1643"/>
      <c r="AD126" s="1643"/>
      <c r="AE126" s="1643"/>
      <c r="AF126" s="1643"/>
      <c r="AG126" s="1643"/>
      <c r="AH126" s="1643"/>
      <c r="AI126" s="1643"/>
      <c r="AJ126" s="1643"/>
      <c r="AK126" s="1643"/>
      <c r="AL126" s="1643"/>
      <c r="AM126" s="1643"/>
    </row>
    <row r="127" spans="1:39" ht="15.75" customHeight="1" x14ac:dyDescent="0.3">
      <c r="A127" s="1643"/>
      <c r="B127" s="1643"/>
      <c r="C127" s="1643"/>
      <c r="D127" s="1643"/>
      <c r="E127" s="1643"/>
      <c r="F127" s="1643"/>
      <c r="G127" s="1643"/>
      <c r="H127" s="1643"/>
      <c r="I127" s="1643"/>
      <c r="J127" s="1643"/>
      <c r="K127" s="1643"/>
      <c r="L127" s="1643"/>
      <c r="M127" s="1643"/>
      <c r="N127" s="1643"/>
      <c r="O127" s="1643"/>
      <c r="P127" s="1643"/>
      <c r="Q127" s="1643"/>
      <c r="R127" s="1643"/>
      <c r="S127" s="1643"/>
      <c r="T127" s="1643"/>
      <c r="U127" s="1643"/>
      <c r="V127" s="1643"/>
      <c r="W127" s="1643"/>
      <c r="X127" s="1643"/>
      <c r="Y127" s="1643"/>
      <c r="Z127" s="1643"/>
      <c r="AA127" s="1643"/>
      <c r="AB127" s="1643"/>
      <c r="AC127" s="1643"/>
      <c r="AD127" s="1643"/>
      <c r="AE127" s="1643"/>
      <c r="AF127" s="1643"/>
      <c r="AG127" s="1643"/>
      <c r="AH127" s="1643"/>
      <c r="AI127" s="1643"/>
      <c r="AJ127" s="1643"/>
      <c r="AK127" s="1643"/>
      <c r="AL127" s="1643"/>
      <c r="AM127" s="1643"/>
    </row>
    <row r="128" spans="1:39" ht="15.75" customHeight="1" x14ac:dyDescent="0.3">
      <c r="A128" s="1643"/>
      <c r="B128" s="1643"/>
      <c r="C128" s="1643"/>
      <c r="D128" s="1643"/>
      <c r="E128" s="1643"/>
      <c r="F128" s="1643"/>
      <c r="G128" s="1643"/>
      <c r="H128" s="1643"/>
      <c r="I128" s="1643"/>
      <c r="J128" s="1643"/>
      <c r="K128" s="1643"/>
      <c r="L128" s="1643"/>
      <c r="M128" s="1643"/>
      <c r="N128" s="1643"/>
      <c r="O128" s="1643"/>
      <c r="P128" s="1643"/>
      <c r="Q128" s="1643"/>
      <c r="R128" s="1643"/>
      <c r="S128" s="1643"/>
      <c r="T128" s="1643"/>
      <c r="U128" s="1643"/>
      <c r="V128" s="1643"/>
      <c r="W128" s="1643"/>
      <c r="X128" s="1643"/>
      <c r="Y128" s="1643"/>
      <c r="Z128" s="1643"/>
      <c r="AA128" s="1643"/>
      <c r="AB128" s="1643"/>
      <c r="AC128" s="1643"/>
      <c r="AD128" s="1643"/>
      <c r="AE128" s="1643"/>
      <c r="AF128" s="1643"/>
      <c r="AG128" s="1643"/>
      <c r="AH128" s="1643"/>
      <c r="AI128" s="1643"/>
      <c r="AJ128" s="1643"/>
      <c r="AK128" s="1643"/>
      <c r="AL128" s="1643"/>
      <c r="AM128" s="1643"/>
    </row>
    <row r="129" spans="1:39" ht="15.75" customHeight="1" x14ac:dyDescent="0.3">
      <c r="A129" s="1643"/>
      <c r="B129" s="1643"/>
      <c r="C129" s="1643"/>
      <c r="D129" s="1643"/>
      <c r="E129" s="1643"/>
      <c r="F129" s="1643"/>
      <c r="G129" s="1643"/>
      <c r="H129" s="1643"/>
      <c r="I129" s="1643"/>
      <c r="J129" s="1643"/>
      <c r="K129" s="1643"/>
      <c r="L129" s="1643"/>
      <c r="M129" s="1643"/>
      <c r="N129" s="1643"/>
      <c r="O129" s="1643"/>
      <c r="P129" s="1643"/>
      <c r="Q129" s="1643"/>
      <c r="R129" s="1643"/>
      <c r="S129" s="1643"/>
      <c r="T129" s="1643"/>
      <c r="U129" s="1643"/>
      <c r="V129" s="1643"/>
      <c r="W129" s="1643"/>
      <c r="X129" s="1643"/>
      <c r="Y129" s="1643"/>
      <c r="Z129" s="1643"/>
      <c r="AA129" s="1643"/>
      <c r="AB129" s="1643"/>
      <c r="AC129" s="1643"/>
      <c r="AD129" s="1643"/>
      <c r="AE129" s="1643"/>
      <c r="AF129" s="1643"/>
      <c r="AG129" s="1643"/>
      <c r="AH129" s="1643"/>
      <c r="AI129" s="1643"/>
      <c r="AJ129" s="1643"/>
      <c r="AK129" s="1643"/>
      <c r="AL129" s="1643"/>
      <c r="AM129" s="1643"/>
    </row>
    <row r="130" spans="1:39" ht="15.75" customHeight="1" x14ac:dyDescent="0.3">
      <c r="A130" s="1643"/>
      <c r="B130" s="1643"/>
      <c r="C130" s="1643"/>
      <c r="D130" s="1643"/>
      <c r="E130" s="1643"/>
      <c r="F130" s="1643"/>
      <c r="G130" s="1643"/>
      <c r="H130" s="1643"/>
      <c r="I130" s="1643"/>
      <c r="J130" s="1643"/>
      <c r="K130" s="1643"/>
      <c r="L130" s="1643"/>
      <c r="M130" s="1643"/>
      <c r="N130" s="1643"/>
      <c r="O130" s="1643"/>
      <c r="P130" s="1643"/>
      <c r="Q130" s="1643"/>
      <c r="R130" s="1643"/>
      <c r="S130" s="1643"/>
      <c r="T130" s="1643"/>
      <c r="U130" s="1643"/>
      <c r="V130" s="1643"/>
      <c r="W130" s="1643"/>
      <c r="X130" s="1643"/>
      <c r="Y130" s="1643"/>
      <c r="Z130" s="1643"/>
      <c r="AA130" s="1643"/>
      <c r="AB130" s="1643"/>
      <c r="AC130" s="1643"/>
      <c r="AD130" s="1643"/>
      <c r="AE130" s="1643"/>
      <c r="AF130" s="1643"/>
      <c r="AG130" s="1643"/>
      <c r="AH130" s="1643"/>
      <c r="AI130" s="1643"/>
      <c r="AJ130" s="1643"/>
      <c r="AK130" s="1643"/>
      <c r="AL130" s="1643"/>
      <c r="AM130" s="1643"/>
    </row>
    <row r="131" spans="1:39" ht="15.75" customHeight="1" x14ac:dyDescent="0.3">
      <c r="A131" s="1643"/>
      <c r="B131" s="1643"/>
      <c r="C131" s="1643"/>
      <c r="D131" s="1643"/>
      <c r="E131" s="1643"/>
      <c r="F131" s="1643"/>
      <c r="G131" s="1643"/>
      <c r="H131" s="1643"/>
      <c r="I131" s="1643"/>
      <c r="J131" s="1643"/>
      <c r="K131" s="1643"/>
      <c r="L131" s="1643"/>
      <c r="M131" s="1643"/>
      <c r="N131" s="1643"/>
      <c r="O131" s="1643"/>
      <c r="P131" s="1643"/>
      <c r="Q131" s="1643"/>
      <c r="R131" s="1643"/>
      <c r="S131" s="1643"/>
      <c r="T131" s="1643"/>
      <c r="U131" s="1643"/>
      <c r="V131" s="1643"/>
      <c r="W131" s="1643"/>
      <c r="X131" s="1643"/>
      <c r="Y131" s="1643"/>
      <c r="Z131" s="1643"/>
      <c r="AA131" s="1643"/>
      <c r="AB131" s="1643"/>
      <c r="AC131" s="1643"/>
      <c r="AD131" s="1643"/>
      <c r="AE131" s="1643"/>
      <c r="AF131" s="1643"/>
      <c r="AG131" s="1643"/>
      <c r="AH131" s="1643"/>
      <c r="AI131" s="1643"/>
      <c r="AJ131" s="1643"/>
      <c r="AK131" s="1643"/>
      <c r="AL131" s="1643"/>
      <c r="AM131" s="1643"/>
    </row>
    <row r="132" spans="1:39" ht="15.75" customHeight="1" x14ac:dyDescent="0.3">
      <c r="A132" s="1643"/>
      <c r="B132" s="1643"/>
      <c r="C132" s="1643"/>
      <c r="D132" s="1643"/>
      <c r="E132" s="1643"/>
      <c r="F132" s="1643"/>
      <c r="G132" s="1643"/>
      <c r="H132" s="1643"/>
      <c r="I132" s="1643"/>
      <c r="J132" s="1643"/>
      <c r="K132" s="1643"/>
      <c r="L132" s="1643"/>
      <c r="M132" s="1643"/>
      <c r="N132" s="1643"/>
      <c r="O132" s="1643"/>
      <c r="P132" s="1643"/>
      <c r="Q132" s="1643"/>
      <c r="R132" s="1643"/>
      <c r="S132" s="1643"/>
      <c r="T132" s="1643"/>
      <c r="U132" s="1643"/>
      <c r="V132" s="1643"/>
      <c r="W132" s="1643"/>
      <c r="X132" s="1643"/>
      <c r="Y132" s="1643"/>
      <c r="Z132" s="1643"/>
      <c r="AA132" s="1643"/>
      <c r="AB132" s="1643"/>
      <c r="AC132" s="1643"/>
      <c r="AD132" s="1643"/>
      <c r="AE132" s="1643"/>
      <c r="AF132" s="1643"/>
      <c r="AG132" s="1643"/>
      <c r="AH132" s="1643"/>
      <c r="AI132" s="1643"/>
      <c r="AJ132" s="1643"/>
      <c r="AK132" s="1643"/>
      <c r="AL132" s="1643"/>
      <c r="AM132" s="1643"/>
    </row>
    <row r="133" spans="1:39" ht="15.75" customHeight="1" x14ac:dyDescent="0.3">
      <c r="A133" s="1643"/>
      <c r="B133" s="1643"/>
      <c r="C133" s="1643"/>
      <c r="D133" s="1643"/>
      <c r="E133" s="1643"/>
      <c r="F133" s="1643"/>
      <c r="G133" s="1643"/>
      <c r="H133" s="1643"/>
      <c r="I133" s="1643"/>
      <c r="J133" s="1643"/>
      <c r="K133" s="1643"/>
      <c r="L133" s="1643"/>
      <c r="M133" s="1643"/>
      <c r="N133" s="1643"/>
      <c r="O133" s="1643"/>
      <c r="P133" s="1643"/>
      <c r="Q133" s="1643"/>
      <c r="R133" s="1643"/>
      <c r="S133" s="1643"/>
      <c r="T133" s="1643"/>
      <c r="U133" s="1643"/>
      <c r="V133" s="1643"/>
      <c r="W133" s="1643"/>
      <c r="X133" s="1643"/>
      <c r="Y133" s="1643"/>
      <c r="Z133" s="1643"/>
      <c r="AA133" s="1643"/>
      <c r="AB133" s="1643"/>
      <c r="AC133" s="1643"/>
      <c r="AD133" s="1643"/>
      <c r="AE133" s="1643"/>
      <c r="AF133" s="1643"/>
      <c r="AG133" s="1643"/>
      <c r="AH133" s="1643"/>
      <c r="AI133" s="1643"/>
      <c r="AJ133" s="1643"/>
      <c r="AK133" s="1643"/>
      <c r="AL133" s="1643"/>
      <c r="AM133" s="1643"/>
    </row>
    <row r="134" spans="1:39" ht="15.75" customHeight="1" x14ac:dyDescent="0.3">
      <c r="A134" s="1643"/>
      <c r="B134" s="1643"/>
      <c r="C134" s="1643"/>
      <c r="D134" s="1643"/>
      <c r="E134" s="1643"/>
      <c r="F134" s="1643"/>
      <c r="G134" s="1643"/>
      <c r="H134" s="1643"/>
      <c r="I134" s="1643"/>
      <c r="J134" s="1643"/>
      <c r="K134" s="1643"/>
      <c r="L134" s="1643"/>
      <c r="M134" s="1643"/>
      <c r="N134" s="1643"/>
      <c r="O134" s="1643"/>
      <c r="P134" s="1643"/>
      <c r="Q134" s="1643"/>
      <c r="R134" s="1643"/>
      <c r="S134" s="1643"/>
      <c r="T134" s="1643"/>
      <c r="U134" s="1643"/>
      <c r="V134" s="1643"/>
      <c r="W134" s="1643"/>
      <c r="X134" s="1643"/>
      <c r="Y134" s="1643"/>
      <c r="Z134" s="1643"/>
      <c r="AA134" s="1643"/>
      <c r="AB134" s="1643"/>
      <c r="AC134" s="1643"/>
      <c r="AD134" s="1643"/>
      <c r="AE134" s="1643"/>
      <c r="AF134" s="1643"/>
      <c r="AG134" s="1643"/>
      <c r="AH134" s="1643"/>
      <c r="AI134" s="1643"/>
      <c r="AJ134" s="1643"/>
      <c r="AK134" s="1643"/>
      <c r="AL134" s="1643"/>
      <c r="AM134" s="1643"/>
    </row>
    <row r="135" spans="1:39" ht="15.75" customHeight="1" x14ac:dyDescent="0.3">
      <c r="A135" s="1643"/>
      <c r="B135" s="1643"/>
      <c r="C135" s="1643"/>
      <c r="D135" s="1643"/>
      <c r="E135" s="1643"/>
      <c r="F135" s="1643"/>
      <c r="G135" s="1643"/>
      <c r="H135" s="1643"/>
      <c r="I135" s="1643"/>
      <c r="J135" s="1643"/>
      <c r="K135" s="1643"/>
      <c r="L135" s="1643"/>
      <c r="M135" s="1643"/>
      <c r="N135" s="1643"/>
      <c r="O135" s="1643"/>
      <c r="P135" s="1643"/>
      <c r="Q135" s="1643"/>
      <c r="R135" s="1643"/>
      <c r="S135" s="1643"/>
      <c r="T135" s="1643"/>
      <c r="U135" s="1643"/>
      <c r="V135" s="1643"/>
      <c r="W135" s="1643"/>
      <c r="X135" s="1643"/>
      <c r="Y135" s="1643"/>
      <c r="Z135" s="1643"/>
      <c r="AA135" s="1643"/>
      <c r="AB135" s="1643"/>
      <c r="AC135" s="1643"/>
      <c r="AD135" s="1643"/>
      <c r="AE135" s="1643"/>
      <c r="AF135" s="1643"/>
      <c r="AG135" s="1643"/>
      <c r="AH135" s="1643"/>
      <c r="AI135" s="1643"/>
      <c r="AJ135" s="1643"/>
      <c r="AK135" s="1643"/>
      <c r="AL135" s="1643"/>
      <c r="AM135" s="1643"/>
    </row>
    <row r="136" spans="1:39" ht="15.75" customHeight="1" x14ac:dyDescent="0.3">
      <c r="A136" s="1643"/>
      <c r="B136" s="1643"/>
      <c r="C136" s="1643"/>
      <c r="D136" s="1643"/>
      <c r="E136" s="1643"/>
      <c r="F136" s="1643"/>
      <c r="G136" s="1643"/>
      <c r="H136" s="1643"/>
      <c r="I136" s="1643"/>
      <c r="J136" s="1643"/>
      <c r="K136" s="1643"/>
      <c r="L136" s="1643"/>
      <c r="M136" s="1643"/>
      <c r="N136" s="1643"/>
      <c r="O136" s="1643"/>
      <c r="P136" s="1643"/>
      <c r="Q136" s="1643"/>
      <c r="R136" s="1643"/>
      <c r="S136" s="1643"/>
      <c r="T136" s="1643"/>
      <c r="U136" s="1643"/>
      <c r="V136" s="1643"/>
      <c r="W136" s="1643"/>
      <c r="X136" s="1643"/>
      <c r="Y136" s="1643"/>
      <c r="Z136" s="1643"/>
      <c r="AA136" s="1643"/>
      <c r="AB136" s="1643"/>
      <c r="AC136" s="1643"/>
      <c r="AD136" s="1643"/>
      <c r="AE136" s="1643"/>
      <c r="AF136" s="1643"/>
      <c r="AG136" s="1643"/>
      <c r="AH136" s="1643"/>
      <c r="AI136" s="1643"/>
      <c r="AJ136" s="1643"/>
      <c r="AK136" s="1643"/>
      <c r="AL136" s="1643"/>
      <c r="AM136" s="1643"/>
    </row>
    <row r="137" spans="1:39" ht="15.75" customHeight="1" x14ac:dyDescent="0.3">
      <c r="A137" s="1643"/>
      <c r="B137" s="1643"/>
      <c r="C137" s="1643"/>
      <c r="D137" s="1643"/>
      <c r="E137" s="1643"/>
      <c r="F137" s="1643"/>
      <c r="G137" s="1643"/>
      <c r="H137" s="1643"/>
      <c r="I137" s="1643"/>
      <c r="J137" s="1643"/>
      <c r="K137" s="1643"/>
      <c r="L137" s="1643"/>
      <c r="M137" s="1643"/>
      <c r="N137" s="1643"/>
      <c r="O137" s="1643"/>
      <c r="P137" s="1643"/>
      <c r="Q137" s="1643"/>
      <c r="R137" s="1643"/>
      <c r="S137" s="1643"/>
      <c r="T137" s="1643"/>
      <c r="U137" s="1643"/>
      <c r="V137" s="1643"/>
      <c r="W137" s="1643"/>
      <c r="X137" s="1643"/>
      <c r="Y137" s="1643"/>
      <c r="Z137" s="1643"/>
      <c r="AA137" s="1643"/>
      <c r="AB137" s="1643"/>
      <c r="AC137" s="1643"/>
      <c r="AD137" s="1643"/>
      <c r="AE137" s="1643"/>
      <c r="AF137" s="1643"/>
      <c r="AG137" s="1643"/>
      <c r="AH137" s="1643"/>
      <c r="AI137" s="1643"/>
      <c r="AJ137" s="1643"/>
      <c r="AK137" s="1643"/>
      <c r="AL137" s="1643"/>
      <c r="AM137" s="1643"/>
    </row>
    <row r="138" spans="1:39" ht="15.75" customHeight="1" x14ac:dyDescent="0.3">
      <c r="A138" s="1643"/>
      <c r="B138" s="1643"/>
      <c r="C138" s="1643"/>
      <c r="D138" s="1643"/>
      <c r="E138" s="1643"/>
      <c r="F138" s="1643"/>
      <c r="G138" s="1643"/>
      <c r="H138" s="1643"/>
      <c r="I138" s="1643"/>
      <c r="J138" s="1643"/>
      <c r="K138" s="1643"/>
      <c r="L138" s="1643"/>
      <c r="M138" s="1643"/>
      <c r="N138" s="1643"/>
      <c r="O138" s="1643"/>
      <c r="P138" s="1643"/>
      <c r="Q138" s="1643"/>
      <c r="R138" s="1643"/>
      <c r="S138" s="1643"/>
      <c r="T138" s="1643"/>
      <c r="U138" s="1643"/>
      <c r="V138" s="1643"/>
      <c r="W138" s="1643"/>
      <c r="X138" s="1643"/>
      <c r="Y138" s="1643"/>
      <c r="Z138" s="1643"/>
      <c r="AA138" s="1643"/>
      <c r="AB138" s="1643"/>
      <c r="AC138" s="1643"/>
      <c r="AD138" s="1643"/>
      <c r="AE138" s="1643"/>
      <c r="AF138" s="1643"/>
      <c r="AG138" s="1643"/>
      <c r="AH138" s="1643"/>
      <c r="AI138" s="1643"/>
      <c r="AJ138" s="1643"/>
      <c r="AK138" s="1643"/>
      <c r="AL138" s="1643"/>
      <c r="AM138" s="1643"/>
    </row>
    <row r="139" spans="1:39" ht="15.75" customHeight="1" x14ac:dyDescent="0.3">
      <c r="A139" s="1643"/>
      <c r="B139" s="1643"/>
      <c r="C139" s="1643"/>
      <c r="D139" s="1643"/>
      <c r="E139" s="1643"/>
      <c r="F139" s="1643"/>
      <c r="G139" s="1643"/>
      <c r="H139" s="1643"/>
      <c r="I139" s="1643"/>
      <c r="J139" s="1643"/>
      <c r="K139" s="1643"/>
      <c r="L139" s="1643"/>
      <c r="M139" s="1643"/>
      <c r="N139" s="1643"/>
      <c r="O139" s="1643"/>
      <c r="P139" s="1643"/>
      <c r="Q139" s="1643"/>
      <c r="R139" s="1643"/>
      <c r="S139" s="1643"/>
      <c r="T139" s="1643"/>
      <c r="U139" s="1643"/>
      <c r="V139" s="1643"/>
      <c r="W139" s="1643"/>
      <c r="X139" s="1643"/>
      <c r="Y139" s="1643"/>
      <c r="Z139" s="1643"/>
      <c r="AA139" s="1643"/>
      <c r="AB139" s="1643"/>
      <c r="AC139" s="1643"/>
      <c r="AD139" s="1643"/>
      <c r="AE139" s="1643"/>
      <c r="AF139" s="1643"/>
      <c r="AG139" s="1643"/>
      <c r="AH139" s="1643"/>
      <c r="AI139" s="1643"/>
      <c r="AJ139" s="1643"/>
      <c r="AK139" s="1643"/>
      <c r="AL139" s="1643"/>
      <c r="AM139" s="1643"/>
    </row>
    <row r="140" spans="1:39" ht="15.75" customHeight="1" x14ac:dyDescent="0.3">
      <c r="A140" s="1643"/>
      <c r="B140" s="1643"/>
      <c r="C140" s="1643"/>
      <c r="D140" s="1643"/>
      <c r="E140" s="1643"/>
      <c r="F140" s="1643"/>
      <c r="G140" s="1643"/>
      <c r="H140" s="1643"/>
      <c r="I140" s="1643"/>
      <c r="J140" s="1643"/>
      <c r="K140" s="1643"/>
      <c r="L140" s="1643"/>
      <c r="M140" s="1643"/>
      <c r="N140" s="1643"/>
      <c r="O140" s="1643"/>
      <c r="P140" s="1643"/>
      <c r="Q140" s="1643"/>
      <c r="R140" s="1643"/>
      <c r="S140" s="1643"/>
      <c r="T140" s="1643"/>
      <c r="U140" s="1643"/>
      <c r="V140" s="1643"/>
      <c r="W140" s="1643"/>
      <c r="X140" s="1643"/>
      <c r="Y140" s="1643"/>
      <c r="Z140" s="1643"/>
      <c r="AA140" s="1643"/>
      <c r="AB140" s="1643"/>
      <c r="AC140" s="1643"/>
      <c r="AD140" s="1643"/>
      <c r="AE140" s="1643"/>
      <c r="AF140" s="1643"/>
      <c r="AG140" s="1643"/>
      <c r="AH140" s="1643"/>
      <c r="AI140" s="1643"/>
      <c r="AJ140" s="1643"/>
      <c r="AK140" s="1643"/>
      <c r="AL140" s="1643"/>
      <c r="AM140" s="1643"/>
    </row>
    <row r="141" spans="1:39" ht="15.75" customHeight="1" x14ac:dyDescent="0.3">
      <c r="A141" s="1643"/>
      <c r="B141" s="1643"/>
      <c r="C141" s="1643"/>
      <c r="D141" s="1643"/>
      <c r="E141" s="1643"/>
      <c r="F141" s="1643"/>
      <c r="G141" s="1643"/>
      <c r="H141" s="1643"/>
      <c r="I141" s="1643"/>
      <c r="J141" s="1643"/>
      <c r="K141" s="1643"/>
      <c r="L141" s="1643"/>
      <c r="M141" s="1643"/>
      <c r="N141" s="1643"/>
      <c r="O141" s="1643"/>
      <c r="P141" s="1643"/>
      <c r="Q141" s="1643"/>
      <c r="R141" s="1643"/>
      <c r="S141" s="1643"/>
      <c r="T141" s="1643"/>
      <c r="U141" s="1643"/>
      <c r="V141" s="1643"/>
      <c r="W141" s="1643"/>
      <c r="X141" s="1643"/>
      <c r="Y141" s="1643"/>
      <c r="Z141" s="1643"/>
      <c r="AA141" s="1643"/>
      <c r="AB141" s="1643"/>
      <c r="AC141" s="1643"/>
      <c r="AD141" s="1643"/>
      <c r="AE141" s="1643"/>
      <c r="AF141" s="1643"/>
      <c r="AG141" s="1643"/>
      <c r="AH141" s="1643"/>
      <c r="AI141" s="1643"/>
      <c r="AJ141" s="1643"/>
      <c r="AK141" s="1643"/>
      <c r="AL141" s="1643"/>
      <c r="AM141" s="1643"/>
    </row>
    <row r="142" spans="1:39" ht="15.75" customHeight="1" x14ac:dyDescent="0.3">
      <c r="A142" s="1643"/>
      <c r="B142" s="1643"/>
      <c r="C142" s="1643"/>
      <c r="D142" s="1643"/>
      <c r="E142" s="1643"/>
      <c r="F142" s="1643"/>
      <c r="G142" s="1643"/>
      <c r="H142" s="1643"/>
      <c r="I142" s="1643"/>
      <c r="J142" s="1643"/>
      <c r="K142" s="1643"/>
      <c r="L142" s="1643"/>
      <c r="M142" s="1643"/>
      <c r="N142" s="1643"/>
      <c r="O142" s="1643"/>
      <c r="P142" s="1643"/>
      <c r="Q142" s="1643"/>
      <c r="R142" s="1643"/>
      <c r="S142" s="1643"/>
      <c r="T142" s="1643"/>
      <c r="U142" s="1643"/>
      <c r="V142" s="1643"/>
      <c r="W142" s="1643"/>
      <c r="X142" s="1643"/>
      <c r="Y142" s="1643"/>
      <c r="Z142" s="1643"/>
      <c r="AA142" s="1643"/>
      <c r="AB142" s="1643"/>
      <c r="AC142" s="1643"/>
      <c r="AD142" s="1643"/>
      <c r="AE142" s="1643"/>
      <c r="AF142" s="1643"/>
      <c r="AG142" s="1643"/>
      <c r="AH142" s="1643"/>
      <c r="AI142" s="1643"/>
      <c r="AJ142" s="1643"/>
      <c r="AK142" s="1643"/>
      <c r="AL142" s="1643"/>
      <c r="AM142" s="1643"/>
    </row>
    <row r="143" spans="1:39" ht="15.75" customHeight="1" x14ac:dyDescent="0.3">
      <c r="A143" s="1643"/>
      <c r="B143" s="1643"/>
      <c r="C143" s="1643"/>
      <c r="D143" s="1643"/>
      <c r="E143" s="1643"/>
      <c r="F143" s="1643"/>
      <c r="G143" s="1643"/>
      <c r="H143" s="1643"/>
      <c r="I143" s="1643"/>
      <c r="J143" s="1643"/>
      <c r="K143" s="1643"/>
      <c r="L143" s="1643"/>
      <c r="M143" s="1643"/>
      <c r="N143" s="1643"/>
      <c r="O143" s="1643"/>
      <c r="P143" s="1643"/>
      <c r="Q143" s="1643"/>
      <c r="R143" s="1643"/>
      <c r="S143" s="1643"/>
      <c r="T143" s="1643"/>
      <c r="U143" s="1643"/>
      <c r="V143" s="1643"/>
      <c r="W143" s="1643"/>
      <c r="X143" s="1643"/>
      <c r="Y143" s="1643"/>
      <c r="Z143" s="1643"/>
      <c r="AA143" s="1643"/>
      <c r="AB143" s="1643"/>
      <c r="AC143" s="1643"/>
      <c r="AD143" s="1643"/>
      <c r="AE143" s="1643"/>
      <c r="AF143" s="1643"/>
      <c r="AG143" s="1643"/>
      <c r="AH143" s="1643"/>
      <c r="AI143" s="1643"/>
      <c r="AJ143" s="1643"/>
      <c r="AK143" s="1643"/>
      <c r="AL143" s="1643"/>
      <c r="AM143" s="1643"/>
    </row>
    <row r="144" spans="1:39" ht="15.75" customHeight="1" x14ac:dyDescent="0.3">
      <c r="A144" s="1643"/>
      <c r="B144" s="1643"/>
      <c r="C144" s="1643"/>
      <c r="D144" s="1643"/>
      <c r="E144" s="1643"/>
      <c r="F144" s="1643"/>
      <c r="G144" s="1643"/>
      <c r="H144" s="1643"/>
      <c r="I144" s="1643"/>
      <c r="J144" s="1643"/>
      <c r="K144" s="1643"/>
      <c r="L144" s="1643"/>
      <c r="M144" s="1643"/>
      <c r="N144" s="1643"/>
      <c r="O144" s="1643"/>
      <c r="P144" s="1643"/>
      <c r="Q144" s="1643"/>
      <c r="R144" s="1643"/>
      <c r="S144" s="1643"/>
      <c r="T144" s="1643"/>
      <c r="U144" s="1643"/>
      <c r="V144" s="1643"/>
      <c r="W144" s="1643"/>
      <c r="X144" s="1643"/>
      <c r="Y144" s="1643"/>
      <c r="Z144" s="1643"/>
      <c r="AA144" s="1643"/>
      <c r="AB144" s="1643"/>
      <c r="AC144" s="1643"/>
      <c r="AD144" s="1643"/>
      <c r="AE144" s="1643"/>
      <c r="AF144" s="1643"/>
      <c r="AG144" s="1643"/>
      <c r="AH144" s="1643"/>
      <c r="AI144" s="1643"/>
      <c r="AJ144" s="1643"/>
      <c r="AK144" s="1643"/>
      <c r="AL144" s="1643"/>
      <c r="AM144" s="1643"/>
    </row>
    <row r="145" spans="1:39" ht="15.75" customHeight="1" x14ac:dyDescent="0.3">
      <c r="A145" s="1643"/>
      <c r="B145" s="1643"/>
      <c r="C145" s="1643"/>
      <c r="D145" s="1643"/>
      <c r="E145" s="1643"/>
      <c r="F145" s="1643"/>
      <c r="G145" s="1643"/>
      <c r="H145" s="1643"/>
      <c r="I145" s="1643"/>
      <c r="J145" s="1643"/>
      <c r="K145" s="1643"/>
      <c r="L145" s="1643"/>
      <c r="M145" s="1643"/>
      <c r="N145" s="1643"/>
      <c r="O145" s="1643"/>
      <c r="P145" s="1643"/>
      <c r="Q145" s="1643"/>
      <c r="R145" s="1643"/>
      <c r="S145" s="1643"/>
      <c r="T145" s="1643"/>
      <c r="U145" s="1643"/>
      <c r="V145" s="1643"/>
      <c r="W145" s="1643"/>
      <c r="X145" s="1643"/>
      <c r="Y145" s="1643"/>
      <c r="Z145" s="1643"/>
      <c r="AA145" s="1643"/>
      <c r="AB145" s="1643"/>
      <c r="AC145" s="1643"/>
      <c r="AD145" s="1643"/>
      <c r="AE145" s="1643"/>
      <c r="AF145" s="1643"/>
      <c r="AG145" s="1643"/>
      <c r="AH145" s="1643"/>
      <c r="AI145" s="1643"/>
      <c r="AJ145" s="1643"/>
      <c r="AK145" s="1643"/>
      <c r="AL145" s="1643"/>
      <c r="AM145" s="1643"/>
    </row>
    <row r="146" spans="1:39" ht="15.75" customHeight="1" x14ac:dyDescent="0.3">
      <c r="A146" s="1643"/>
      <c r="B146" s="1643"/>
      <c r="C146" s="1643"/>
      <c r="D146" s="1643"/>
      <c r="E146" s="1643"/>
      <c r="F146" s="1643"/>
      <c r="G146" s="1643"/>
      <c r="H146" s="1643"/>
      <c r="I146" s="1643"/>
      <c r="J146" s="1643"/>
      <c r="K146" s="1643"/>
      <c r="L146" s="1643"/>
      <c r="M146" s="1643"/>
      <c r="N146" s="1643"/>
      <c r="O146" s="1643"/>
      <c r="P146" s="1643"/>
      <c r="Q146" s="1643"/>
      <c r="R146" s="1643"/>
      <c r="S146" s="1643"/>
      <c r="T146" s="1643"/>
      <c r="U146" s="1643"/>
      <c r="V146" s="1643"/>
      <c r="W146" s="1643"/>
      <c r="X146" s="1643"/>
      <c r="Y146" s="1643"/>
      <c r="Z146" s="1643"/>
      <c r="AA146" s="1643"/>
      <c r="AB146" s="1643"/>
      <c r="AC146" s="1643"/>
      <c r="AD146" s="1643"/>
      <c r="AE146" s="1643"/>
      <c r="AF146" s="1643"/>
      <c r="AG146" s="1643"/>
      <c r="AH146" s="1643"/>
      <c r="AI146" s="1643"/>
      <c r="AJ146" s="1643"/>
      <c r="AK146" s="1643"/>
      <c r="AL146" s="1643"/>
      <c r="AM146" s="1643"/>
    </row>
    <row r="147" spans="1:39" ht="15.75" customHeight="1" x14ac:dyDescent="0.3">
      <c r="A147" s="1643"/>
      <c r="B147" s="1643"/>
      <c r="C147" s="1643"/>
      <c r="D147" s="1643"/>
      <c r="E147" s="1643"/>
      <c r="F147" s="1643"/>
      <c r="G147" s="1643"/>
      <c r="H147" s="1643"/>
      <c r="I147" s="1643"/>
      <c r="J147" s="1643"/>
      <c r="K147" s="1643"/>
      <c r="L147" s="1643"/>
      <c r="M147" s="1643"/>
      <c r="N147" s="1643"/>
      <c r="O147" s="1643"/>
      <c r="P147" s="1643"/>
      <c r="Q147" s="1643"/>
      <c r="R147" s="1643"/>
      <c r="S147" s="1643"/>
      <c r="T147" s="1643"/>
      <c r="U147" s="1643"/>
      <c r="V147" s="1643"/>
      <c r="W147" s="1643"/>
      <c r="X147" s="1643"/>
      <c r="Y147" s="1643"/>
      <c r="Z147" s="1643"/>
      <c r="AA147" s="1643"/>
      <c r="AB147" s="1643"/>
      <c r="AC147" s="1643"/>
      <c r="AD147" s="1643"/>
      <c r="AE147" s="1643"/>
      <c r="AF147" s="1643"/>
      <c r="AG147" s="1643"/>
      <c r="AH147" s="1643"/>
      <c r="AI147" s="1643"/>
      <c r="AJ147" s="1643"/>
      <c r="AK147" s="1643"/>
      <c r="AL147" s="1643"/>
      <c r="AM147" s="1643"/>
    </row>
    <row r="148" spans="1:39" ht="15.75" customHeight="1" x14ac:dyDescent="0.3">
      <c r="A148" s="1643"/>
      <c r="B148" s="1643"/>
      <c r="C148" s="1643"/>
      <c r="D148" s="1643"/>
      <c r="E148" s="1643"/>
      <c r="F148" s="1643"/>
      <c r="G148" s="1643"/>
      <c r="H148" s="1643"/>
      <c r="I148" s="1643"/>
      <c r="J148" s="1643"/>
      <c r="K148" s="1643"/>
      <c r="L148" s="1643"/>
      <c r="M148" s="1643"/>
      <c r="N148" s="1643"/>
      <c r="O148" s="1643"/>
      <c r="P148" s="1643"/>
      <c r="Q148" s="1643"/>
      <c r="R148" s="1643"/>
      <c r="S148" s="1643"/>
      <c r="T148" s="1643"/>
      <c r="U148" s="1643"/>
      <c r="V148" s="1643"/>
      <c r="W148" s="1643"/>
      <c r="X148" s="1643"/>
      <c r="Y148" s="1643"/>
      <c r="Z148" s="1643"/>
      <c r="AA148" s="1643"/>
      <c r="AB148" s="1643"/>
      <c r="AC148" s="1643"/>
      <c r="AD148" s="1643"/>
      <c r="AE148" s="1643"/>
      <c r="AF148" s="1643"/>
      <c r="AG148" s="1643"/>
      <c r="AH148" s="1643"/>
      <c r="AI148" s="1643"/>
      <c r="AJ148" s="1643"/>
      <c r="AK148" s="1643"/>
      <c r="AL148" s="1643"/>
      <c r="AM148" s="1643"/>
    </row>
    <row r="149" spans="1:39" ht="15.75" customHeight="1" x14ac:dyDescent="0.3">
      <c r="A149" s="1643"/>
      <c r="B149" s="1643"/>
      <c r="C149" s="1643"/>
      <c r="D149" s="1643"/>
      <c r="E149" s="1643"/>
      <c r="F149" s="1643"/>
      <c r="G149" s="1643"/>
      <c r="H149" s="1643"/>
      <c r="I149" s="1643"/>
      <c r="J149" s="1643"/>
      <c r="K149" s="1643"/>
      <c r="L149" s="1643"/>
      <c r="M149" s="1643"/>
      <c r="N149" s="1643"/>
      <c r="O149" s="1643"/>
      <c r="P149" s="1643"/>
      <c r="Q149" s="1643"/>
      <c r="R149" s="1643"/>
      <c r="S149" s="1643"/>
      <c r="T149" s="1643"/>
      <c r="U149" s="1643"/>
      <c r="V149" s="1643"/>
      <c r="W149" s="1643"/>
      <c r="X149" s="1643"/>
      <c r="Y149" s="1643"/>
      <c r="Z149" s="1643"/>
      <c r="AA149" s="1643"/>
      <c r="AB149" s="1643"/>
      <c r="AC149" s="1643"/>
      <c r="AD149" s="1643"/>
      <c r="AE149" s="1643"/>
      <c r="AF149" s="1643"/>
      <c r="AG149" s="1643"/>
      <c r="AH149" s="1643"/>
      <c r="AI149" s="1643"/>
      <c r="AJ149" s="1643"/>
      <c r="AK149" s="1643"/>
      <c r="AL149" s="1643"/>
      <c r="AM149" s="1643"/>
    </row>
    <row r="150" spans="1:39" ht="15.75" customHeight="1" x14ac:dyDescent="0.3">
      <c r="A150" s="1643"/>
      <c r="B150" s="1643"/>
      <c r="C150" s="1643"/>
      <c r="D150" s="1643"/>
      <c r="E150" s="1643"/>
      <c r="F150" s="1643"/>
      <c r="G150" s="1643"/>
      <c r="H150" s="1643"/>
      <c r="I150" s="1643"/>
      <c r="J150" s="1643"/>
      <c r="K150" s="1643"/>
      <c r="L150" s="1643"/>
      <c r="M150" s="1643"/>
      <c r="N150" s="1643"/>
      <c r="O150" s="1643"/>
      <c r="P150" s="1643"/>
      <c r="Q150" s="1643"/>
      <c r="R150" s="1643"/>
      <c r="S150" s="1643"/>
      <c r="T150" s="1643"/>
      <c r="U150" s="1643"/>
      <c r="V150" s="1643"/>
      <c r="W150" s="1643"/>
      <c r="X150" s="1643"/>
      <c r="Y150" s="1643"/>
      <c r="Z150" s="1643"/>
      <c r="AA150" s="1643"/>
      <c r="AB150" s="1643"/>
      <c r="AC150" s="1643"/>
      <c r="AD150" s="1643"/>
      <c r="AE150" s="1643"/>
      <c r="AF150" s="1643"/>
      <c r="AG150" s="1643"/>
      <c r="AH150" s="1643"/>
      <c r="AI150" s="1643"/>
      <c r="AJ150" s="1643"/>
      <c r="AK150" s="1643"/>
      <c r="AL150" s="1643"/>
      <c r="AM150" s="1643"/>
    </row>
    <row r="151" spans="1:39" ht="15.75" customHeight="1" x14ac:dyDescent="0.3">
      <c r="A151" s="1643"/>
      <c r="B151" s="1643"/>
      <c r="C151" s="1643"/>
      <c r="D151" s="1643"/>
      <c r="E151" s="1643"/>
      <c r="F151" s="1643"/>
      <c r="G151" s="1643"/>
      <c r="H151" s="1643"/>
      <c r="I151" s="1643"/>
      <c r="J151" s="1643"/>
      <c r="K151" s="1643"/>
      <c r="L151" s="1643"/>
      <c r="M151" s="1643"/>
      <c r="N151" s="1643"/>
      <c r="O151" s="1643"/>
      <c r="P151" s="1643"/>
      <c r="Q151" s="1643"/>
      <c r="R151" s="1643"/>
      <c r="S151" s="1643"/>
      <c r="T151" s="1643"/>
      <c r="U151" s="1643"/>
      <c r="V151" s="1643"/>
      <c r="W151" s="1643"/>
      <c r="X151" s="1643"/>
      <c r="Y151" s="1643"/>
      <c r="Z151" s="1643"/>
      <c r="AA151" s="1643"/>
      <c r="AB151" s="1643"/>
      <c r="AC151" s="1643"/>
      <c r="AD151" s="1643"/>
      <c r="AE151" s="1643"/>
      <c r="AF151" s="1643"/>
      <c r="AG151" s="1643"/>
      <c r="AH151" s="1643"/>
      <c r="AI151" s="1643"/>
      <c r="AJ151" s="1643"/>
      <c r="AK151" s="1643"/>
      <c r="AL151" s="1643"/>
      <c r="AM151" s="1643"/>
    </row>
    <row r="152" spans="1:39" ht="15.75" customHeight="1" x14ac:dyDescent="0.3">
      <c r="A152" s="1643"/>
      <c r="B152" s="1643"/>
      <c r="C152" s="1643"/>
      <c r="D152" s="1643"/>
      <c r="E152" s="1643"/>
      <c r="F152" s="1643"/>
      <c r="G152" s="1643"/>
      <c r="H152" s="1643"/>
      <c r="I152" s="1643"/>
      <c r="J152" s="1643"/>
      <c r="K152" s="1643"/>
      <c r="L152" s="1643"/>
      <c r="M152" s="1643"/>
      <c r="N152" s="1643"/>
      <c r="O152" s="1643"/>
      <c r="P152" s="1643"/>
      <c r="Q152" s="1643"/>
      <c r="R152" s="1643"/>
      <c r="S152" s="1643"/>
      <c r="T152" s="1643"/>
      <c r="U152" s="1643"/>
      <c r="V152" s="1643"/>
      <c r="W152" s="1643"/>
      <c r="X152" s="1643"/>
      <c r="Y152" s="1643"/>
      <c r="Z152" s="1643"/>
      <c r="AA152" s="1643"/>
      <c r="AB152" s="1643"/>
      <c r="AC152" s="1643"/>
      <c r="AD152" s="1643"/>
      <c r="AE152" s="1643"/>
      <c r="AF152" s="1643"/>
      <c r="AG152" s="1643"/>
      <c r="AH152" s="1643"/>
      <c r="AI152" s="1643"/>
      <c r="AJ152" s="1643"/>
      <c r="AK152" s="1643"/>
      <c r="AL152" s="1643"/>
      <c r="AM152" s="1643"/>
    </row>
    <row r="153" spans="1:39" ht="15.75" customHeight="1" x14ac:dyDescent="0.3">
      <c r="A153" s="1643"/>
      <c r="B153" s="1643"/>
      <c r="C153" s="1643"/>
      <c r="D153" s="1643"/>
      <c r="E153" s="1643"/>
      <c r="F153" s="1643"/>
      <c r="G153" s="1643"/>
      <c r="H153" s="1643"/>
      <c r="I153" s="1643"/>
      <c r="J153" s="1643"/>
      <c r="K153" s="1643"/>
      <c r="L153" s="1643"/>
      <c r="M153" s="1643"/>
      <c r="N153" s="1643"/>
      <c r="O153" s="1643"/>
      <c r="P153" s="1643"/>
      <c r="Q153" s="1643"/>
      <c r="R153" s="1643"/>
      <c r="S153" s="1643"/>
      <c r="T153" s="1643"/>
      <c r="U153" s="1643"/>
      <c r="V153" s="1643"/>
      <c r="W153" s="1643"/>
      <c r="X153" s="1643"/>
      <c r="Y153" s="1643"/>
      <c r="Z153" s="1643"/>
      <c r="AA153" s="1643"/>
      <c r="AB153" s="1643"/>
      <c r="AC153" s="1643"/>
      <c r="AD153" s="1643"/>
      <c r="AE153" s="1643"/>
      <c r="AF153" s="1643"/>
      <c r="AG153" s="1643"/>
      <c r="AH153" s="1643"/>
      <c r="AI153" s="1643"/>
      <c r="AJ153" s="1643"/>
      <c r="AK153" s="1643"/>
      <c r="AL153" s="1643"/>
      <c r="AM153" s="1643"/>
    </row>
    <row r="154" spans="1:39" ht="15.75" customHeight="1" x14ac:dyDescent="0.3">
      <c r="A154" s="1643"/>
      <c r="B154" s="1643"/>
      <c r="C154" s="1643"/>
      <c r="D154" s="1643"/>
      <c r="E154" s="1643"/>
      <c r="F154" s="1643"/>
      <c r="G154" s="1643"/>
      <c r="H154" s="1643"/>
      <c r="I154" s="1643"/>
      <c r="J154" s="1643"/>
      <c r="K154" s="1643"/>
      <c r="L154" s="1643"/>
      <c r="M154" s="1643"/>
      <c r="N154" s="1643"/>
      <c r="O154" s="1643"/>
      <c r="P154" s="1643"/>
      <c r="Q154" s="1643"/>
      <c r="R154" s="1643"/>
      <c r="S154" s="1643"/>
      <c r="T154" s="1643"/>
      <c r="U154" s="1643"/>
      <c r="V154" s="1643"/>
      <c r="W154" s="1643"/>
      <c r="X154" s="1643"/>
      <c r="Y154" s="1643"/>
      <c r="Z154" s="1643"/>
      <c r="AA154" s="1643"/>
      <c r="AB154" s="1643"/>
      <c r="AC154" s="1643"/>
      <c r="AD154" s="1643"/>
      <c r="AE154" s="1643"/>
      <c r="AF154" s="1643"/>
      <c r="AG154" s="1643"/>
      <c r="AH154" s="1643"/>
      <c r="AI154" s="1643"/>
      <c r="AJ154" s="1643"/>
      <c r="AK154" s="1643"/>
      <c r="AL154" s="1643"/>
      <c r="AM154" s="1643"/>
    </row>
    <row r="155" spans="1:39" ht="15.75" customHeight="1" x14ac:dyDescent="0.3">
      <c r="A155" s="1643"/>
      <c r="B155" s="1643"/>
      <c r="C155" s="1643"/>
      <c r="D155" s="1643"/>
      <c r="E155" s="1643"/>
      <c r="F155" s="1643"/>
      <c r="G155" s="1643"/>
      <c r="H155" s="1643"/>
      <c r="I155" s="1643"/>
      <c r="J155" s="1643"/>
      <c r="K155" s="1643"/>
      <c r="L155" s="1643"/>
      <c r="M155" s="1643"/>
      <c r="N155" s="1643"/>
      <c r="O155" s="1643"/>
      <c r="P155" s="1643"/>
      <c r="Q155" s="1643"/>
      <c r="R155" s="1643"/>
      <c r="S155" s="1643"/>
      <c r="T155" s="1643"/>
      <c r="U155" s="1643"/>
      <c r="V155" s="1643"/>
      <c r="W155" s="1643"/>
      <c r="X155" s="1643"/>
      <c r="Y155" s="1643"/>
      <c r="Z155" s="1643"/>
      <c r="AA155" s="1643"/>
      <c r="AB155" s="1643"/>
      <c r="AC155" s="1643"/>
      <c r="AD155" s="1643"/>
      <c r="AE155" s="1643"/>
      <c r="AF155" s="1643"/>
      <c r="AG155" s="1643"/>
      <c r="AH155" s="1643"/>
      <c r="AI155" s="1643"/>
      <c r="AJ155" s="1643"/>
      <c r="AK155" s="1643"/>
      <c r="AL155" s="1643"/>
      <c r="AM155" s="1643"/>
    </row>
    <row r="156" spans="1:39" ht="15.75" customHeight="1" x14ac:dyDescent="0.3">
      <c r="A156" s="1643"/>
      <c r="B156" s="1643"/>
      <c r="C156" s="1643"/>
      <c r="D156" s="1643"/>
      <c r="E156" s="1643"/>
      <c r="F156" s="1643"/>
      <c r="G156" s="1643"/>
      <c r="H156" s="1643"/>
      <c r="I156" s="1643"/>
      <c r="J156" s="1643"/>
      <c r="K156" s="1643"/>
      <c r="L156" s="1643"/>
      <c r="M156" s="1643"/>
      <c r="N156" s="1643"/>
      <c r="O156" s="1643"/>
      <c r="P156" s="1643"/>
      <c r="Q156" s="1643"/>
      <c r="R156" s="1643"/>
      <c r="S156" s="1643"/>
      <c r="T156" s="1643"/>
      <c r="U156" s="1643"/>
      <c r="V156" s="1643"/>
      <c r="W156" s="1643"/>
      <c r="X156" s="1643"/>
      <c r="Y156" s="1643"/>
      <c r="Z156" s="1643"/>
      <c r="AA156" s="1643"/>
      <c r="AB156" s="1643"/>
      <c r="AC156" s="1643"/>
      <c r="AD156" s="1643"/>
      <c r="AE156" s="1643"/>
      <c r="AF156" s="1643"/>
      <c r="AG156" s="1643"/>
      <c r="AH156" s="1643"/>
      <c r="AI156" s="1643"/>
      <c r="AJ156" s="1643"/>
      <c r="AK156" s="1643"/>
      <c r="AL156" s="1643"/>
      <c r="AM156" s="1643"/>
    </row>
    <row r="157" spans="1:39" ht="15.75" customHeight="1" x14ac:dyDescent="0.3">
      <c r="A157" s="1643"/>
      <c r="B157" s="1643"/>
      <c r="C157" s="1643"/>
      <c r="D157" s="1643"/>
      <c r="E157" s="1643"/>
      <c r="F157" s="1643"/>
      <c r="G157" s="1643"/>
      <c r="H157" s="1643"/>
      <c r="I157" s="1643"/>
      <c r="J157" s="1643"/>
      <c r="K157" s="1643"/>
      <c r="L157" s="1643"/>
      <c r="M157" s="1643"/>
      <c r="N157" s="1643"/>
      <c r="O157" s="1643"/>
      <c r="P157" s="1643"/>
      <c r="Q157" s="1643"/>
      <c r="R157" s="1643"/>
      <c r="S157" s="1643"/>
      <c r="T157" s="1643"/>
      <c r="U157" s="1643"/>
      <c r="V157" s="1643"/>
      <c r="W157" s="1643"/>
      <c r="X157" s="1643"/>
      <c r="Y157" s="1643"/>
      <c r="Z157" s="1643"/>
      <c r="AA157" s="1643"/>
      <c r="AB157" s="1643"/>
      <c r="AC157" s="1643"/>
      <c r="AD157" s="1643"/>
      <c r="AE157" s="1643"/>
      <c r="AF157" s="1643"/>
      <c r="AG157" s="1643"/>
      <c r="AH157" s="1643"/>
      <c r="AI157" s="1643"/>
      <c r="AJ157" s="1643"/>
      <c r="AK157" s="1643"/>
      <c r="AL157" s="1643"/>
      <c r="AM157" s="1643"/>
    </row>
    <row r="158" spans="1:39" ht="15.75" customHeight="1" x14ac:dyDescent="0.3">
      <c r="A158" s="1643"/>
      <c r="B158" s="1643"/>
      <c r="C158" s="1643"/>
      <c r="D158" s="1643"/>
      <c r="E158" s="1643"/>
      <c r="F158" s="1643"/>
      <c r="G158" s="1643"/>
      <c r="H158" s="1643"/>
      <c r="I158" s="1643"/>
      <c r="J158" s="1643"/>
      <c r="K158" s="1643"/>
      <c r="L158" s="1643"/>
      <c r="M158" s="1643"/>
      <c r="N158" s="1643"/>
      <c r="O158" s="1643"/>
      <c r="P158" s="1643"/>
      <c r="Q158" s="1643"/>
      <c r="R158" s="1643"/>
      <c r="S158" s="1643"/>
      <c r="T158" s="1643"/>
      <c r="U158" s="1643"/>
      <c r="V158" s="1643"/>
      <c r="W158" s="1643"/>
      <c r="X158" s="1643"/>
      <c r="Y158" s="1643"/>
      <c r="Z158" s="1643"/>
      <c r="AA158" s="1643"/>
      <c r="AB158" s="1643"/>
      <c r="AC158" s="1643"/>
      <c r="AD158" s="1643"/>
      <c r="AE158" s="1643"/>
      <c r="AF158" s="1643"/>
      <c r="AG158" s="1643"/>
      <c r="AH158" s="1643"/>
      <c r="AI158" s="1643"/>
      <c r="AJ158" s="1643"/>
      <c r="AK158" s="1643"/>
      <c r="AL158" s="1643"/>
      <c r="AM158" s="1643"/>
    </row>
    <row r="159" spans="1:39" ht="15.75" customHeight="1" x14ac:dyDescent="0.3">
      <c r="A159" s="1643"/>
      <c r="B159" s="1643"/>
      <c r="C159" s="1643"/>
      <c r="D159" s="1643"/>
      <c r="E159" s="1643"/>
      <c r="F159" s="1643"/>
      <c r="G159" s="1643"/>
      <c r="H159" s="1643"/>
      <c r="I159" s="1643"/>
      <c r="J159" s="1643"/>
      <c r="K159" s="1643"/>
      <c r="L159" s="1643"/>
      <c r="M159" s="1643"/>
      <c r="N159" s="1643"/>
      <c r="O159" s="1643"/>
      <c r="P159" s="1643"/>
      <c r="Q159" s="1643"/>
      <c r="R159" s="1643"/>
      <c r="S159" s="1643"/>
      <c r="T159" s="1643"/>
      <c r="U159" s="1643"/>
      <c r="V159" s="1643"/>
      <c r="W159" s="1643"/>
      <c r="X159" s="1643"/>
      <c r="Y159" s="1643"/>
      <c r="Z159" s="1643"/>
      <c r="AA159" s="1643"/>
      <c r="AB159" s="1643"/>
      <c r="AC159" s="1643"/>
      <c r="AD159" s="1643"/>
      <c r="AE159" s="1643"/>
      <c r="AF159" s="1643"/>
      <c r="AG159" s="1643"/>
      <c r="AH159" s="1643"/>
      <c r="AI159" s="1643"/>
      <c r="AJ159" s="1643"/>
      <c r="AK159" s="1643"/>
      <c r="AL159" s="1643"/>
      <c r="AM159" s="1643"/>
    </row>
    <row r="160" spans="1:39" ht="15.75" customHeight="1" x14ac:dyDescent="0.3">
      <c r="A160" s="1643"/>
      <c r="B160" s="1643"/>
      <c r="C160" s="1643"/>
      <c r="D160" s="1643"/>
      <c r="E160" s="1643"/>
      <c r="F160" s="1643"/>
      <c r="G160" s="1643"/>
      <c r="H160" s="1643"/>
      <c r="I160" s="1643"/>
      <c r="J160" s="1643"/>
      <c r="K160" s="1643"/>
      <c r="L160" s="1643"/>
      <c r="M160" s="1643"/>
      <c r="N160" s="1643"/>
      <c r="O160" s="1643"/>
      <c r="P160" s="1643"/>
      <c r="Q160" s="1643"/>
      <c r="R160" s="1643"/>
      <c r="S160" s="1643"/>
      <c r="T160" s="1643"/>
      <c r="U160" s="1643"/>
      <c r="V160" s="1643"/>
      <c r="W160" s="1643"/>
      <c r="X160" s="1643"/>
      <c r="Y160" s="1643"/>
      <c r="Z160" s="1643"/>
      <c r="AA160" s="1643"/>
      <c r="AB160" s="1643"/>
      <c r="AC160" s="1643"/>
      <c r="AD160" s="1643"/>
      <c r="AE160" s="1643"/>
      <c r="AF160" s="1643"/>
      <c r="AG160" s="1643"/>
      <c r="AH160" s="1643"/>
      <c r="AI160" s="1643"/>
      <c r="AJ160" s="1643"/>
      <c r="AK160" s="1643"/>
      <c r="AL160" s="1643"/>
      <c r="AM160" s="1643"/>
    </row>
    <row r="161" spans="1:39" ht="15.75" customHeight="1" x14ac:dyDescent="0.3">
      <c r="A161" s="1643"/>
      <c r="B161" s="1643"/>
      <c r="C161" s="1643"/>
      <c r="D161" s="1643"/>
      <c r="E161" s="1643"/>
      <c r="F161" s="1643"/>
      <c r="G161" s="1643"/>
      <c r="H161" s="1643"/>
      <c r="I161" s="1643"/>
      <c r="J161" s="1643"/>
      <c r="K161" s="1643"/>
      <c r="L161" s="1643"/>
      <c r="M161" s="1643"/>
      <c r="N161" s="1643"/>
      <c r="O161" s="1643"/>
      <c r="P161" s="1643"/>
      <c r="Q161" s="1643"/>
      <c r="R161" s="1643"/>
      <c r="S161" s="1643"/>
      <c r="T161" s="1643"/>
      <c r="U161" s="1643"/>
      <c r="V161" s="1643"/>
      <c r="W161" s="1643"/>
      <c r="X161" s="1643"/>
      <c r="Y161" s="1643"/>
      <c r="Z161" s="1643"/>
      <c r="AA161" s="1643"/>
      <c r="AB161" s="1643"/>
      <c r="AC161" s="1643"/>
      <c r="AD161" s="1643"/>
      <c r="AE161" s="1643"/>
      <c r="AF161" s="1643"/>
      <c r="AG161" s="1643"/>
      <c r="AH161" s="1643"/>
      <c r="AI161" s="1643"/>
      <c r="AJ161" s="1643"/>
      <c r="AK161" s="1643"/>
      <c r="AL161" s="1643"/>
      <c r="AM161" s="1643"/>
    </row>
    <row r="162" spans="1:39" ht="15.75" customHeight="1" x14ac:dyDescent="0.3">
      <c r="A162" s="1643"/>
      <c r="B162" s="1643"/>
      <c r="C162" s="1643"/>
      <c r="D162" s="1643"/>
      <c r="E162" s="1643"/>
      <c r="F162" s="1643"/>
      <c r="G162" s="1643"/>
      <c r="H162" s="1643"/>
      <c r="I162" s="1643"/>
      <c r="J162" s="1643"/>
      <c r="K162" s="1643"/>
      <c r="L162" s="1643"/>
      <c r="M162" s="1643"/>
      <c r="N162" s="1643"/>
      <c r="O162" s="1643"/>
      <c r="P162" s="1643"/>
      <c r="Q162" s="1643"/>
      <c r="R162" s="1643"/>
      <c r="S162" s="1643"/>
      <c r="T162" s="1643"/>
      <c r="U162" s="1643"/>
      <c r="V162" s="1643"/>
      <c r="W162" s="1643"/>
      <c r="X162" s="1643"/>
      <c r="Y162" s="1643"/>
      <c r="Z162" s="1643"/>
      <c r="AA162" s="1643"/>
      <c r="AB162" s="1643"/>
      <c r="AC162" s="1643"/>
      <c r="AD162" s="1643"/>
      <c r="AE162" s="1643"/>
      <c r="AF162" s="1643"/>
      <c r="AG162" s="1643"/>
      <c r="AH162" s="1643"/>
      <c r="AI162" s="1643"/>
      <c r="AJ162" s="1643"/>
      <c r="AK162" s="1643"/>
      <c r="AL162" s="1643"/>
      <c r="AM162" s="1643"/>
    </row>
    <row r="163" spans="1:39" ht="15.75" customHeight="1" x14ac:dyDescent="0.3">
      <c r="A163" s="1643"/>
      <c r="B163" s="1643"/>
      <c r="C163" s="1643"/>
      <c r="D163" s="1643"/>
      <c r="E163" s="1643"/>
      <c r="F163" s="1643"/>
      <c r="G163" s="1643"/>
      <c r="H163" s="1643"/>
      <c r="I163" s="1643"/>
      <c r="J163" s="1643"/>
      <c r="K163" s="1643"/>
      <c r="L163" s="1643"/>
      <c r="M163" s="1643"/>
      <c r="N163" s="1643"/>
      <c r="O163" s="1643"/>
      <c r="P163" s="1643"/>
      <c r="Q163" s="1643"/>
      <c r="R163" s="1643"/>
      <c r="S163" s="1643"/>
      <c r="T163" s="1643"/>
      <c r="U163" s="1643"/>
      <c r="V163" s="1643"/>
      <c r="W163" s="1643"/>
      <c r="X163" s="1643"/>
      <c r="Y163" s="1643"/>
      <c r="Z163" s="1643"/>
      <c r="AA163" s="1643"/>
      <c r="AB163" s="1643"/>
      <c r="AC163" s="1643"/>
      <c r="AD163" s="1643"/>
      <c r="AE163" s="1643"/>
      <c r="AF163" s="1643"/>
      <c r="AG163" s="1643"/>
      <c r="AH163" s="1643"/>
      <c r="AI163" s="1643"/>
      <c r="AJ163" s="1643"/>
      <c r="AK163" s="1643"/>
      <c r="AL163" s="1643"/>
      <c r="AM163" s="1643"/>
    </row>
    <row r="164" spans="1:39" ht="15.75" customHeight="1" x14ac:dyDescent="0.3">
      <c r="A164" s="1643"/>
      <c r="B164" s="1643"/>
      <c r="C164" s="1643"/>
      <c r="D164" s="1643"/>
      <c r="E164" s="1643"/>
      <c r="F164" s="1643"/>
      <c r="G164" s="1643"/>
      <c r="H164" s="1643"/>
      <c r="I164" s="1643"/>
      <c r="J164" s="1643"/>
      <c r="K164" s="1643"/>
      <c r="L164" s="1643"/>
      <c r="M164" s="1643"/>
      <c r="N164" s="1643"/>
      <c r="O164" s="1643"/>
      <c r="P164" s="1643"/>
      <c r="Q164" s="1643"/>
      <c r="R164" s="1643"/>
      <c r="S164" s="1643"/>
      <c r="T164" s="1643"/>
      <c r="U164" s="1643"/>
      <c r="V164" s="1643"/>
      <c r="W164" s="1643"/>
      <c r="X164" s="1643"/>
      <c r="Y164" s="1643"/>
      <c r="Z164" s="1643"/>
      <c r="AA164" s="1643"/>
      <c r="AB164" s="1643"/>
      <c r="AC164" s="1643"/>
      <c r="AD164" s="1643"/>
      <c r="AE164" s="1643"/>
      <c r="AF164" s="1643"/>
      <c r="AG164" s="1643"/>
      <c r="AH164" s="1643"/>
      <c r="AI164" s="1643"/>
      <c r="AJ164" s="1643"/>
      <c r="AK164" s="1643"/>
      <c r="AL164" s="1643"/>
      <c r="AM164" s="1643"/>
    </row>
    <row r="165" spans="1:39" ht="15.75" customHeight="1" x14ac:dyDescent="0.3">
      <c r="A165" s="1643"/>
      <c r="B165" s="1643"/>
      <c r="C165" s="1643"/>
      <c r="D165" s="1643"/>
      <c r="E165" s="1643"/>
      <c r="F165" s="1643"/>
      <c r="G165" s="1643"/>
      <c r="H165" s="1643"/>
      <c r="I165" s="1643"/>
      <c r="J165" s="1643"/>
      <c r="K165" s="1643"/>
      <c r="L165" s="1643"/>
      <c r="M165" s="1643"/>
      <c r="N165" s="1643"/>
      <c r="O165" s="1643"/>
      <c r="P165" s="1643"/>
      <c r="Q165" s="1643"/>
      <c r="R165" s="1643"/>
      <c r="S165" s="1643"/>
      <c r="T165" s="1643"/>
      <c r="U165" s="1643"/>
      <c r="V165" s="1643"/>
      <c r="W165" s="1643"/>
      <c r="X165" s="1643"/>
      <c r="Y165" s="1643"/>
      <c r="Z165" s="1643"/>
      <c r="AA165" s="1643"/>
      <c r="AB165" s="1643"/>
      <c r="AC165" s="1643"/>
      <c r="AD165" s="1643"/>
      <c r="AE165" s="1643"/>
      <c r="AF165" s="1643"/>
      <c r="AG165" s="1643"/>
      <c r="AH165" s="1643"/>
      <c r="AI165" s="1643"/>
      <c r="AJ165" s="1643"/>
      <c r="AK165" s="1643"/>
      <c r="AL165" s="1643"/>
      <c r="AM165" s="1643"/>
    </row>
    <row r="166" spans="1:39" ht="15.75" customHeight="1" x14ac:dyDescent="0.3">
      <c r="A166" s="1643"/>
      <c r="B166" s="1643"/>
      <c r="C166" s="1643"/>
      <c r="D166" s="1643"/>
      <c r="E166" s="1643"/>
      <c r="F166" s="1643"/>
      <c r="G166" s="1643"/>
      <c r="H166" s="1643"/>
      <c r="I166" s="1643"/>
      <c r="J166" s="1643"/>
      <c r="K166" s="1643"/>
      <c r="L166" s="1643"/>
      <c r="M166" s="1643"/>
      <c r="N166" s="1643"/>
      <c r="O166" s="1643"/>
      <c r="P166" s="1643"/>
      <c r="Q166" s="1643"/>
      <c r="R166" s="1643"/>
      <c r="S166" s="1643"/>
      <c r="T166" s="1643"/>
      <c r="U166" s="1643"/>
      <c r="V166" s="1643"/>
      <c r="W166" s="1643"/>
      <c r="X166" s="1643"/>
      <c r="Y166" s="1643"/>
      <c r="Z166" s="1643"/>
      <c r="AA166" s="1643"/>
      <c r="AB166" s="1643"/>
      <c r="AC166" s="1643"/>
      <c r="AD166" s="1643"/>
      <c r="AE166" s="1643"/>
      <c r="AF166" s="1643"/>
      <c r="AG166" s="1643"/>
      <c r="AH166" s="1643"/>
      <c r="AI166" s="1643"/>
      <c r="AJ166" s="1643"/>
      <c r="AK166" s="1643"/>
      <c r="AL166" s="1643"/>
      <c r="AM166" s="1643"/>
    </row>
    <row r="167" spans="1:39" ht="15.75" customHeight="1" x14ac:dyDescent="0.3">
      <c r="A167" s="1643"/>
      <c r="B167" s="1643"/>
      <c r="C167" s="1643"/>
      <c r="D167" s="1643"/>
      <c r="E167" s="1643"/>
      <c r="F167" s="1643"/>
      <c r="G167" s="1643"/>
      <c r="H167" s="1643"/>
      <c r="I167" s="1643"/>
      <c r="J167" s="1643"/>
      <c r="K167" s="1643"/>
      <c r="L167" s="1643"/>
      <c r="M167" s="1643"/>
      <c r="N167" s="1643"/>
      <c r="O167" s="1643"/>
      <c r="P167" s="1643"/>
      <c r="Q167" s="1643"/>
      <c r="R167" s="1643"/>
      <c r="S167" s="1643"/>
      <c r="T167" s="1643"/>
      <c r="U167" s="1643"/>
      <c r="V167" s="1643"/>
      <c r="W167" s="1643"/>
      <c r="X167" s="1643"/>
      <c r="Y167" s="1643"/>
      <c r="Z167" s="1643"/>
      <c r="AA167" s="1643"/>
      <c r="AB167" s="1643"/>
      <c r="AC167" s="1643"/>
      <c r="AD167" s="1643"/>
      <c r="AE167" s="1643"/>
      <c r="AF167" s="1643"/>
      <c r="AG167" s="1643"/>
      <c r="AH167" s="1643"/>
      <c r="AI167" s="1643"/>
      <c r="AJ167" s="1643"/>
      <c r="AK167" s="1643"/>
      <c r="AL167" s="1643"/>
      <c r="AM167" s="1643"/>
    </row>
    <row r="168" spans="1:39" ht="15.75" customHeight="1" x14ac:dyDescent="0.3">
      <c r="A168" s="1643"/>
      <c r="B168" s="1643"/>
      <c r="C168" s="1643"/>
      <c r="D168" s="1643"/>
      <c r="E168" s="1643"/>
      <c r="F168" s="1643"/>
      <c r="G168" s="1643"/>
      <c r="H168" s="1643"/>
      <c r="I168" s="1643"/>
      <c r="J168" s="1643"/>
      <c r="K168" s="1643"/>
      <c r="L168" s="1643"/>
      <c r="M168" s="1643"/>
      <c r="N168" s="1643"/>
      <c r="O168" s="1643"/>
      <c r="P168" s="1643"/>
      <c r="Q168" s="1643"/>
      <c r="R168" s="1643"/>
      <c r="S168" s="1643"/>
      <c r="T168" s="1643"/>
      <c r="U168" s="1643"/>
      <c r="V168" s="1643"/>
      <c r="W168" s="1643"/>
      <c r="X168" s="1643"/>
      <c r="Y168" s="1643"/>
      <c r="Z168" s="1643"/>
      <c r="AA168" s="1643"/>
      <c r="AB168" s="1643"/>
      <c r="AC168" s="1643"/>
      <c r="AD168" s="1643"/>
      <c r="AE168" s="1643"/>
      <c r="AF168" s="1643"/>
      <c r="AG168" s="1643"/>
      <c r="AH168" s="1643"/>
      <c r="AI168" s="1643"/>
      <c r="AJ168" s="1643"/>
      <c r="AK168" s="1643"/>
      <c r="AL168" s="1643"/>
      <c r="AM168" s="1643"/>
    </row>
    <row r="169" spans="1:39" ht="15.75" customHeight="1" x14ac:dyDescent="0.3">
      <c r="A169" s="1643"/>
      <c r="B169" s="1643"/>
      <c r="C169" s="1643"/>
      <c r="D169" s="1643"/>
      <c r="E169" s="1643"/>
      <c r="F169" s="1643"/>
      <c r="G169" s="1643"/>
      <c r="H169" s="1643"/>
      <c r="I169" s="1643"/>
      <c r="J169" s="1643"/>
      <c r="K169" s="1643"/>
      <c r="L169" s="1643"/>
      <c r="M169" s="1643"/>
      <c r="N169" s="1643"/>
      <c r="O169" s="1643"/>
      <c r="P169" s="1643"/>
      <c r="Q169" s="1643"/>
      <c r="R169" s="1643"/>
      <c r="S169" s="1643"/>
      <c r="T169" s="1643"/>
      <c r="U169" s="1643"/>
      <c r="V169" s="1643"/>
      <c r="W169" s="1643"/>
      <c r="X169" s="1643"/>
      <c r="Y169" s="1643"/>
      <c r="Z169" s="1643"/>
      <c r="AA169" s="1643"/>
      <c r="AB169" s="1643"/>
      <c r="AC169" s="1643"/>
      <c r="AD169" s="1643"/>
      <c r="AE169" s="1643"/>
      <c r="AF169" s="1643"/>
      <c r="AG169" s="1643"/>
      <c r="AH169" s="1643"/>
      <c r="AI169" s="1643"/>
      <c r="AJ169" s="1643"/>
      <c r="AK169" s="1643"/>
      <c r="AL169" s="1643"/>
      <c r="AM169" s="1643"/>
    </row>
    <row r="170" spans="1:39" ht="15.75" customHeight="1" x14ac:dyDescent="0.3">
      <c r="A170" s="1643"/>
      <c r="B170" s="1643"/>
      <c r="C170" s="1643"/>
      <c r="D170" s="1643"/>
      <c r="E170" s="1643"/>
      <c r="F170" s="1643"/>
      <c r="G170" s="1643"/>
      <c r="H170" s="1643"/>
      <c r="I170" s="1643"/>
      <c r="J170" s="1643"/>
      <c r="K170" s="1643"/>
      <c r="L170" s="1643"/>
      <c r="M170" s="1643"/>
      <c r="N170" s="1643"/>
      <c r="O170" s="1643"/>
      <c r="P170" s="1643"/>
      <c r="Q170" s="1643"/>
      <c r="R170" s="1643"/>
      <c r="S170" s="1643"/>
      <c r="T170" s="1643"/>
      <c r="U170" s="1643"/>
      <c r="V170" s="1643"/>
      <c r="W170" s="1643"/>
      <c r="X170" s="1643"/>
      <c r="Y170" s="1643"/>
      <c r="Z170" s="1643"/>
      <c r="AA170" s="1643"/>
      <c r="AB170" s="1643"/>
      <c r="AC170" s="1643"/>
      <c r="AD170" s="1643"/>
      <c r="AE170" s="1643"/>
      <c r="AF170" s="1643"/>
      <c r="AG170" s="1643"/>
      <c r="AH170" s="1643"/>
      <c r="AI170" s="1643"/>
      <c r="AJ170" s="1643"/>
      <c r="AK170" s="1643"/>
      <c r="AL170" s="1643"/>
      <c r="AM170" s="1643"/>
    </row>
    <row r="171" spans="1:39" ht="15.75" customHeight="1" x14ac:dyDescent="0.3">
      <c r="A171" s="1643"/>
      <c r="B171" s="1643"/>
      <c r="C171" s="1643"/>
      <c r="D171" s="1643"/>
      <c r="E171" s="1643"/>
      <c r="F171" s="1643"/>
      <c r="G171" s="1643"/>
      <c r="H171" s="1643"/>
      <c r="I171" s="1643"/>
      <c r="J171" s="1643"/>
      <c r="K171" s="1643"/>
      <c r="L171" s="1643"/>
      <c r="M171" s="1643"/>
      <c r="N171" s="1643"/>
      <c r="O171" s="1643"/>
      <c r="P171" s="1643"/>
      <c r="Q171" s="1643"/>
      <c r="R171" s="1643"/>
      <c r="S171" s="1643"/>
      <c r="T171" s="1643"/>
      <c r="U171" s="1643"/>
      <c r="V171" s="1643"/>
      <c r="W171" s="1643"/>
      <c r="X171" s="1643"/>
      <c r="Y171" s="1643"/>
      <c r="Z171" s="1643"/>
      <c r="AA171" s="1643"/>
      <c r="AB171" s="1643"/>
      <c r="AC171" s="1643"/>
      <c r="AD171" s="1643"/>
      <c r="AE171" s="1643"/>
      <c r="AF171" s="1643"/>
      <c r="AG171" s="1643"/>
      <c r="AH171" s="1643"/>
      <c r="AI171" s="1643"/>
      <c r="AJ171" s="1643"/>
      <c r="AK171" s="1643"/>
      <c r="AL171" s="1643"/>
      <c r="AM171" s="1643"/>
    </row>
    <row r="172" spans="1:39" ht="15.75" customHeight="1" x14ac:dyDescent="0.3">
      <c r="A172" s="1643"/>
      <c r="B172" s="1643"/>
      <c r="C172" s="1643"/>
      <c r="D172" s="1643"/>
      <c r="E172" s="1643"/>
      <c r="F172" s="1643"/>
      <c r="G172" s="1643"/>
      <c r="H172" s="1643"/>
      <c r="I172" s="1643"/>
      <c r="J172" s="1643"/>
      <c r="K172" s="1643"/>
      <c r="L172" s="1643"/>
      <c r="M172" s="1643"/>
      <c r="N172" s="1643"/>
      <c r="O172" s="1643"/>
      <c r="P172" s="1643"/>
      <c r="Q172" s="1643"/>
      <c r="R172" s="1643"/>
      <c r="S172" s="1643"/>
      <c r="T172" s="1643"/>
      <c r="U172" s="1643"/>
      <c r="V172" s="1643"/>
      <c r="W172" s="1643"/>
      <c r="X172" s="1643"/>
      <c r="Y172" s="1643"/>
      <c r="Z172" s="1643"/>
      <c r="AA172" s="1643"/>
      <c r="AB172" s="1643"/>
      <c r="AC172" s="1643"/>
      <c r="AD172" s="1643"/>
      <c r="AE172" s="1643"/>
      <c r="AF172" s="1643"/>
      <c r="AG172" s="1643"/>
      <c r="AH172" s="1643"/>
      <c r="AI172" s="1643"/>
      <c r="AJ172" s="1643"/>
      <c r="AK172" s="1643"/>
      <c r="AL172" s="1643"/>
      <c r="AM172" s="1643"/>
    </row>
    <row r="173" spans="1:39" ht="15.75" customHeight="1" x14ac:dyDescent="0.3">
      <c r="A173" s="1643"/>
      <c r="B173" s="1643"/>
      <c r="C173" s="1643"/>
      <c r="D173" s="1643"/>
      <c r="E173" s="1643"/>
      <c r="F173" s="1643"/>
      <c r="G173" s="1643"/>
      <c r="H173" s="1643"/>
      <c r="I173" s="1643"/>
      <c r="J173" s="1643"/>
      <c r="K173" s="1643"/>
      <c r="L173" s="1643"/>
      <c r="M173" s="1643"/>
      <c r="N173" s="1643"/>
      <c r="O173" s="1643"/>
      <c r="P173" s="1643"/>
      <c r="Q173" s="1643"/>
      <c r="R173" s="1643"/>
      <c r="S173" s="1643"/>
      <c r="T173" s="1643"/>
      <c r="U173" s="1643"/>
      <c r="V173" s="1643"/>
      <c r="W173" s="1643"/>
      <c r="X173" s="1643"/>
      <c r="Y173" s="1643"/>
      <c r="Z173" s="1643"/>
      <c r="AA173" s="1643"/>
      <c r="AB173" s="1643"/>
      <c r="AC173" s="1643"/>
      <c r="AD173" s="1643"/>
      <c r="AE173" s="1643"/>
      <c r="AF173" s="1643"/>
      <c r="AG173" s="1643"/>
      <c r="AH173" s="1643"/>
      <c r="AI173" s="1643"/>
      <c r="AJ173" s="1643"/>
      <c r="AK173" s="1643"/>
      <c r="AL173" s="1643"/>
      <c r="AM173" s="1643"/>
    </row>
    <row r="174" spans="1:39" ht="15.75" customHeight="1" x14ac:dyDescent="0.3">
      <c r="A174" s="1643"/>
      <c r="B174" s="1643"/>
      <c r="C174" s="1643"/>
      <c r="D174" s="1643"/>
      <c r="E174" s="1643"/>
      <c r="F174" s="1643"/>
      <c r="G174" s="1643"/>
      <c r="H174" s="1643"/>
      <c r="I174" s="1643"/>
      <c r="J174" s="1643"/>
      <c r="K174" s="1643"/>
      <c r="L174" s="1643"/>
      <c r="M174" s="1643"/>
      <c r="N174" s="1643"/>
      <c r="O174" s="1643"/>
      <c r="P174" s="1643"/>
      <c r="Q174" s="1643"/>
      <c r="R174" s="1643"/>
      <c r="S174" s="1643"/>
      <c r="T174" s="1643"/>
      <c r="U174" s="1643"/>
      <c r="V174" s="1643"/>
      <c r="W174" s="1643"/>
      <c r="X174" s="1643"/>
      <c r="Y174" s="1643"/>
      <c r="Z174" s="1643"/>
      <c r="AA174" s="1643"/>
      <c r="AB174" s="1643"/>
      <c r="AC174" s="1643"/>
      <c r="AD174" s="1643"/>
      <c r="AE174" s="1643"/>
      <c r="AF174" s="1643"/>
      <c r="AG174" s="1643"/>
      <c r="AH174" s="1643"/>
      <c r="AI174" s="1643"/>
      <c r="AJ174" s="1643"/>
      <c r="AK174" s="1643"/>
      <c r="AL174" s="1643"/>
      <c r="AM174" s="1643"/>
    </row>
    <row r="175" spans="1:39" ht="15.75" customHeight="1" x14ac:dyDescent="0.3">
      <c r="A175" s="1643"/>
      <c r="B175" s="1643"/>
      <c r="C175" s="1643"/>
      <c r="D175" s="1643"/>
      <c r="E175" s="1643"/>
      <c r="F175" s="1643"/>
      <c r="G175" s="1643"/>
      <c r="H175" s="1643"/>
      <c r="I175" s="1643"/>
      <c r="J175" s="1643"/>
      <c r="K175" s="1643"/>
      <c r="L175" s="1643"/>
      <c r="M175" s="1643"/>
      <c r="N175" s="1643"/>
      <c r="O175" s="1643"/>
      <c r="P175" s="1643"/>
      <c r="Q175" s="1643"/>
      <c r="R175" s="1643"/>
      <c r="S175" s="1643"/>
      <c r="T175" s="1643"/>
      <c r="U175" s="1643"/>
      <c r="V175" s="1643"/>
      <c r="W175" s="1643"/>
      <c r="X175" s="1643"/>
      <c r="Y175" s="1643"/>
      <c r="Z175" s="1643"/>
      <c r="AA175" s="1643"/>
      <c r="AB175" s="1643"/>
      <c r="AC175" s="1643"/>
      <c r="AD175" s="1643"/>
      <c r="AE175" s="1643"/>
      <c r="AF175" s="1643"/>
      <c r="AG175" s="1643"/>
      <c r="AH175" s="1643"/>
      <c r="AI175" s="1643"/>
      <c r="AJ175" s="1643"/>
      <c r="AK175" s="1643"/>
      <c r="AL175" s="1643"/>
      <c r="AM175" s="1643"/>
    </row>
    <row r="176" spans="1:39" ht="15.75" customHeight="1" x14ac:dyDescent="0.3">
      <c r="A176" s="1643"/>
      <c r="B176" s="1643"/>
      <c r="C176" s="1643"/>
      <c r="D176" s="1643"/>
      <c r="E176" s="1643"/>
      <c r="F176" s="1643"/>
      <c r="G176" s="1643"/>
      <c r="H176" s="1643"/>
      <c r="I176" s="1643"/>
      <c r="J176" s="1643"/>
      <c r="K176" s="1643"/>
      <c r="L176" s="1643"/>
      <c r="M176" s="1643"/>
      <c r="N176" s="1643"/>
      <c r="O176" s="1643"/>
      <c r="P176" s="1643"/>
      <c r="Q176" s="1643"/>
      <c r="R176" s="1643"/>
      <c r="S176" s="1643"/>
      <c r="T176" s="1643"/>
      <c r="U176" s="1643"/>
      <c r="V176" s="1643"/>
      <c r="W176" s="1643"/>
      <c r="X176" s="1643"/>
      <c r="Y176" s="1643"/>
      <c r="Z176" s="1643"/>
      <c r="AA176" s="1643"/>
      <c r="AB176" s="1643"/>
      <c r="AC176" s="1643"/>
      <c r="AD176" s="1643"/>
      <c r="AE176" s="1643"/>
      <c r="AF176" s="1643"/>
      <c r="AG176" s="1643"/>
      <c r="AH176" s="1643"/>
      <c r="AI176" s="1643"/>
      <c r="AJ176" s="1643"/>
      <c r="AK176" s="1643"/>
      <c r="AL176" s="1643"/>
      <c r="AM176" s="1643"/>
    </row>
    <row r="177" spans="1:39" ht="15.75" customHeight="1" x14ac:dyDescent="0.3">
      <c r="A177" s="1643"/>
      <c r="B177" s="1643"/>
      <c r="C177" s="1643"/>
      <c r="D177" s="1643"/>
      <c r="E177" s="1643"/>
      <c r="F177" s="1643"/>
      <c r="G177" s="1643"/>
      <c r="H177" s="1643"/>
      <c r="I177" s="1643"/>
      <c r="J177" s="1643"/>
      <c r="K177" s="1643"/>
      <c r="L177" s="1643"/>
      <c r="M177" s="1643"/>
      <c r="N177" s="1643"/>
      <c r="O177" s="1643"/>
      <c r="P177" s="1643"/>
      <c r="Q177" s="1643"/>
      <c r="R177" s="1643"/>
      <c r="S177" s="1643"/>
      <c r="T177" s="1643"/>
      <c r="U177" s="1643"/>
      <c r="V177" s="1643"/>
      <c r="W177" s="1643"/>
      <c r="X177" s="1643"/>
      <c r="Y177" s="1643"/>
      <c r="Z177" s="1643"/>
      <c r="AA177" s="1643"/>
      <c r="AB177" s="1643"/>
      <c r="AC177" s="1643"/>
      <c r="AD177" s="1643"/>
      <c r="AE177" s="1643"/>
      <c r="AF177" s="1643"/>
      <c r="AG177" s="1643"/>
      <c r="AH177" s="1643"/>
      <c r="AI177" s="1643"/>
      <c r="AJ177" s="1643"/>
      <c r="AK177" s="1643"/>
      <c r="AL177" s="1643"/>
      <c r="AM177" s="1643"/>
    </row>
    <row r="178" spans="1:39" ht="15.75" customHeight="1" x14ac:dyDescent="0.3">
      <c r="A178" s="1643"/>
      <c r="B178" s="1643"/>
      <c r="C178" s="1643"/>
      <c r="D178" s="1643"/>
      <c r="E178" s="1643"/>
      <c r="F178" s="1643"/>
      <c r="G178" s="1643"/>
      <c r="H178" s="1643"/>
      <c r="I178" s="1643"/>
      <c r="J178" s="1643"/>
      <c r="K178" s="1643"/>
      <c r="L178" s="1643"/>
      <c r="M178" s="1643"/>
      <c r="N178" s="1643"/>
      <c r="O178" s="1643"/>
      <c r="P178" s="1643"/>
      <c r="Q178" s="1643"/>
      <c r="R178" s="1643"/>
      <c r="S178" s="1643"/>
      <c r="T178" s="1643"/>
      <c r="U178" s="1643"/>
      <c r="V178" s="1643"/>
      <c r="W178" s="1643"/>
      <c r="X178" s="1643"/>
      <c r="Y178" s="1643"/>
      <c r="Z178" s="1643"/>
      <c r="AA178" s="1643"/>
      <c r="AB178" s="1643"/>
      <c r="AC178" s="1643"/>
      <c r="AD178" s="1643"/>
      <c r="AE178" s="1643"/>
      <c r="AF178" s="1643"/>
      <c r="AG178" s="1643"/>
      <c r="AH178" s="1643"/>
      <c r="AI178" s="1643"/>
      <c r="AJ178" s="1643"/>
      <c r="AK178" s="1643"/>
      <c r="AL178" s="1643"/>
      <c r="AM178" s="1643"/>
    </row>
    <row r="179" spans="1:39" ht="15.75" customHeight="1" x14ac:dyDescent="0.3">
      <c r="A179" s="1643"/>
      <c r="B179" s="1643"/>
      <c r="C179" s="1643"/>
      <c r="D179" s="1643"/>
      <c r="E179" s="1643"/>
      <c r="F179" s="1643"/>
      <c r="G179" s="1643"/>
      <c r="H179" s="1643"/>
      <c r="I179" s="1643"/>
      <c r="J179" s="1643"/>
      <c r="K179" s="1643"/>
      <c r="L179" s="1643"/>
      <c r="M179" s="1643"/>
      <c r="N179" s="1643"/>
      <c r="O179" s="1643"/>
      <c r="P179" s="1643"/>
      <c r="Q179" s="1643"/>
      <c r="R179" s="1643"/>
      <c r="S179" s="1643"/>
      <c r="T179" s="1643"/>
      <c r="U179" s="1643"/>
      <c r="V179" s="1643"/>
      <c r="W179" s="1643"/>
      <c r="X179" s="1643"/>
      <c r="Y179" s="1643"/>
      <c r="Z179" s="1643"/>
      <c r="AA179" s="1643"/>
      <c r="AB179" s="1643"/>
      <c r="AC179" s="1643"/>
      <c r="AD179" s="1643"/>
      <c r="AE179" s="1643"/>
      <c r="AF179" s="1643"/>
      <c r="AG179" s="1643"/>
      <c r="AH179" s="1643"/>
      <c r="AI179" s="1643"/>
      <c r="AJ179" s="1643"/>
      <c r="AK179" s="1643"/>
      <c r="AL179" s="1643"/>
      <c r="AM179" s="1643"/>
    </row>
    <row r="180" spans="1:39" ht="15.75" customHeight="1" x14ac:dyDescent="0.3">
      <c r="A180" s="1643"/>
      <c r="B180" s="1643"/>
      <c r="C180" s="1643"/>
      <c r="D180" s="1643"/>
      <c r="E180" s="1643"/>
      <c r="F180" s="1643"/>
      <c r="G180" s="1643"/>
      <c r="H180" s="1643"/>
      <c r="I180" s="1643"/>
      <c r="J180" s="1643"/>
      <c r="K180" s="1643"/>
      <c r="L180" s="1643"/>
      <c r="M180" s="1643"/>
      <c r="N180" s="1643"/>
      <c r="O180" s="1643"/>
      <c r="P180" s="1643"/>
      <c r="Q180" s="1643"/>
      <c r="R180" s="1643"/>
      <c r="S180" s="1643"/>
      <c r="T180" s="1643"/>
      <c r="U180" s="1643"/>
      <c r="V180" s="1643"/>
      <c r="W180" s="1643"/>
      <c r="X180" s="1643"/>
      <c r="Y180" s="1643"/>
      <c r="Z180" s="1643"/>
      <c r="AA180" s="1643"/>
      <c r="AB180" s="1643"/>
      <c r="AC180" s="1643"/>
      <c r="AD180" s="1643"/>
      <c r="AE180" s="1643"/>
      <c r="AF180" s="1643"/>
      <c r="AG180" s="1643"/>
      <c r="AH180" s="1643"/>
      <c r="AI180" s="1643"/>
      <c r="AJ180" s="1643"/>
      <c r="AK180" s="1643"/>
      <c r="AL180" s="1643"/>
      <c r="AM180" s="1643"/>
    </row>
    <row r="181" spans="1:39" ht="15.75" customHeight="1" x14ac:dyDescent="0.3">
      <c r="A181" s="1643"/>
      <c r="B181" s="1643"/>
      <c r="C181" s="1643"/>
      <c r="D181" s="1643"/>
      <c r="E181" s="1643"/>
      <c r="F181" s="1643"/>
      <c r="G181" s="1643"/>
      <c r="H181" s="1643"/>
      <c r="I181" s="1643"/>
      <c r="J181" s="1643"/>
      <c r="K181" s="1643"/>
      <c r="L181" s="1643"/>
      <c r="M181" s="1643"/>
      <c r="N181" s="1643"/>
      <c r="O181" s="1643"/>
      <c r="P181" s="1643"/>
      <c r="Q181" s="1643"/>
      <c r="R181" s="1643"/>
      <c r="S181" s="1643"/>
      <c r="T181" s="1643"/>
      <c r="U181" s="1643"/>
      <c r="V181" s="1643"/>
      <c r="W181" s="1643"/>
      <c r="X181" s="1643"/>
      <c r="Y181" s="1643"/>
      <c r="Z181" s="1643"/>
      <c r="AA181" s="1643"/>
      <c r="AB181" s="1643"/>
      <c r="AC181" s="1643"/>
      <c r="AD181" s="1643"/>
      <c r="AE181" s="1643"/>
      <c r="AF181" s="1643"/>
      <c r="AG181" s="1643"/>
      <c r="AH181" s="1643"/>
      <c r="AI181" s="1643"/>
      <c r="AJ181" s="1643"/>
      <c r="AK181" s="1643"/>
      <c r="AL181" s="1643"/>
      <c r="AM181" s="1643"/>
    </row>
    <row r="182" spans="1:39" ht="15.75" customHeight="1" x14ac:dyDescent="0.3">
      <c r="A182" s="1643"/>
      <c r="B182" s="1643"/>
      <c r="C182" s="1643"/>
      <c r="D182" s="1643"/>
      <c r="E182" s="1643"/>
      <c r="F182" s="1643"/>
      <c r="G182" s="1643"/>
      <c r="H182" s="1643"/>
      <c r="I182" s="1643"/>
      <c r="J182" s="1643"/>
      <c r="K182" s="1643"/>
      <c r="L182" s="1643"/>
      <c r="M182" s="1643"/>
      <c r="N182" s="1643"/>
      <c r="O182" s="1643"/>
      <c r="P182" s="1643"/>
      <c r="Q182" s="1643"/>
      <c r="R182" s="1643"/>
      <c r="S182" s="1643"/>
      <c r="T182" s="1643"/>
      <c r="U182" s="1643"/>
      <c r="V182" s="1643"/>
      <c r="W182" s="1643"/>
      <c r="X182" s="1643"/>
      <c r="Y182" s="1643"/>
      <c r="Z182" s="1643"/>
      <c r="AA182" s="1643"/>
      <c r="AB182" s="1643"/>
      <c r="AC182" s="1643"/>
      <c r="AD182" s="1643"/>
      <c r="AE182" s="1643"/>
      <c r="AF182" s="1643"/>
      <c r="AG182" s="1643"/>
      <c r="AH182" s="1643"/>
      <c r="AI182" s="1643"/>
      <c r="AJ182" s="1643"/>
      <c r="AK182" s="1643"/>
      <c r="AL182" s="1643"/>
      <c r="AM182" s="1643"/>
    </row>
    <row r="183" spans="1:39" ht="15.75" customHeight="1" x14ac:dyDescent="0.3">
      <c r="A183" s="1643"/>
      <c r="B183" s="1643"/>
      <c r="C183" s="1643"/>
      <c r="D183" s="1643"/>
      <c r="E183" s="1643"/>
      <c r="F183" s="1643"/>
      <c r="G183" s="1643"/>
      <c r="H183" s="1643"/>
      <c r="I183" s="1643"/>
      <c r="J183" s="1643"/>
      <c r="K183" s="1643"/>
      <c r="L183" s="1643"/>
      <c r="M183" s="1643"/>
      <c r="N183" s="1643"/>
      <c r="O183" s="1643"/>
      <c r="P183" s="1643"/>
      <c r="Q183" s="1643"/>
      <c r="R183" s="1643"/>
      <c r="S183" s="1643"/>
      <c r="T183" s="1643"/>
      <c r="U183" s="1643"/>
      <c r="V183" s="1643"/>
      <c r="W183" s="1643"/>
      <c r="X183" s="1643"/>
      <c r="Y183" s="1643"/>
      <c r="Z183" s="1643"/>
      <c r="AA183" s="1643"/>
      <c r="AB183" s="1643"/>
      <c r="AC183" s="1643"/>
      <c r="AD183" s="1643"/>
      <c r="AE183" s="1643"/>
      <c r="AF183" s="1643"/>
      <c r="AG183" s="1643"/>
      <c r="AH183" s="1643"/>
      <c r="AI183" s="1643"/>
      <c r="AJ183" s="1643"/>
      <c r="AK183" s="1643"/>
      <c r="AL183" s="1643"/>
      <c r="AM183" s="1643"/>
    </row>
    <row r="184" spans="1:39" ht="15.75" customHeight="1" x14ac:dyDescent="0.3">
      <c r="A184" s="1643"/>
      <c r="B184" s="1643"/>
      <c r="C184" s="1643"/>
      <c r="D184" s="1643"/>
      <c r="E184" s="1643"/>
      <c r="F184" s="1643"/>
      <c r="G184" s="1643"/>
      <c r="H184" s="1643"/>
      <c r="I184" s="1643"/>
      <c r="J184" s="1643"/>
      <c r="K184" s="1643"/>
      <c r="L184" s="1643"/>
      <c r="M184" s="1643"/>
      <c r="N184" s="1643"/>
      <c r="O184" s="1643"/>
      <c r="P184" s="1643"/>
      <c r="Q184" s="1643"/>
      <c r="R184" s="1643"/>
      <c r="S184" s="1643"/>
      <c r="T184" s="1643"/>
      <c r="U184" s="1643"/>
      <c r="V184" s="1643"/>
      <c r="W184" s="1643"/>
      <c r="X184" s="1643"/>
      <c r="Y184" s="1643"/>
      <c r="Z184" s="1643"/>
      <c r="AA184" s="1643"/>
      <c r="AB184" s="1643"/>
      <c r="AC184" s="1643"/>
      <c r="AD184" s="1643"/>
      <c r="AE184" s="1643"/>
      <c r="AF184" s="1643"/>
      <c r="AG184" s="1643"/>
      <c r="AH184" s="1643"/>
      <c r="AI184" s="1643"/>
      <c r="AJ184" s="1643"/>
      <c r="AK184" s="1643"/>
      <c r="AL184" s="1643"/>
      <c r="AM184" s="1643"/>
    </row>
    <row r="185" spans="1:39" ht="15.75" customHeight="1" x14ac:dyDescent="0.3">
      <c r="A185" s="1643"/>
      <c r="B185" s="1643"/>
      <c r="C185" s="1643"/>
      <c r="D185" s="1643"/>
      <c r="E185" s="1643"/>
      <c r="F185" s="1643"/>
      <c r="G185" s="1643"/>
      <c r="H185" s="1643"/>
      <c r="I185" s="1643"/>
      <c r="J185" s="1643"/>
      <c r="K185" s="1643"/>
      <c r="L185" s="1643"/>
      <c r="M185" s="1643"/>
      <c r="N185" s="1643"/>
      <c r="O185" s="1643"/>
      <c r="P185" s="1643"/>
      <c r="Q185" s="1643"/>
      <c r="R185" s="1643"/>
      <c r="S185" s="1643"/>
      <c r="T185" s="1643"/>
      <c r="U185" s="1643"/>
      <c r="V185" s="1643"/>
      <c r="W185" s="1643"/>
      <c r="X185" s="1643"/>
      <c r="Y185" s="1643"/>
      <c r="Z185" s="1643"/>
      <c r="AA185" s="1643"/>
      <c r="AB185" s="1643"/>
      <c r="AC185" s="1643"/>
      <c r="AD185" s="1643"/>
      <c r="AE185" s="1643"/>
      <c r="AF185" s="1643"/>
      <c r="AG185" s="1643"/>
      <c r="AH185" s="1643"/>
      <c r="AI185" s="1643"/>
      <c r="AJ185" s="1643"/>
      <c r="AK185" s="1643"/>
      <c r="AL185" s="1643"/>
      <c r="AM185" s="1643"/>
    </row>
    <row r="186" spans="1:39" ht="15.75" customHeight="1" x14ac:dyDescent="0.3">
      <c r="A186" s="1643"/>
      <c r="B186" s="1643"/>
      <c r="C186" s="1643"/>
      <c r="D186" s="1643"/>
      <c r="E186" s="1643"/>
      <c r="F186" s="1643"/>
      <c r="G186" s="1643"/>
      <c r="H186" s="1643"/>
      <c r="I186" s="1643"/>
      <c r="J186" s="1643"/>
      <c r="K186" s="1643"/>
      <c r="L186" s="1643"/>
      <c r="M186" s="1643"/>
      <c r="N186" s="1643"/>
      <c r="O186" s="1643"/>
      <c r="P186" s="1643"/>
      <c r="Q186" s="1643"/>
      <c r="R186" s="1643"/>
      <c r="S186" s="1643"/>
      <c r="T186" s="1643"/>
      <c r="U186" s="1643"/>
      <c r="V186" s="1643"/>
      <c r="W186" s="1643"/>
      <c r="X186" s="1643"/>
      <c r="Y186" s="1643"/>
      <c r="Z186" s="1643"/>
      <c r="AA186" s="1643"/>
      <c r="AB186" s="1643"/>
      <c r="AC186" s="1643"/>
      <c r="AD186" s="1643"/>
      <c r="AE186" s="1643"/>
      <c r="AF186" s="1643"/>
      <c r="AG186" s="1643"/>
      <c r="AH186" s="1643"/>
      <c r="AI186" s="1643"/>
      <c r="AJ186" s="1643"/>
      <c r="AK186" s="1643"/>
      <c r="AL186" s="1643"/>
      <c r="AM186" s="1643"/>
    </row>
    <row r="187" spans="1:39" ht="15.75" customHeight="1" x14ac:dyDescent="0.3">
      <c r="A187" s="1643"/>
      <c r="B187" s="1643"/>
      <c r="C187" s="1643"/>
      <c r="D187" s="1643"/>
      <c r="E187" s="1643"/>
      <c r="F187" s="1643"/>
      <c r="G187" s="1643"/>
      <c r="H187" s="1643"/>
      <c r="I187" s="1643"/>
      <c r="J187" s="1643"/>
      <c r="K187" s="1643"/>
      <c r="L187" s="1643"/>
      <c r="M187" s="1643"/>
      <c r="N187" s="1643"/>
      <c r="O187" s="1643"/>
      <c r="P187" s="1643"/>
      <c r="Q187" s="1643"/>
      <c r="R187" s="1643"/>
      <c r="S187" s="1643"/>
      <c r="T187" s="1643"/>
      <c r="U187" s="1643"/>
      <c r="V187" s="1643"/>
      <c r="W187" s="1643"/>
      <c r="X187" s="1643"/>
      <c r="Y187" s="1643"/>
      <c r="Z187" s="1643"/>
      <c r="AA187" s="1643"/>
      <c r="AB187" s="1643"/>
      <c r="AC187" s="1643"/>
      <c r="AD187" s="1643"/>
      <c r="AE187" s="1643"/>
      <c r="AF187" s="1643"/>
      <c r="AG187" s="1643"/>
      <c r="AH187" s="1643"/>
      <c r="AI187" s="1643"/>
      <c r="AJ187" s="1643"/>
      <c r="AK187" s="1643"/>
      <c r="AL187" s="1643"/>
      <c r="AM187" s="1643"/>
    </row>
    <row r="188" spans="1:39" ht="15.75" customHeight="1" x14ac:dyDescent="0.3">
      <c r="A188" s="1643"/>
      <c r="B188" s="1643"/>
      <c r="C188" s="1643"/>
      <c r="D188" s="1643"/>
      <c r="E188" s="1643"/>
      <c r="F188" s="1643"/>
      <c r="G188" s="1643"/>
      <c r="H188" s="1643"/>
      <c r="I188" s="1643"/>
      <c r="J188" s="1643"/>
      <c r="K188" s="1643"/>
      <c r="L188" s="1643"/>
      <c r="M188" s="1643"/>
      <c r="N188" s="1643"/>
      <c r="O188" s="1643"/>
      <c r="P188" s="1643"/>
      <c r="Q188" s="1643"/>
      <c r="R188" s="1643"/>
      <c r="S188" s="1643"/>
      <c r="T188" s="1643"/>
      <c r="U188" s="1643"/>
      <c r="V188" s="1643"/>
      <c r="W188" s="1643"/>
      <c r="X188" s="1643"/>
      <c r="Y188" s="1643"/>
      <c r="Z188" s="1643"/>
      <c r="AA188" s="1643"/>
      <c r="AB188" s="1643"/>
      <c r="AC188" s="1643"/>
      <c r="AD188" s="1643"/>
      <c r="AE188" s="1643"/>
      <c r="AF188" s="1643"/>
      <c r="AG188" s="1643"/>
      <c r="AH188" s="1643"/>
      <c r="AI188" s="1643"/>
      <c r="AJ188" s="1643"/>
      <c r="AK188" s="1643"/>
      <c r="AL188" s="1643"/>
      <c r="AM188" s="1643"/>
    </row>
    <row r="189" spans="1:39" ht="15.75" customHeight="1" x14ac:dyDescent="0.3">
      <c r="A189" s="1643"/>
      <c r="B189" s="1643"/>
      <c r="C189" s="1643"/>
      <c r="D189" s="1643"/>
      <c r="E189" s="1643"/>
      <c r="F189" s="1643"/>
      <c r="G189" s="1643"/>
      <c r="H189" s="1643"/>
      <c r="I189" s="1643"/>
      <c r="J189" s="1643"/>
      <c r="K189" s="1643"/>
      <c r="L189" s="1643"/>
      <c r="M189" s="1643"/>
      <c r="N189" s="1643"/>
      <c r="O189" s="1643"/>
      <c r="P189" s="1643"/>
      <c r="Q189" s="1643"/>
      <c r="R189" s="1643"/>
      <c r="S189" s="1643"/>
      <c r="T189" s="1643"/>
      <c r="U189" s="1643"/>
      <c r="V189" s="1643"/>
      <c r="W189" s="1643"/>
      <c r="X189" s="1643"/>
      <c r="Y189" s="1643"/>
      <c r="Z189" s="1643"/>
      <c r="AA189" s="1643"/>
      <c r="AB189" s="1643"/>
      <c r="AC189" s="1643"/>
      <c r="AD189" s="1643"/>
      <c r="AE189" s="1643"/>
      <c r="AF189" s="1643"/>
      <c r="AG189" s="1643"/>
      <c r="AH189" s="1643"/>
      <c r="AI189" s="1643"/>
      <c r="AJ189" s="1643"/>
      <c r="AK189" s="1643"/>
      <c r="AL189" s="1643"/>
      <c r="AM189" s="1643"/>
    </row>
    <row r="190" spans="1:39" ht="15.75" customHeight="1" x14ac:dyDescent="0.3">
      <c r="A190" s="1643"/>
      <c r="B190" s="1643"/>
      <c r="C190" s="1643"/>
      <c r="D190" s="1643"/>
      <c r="E190" s="1643"/>
      <c r="F190" s="1643"/>
      <c r="G190" s="1643"/>
      <c r="H190" s="1643"/>
      <c r="I190" s="1643"/>
      <c r="J190" s="1643"/>
      <c r="K190" s="1643"/>
      <c r="L190" s="1643"/>
      <c r="M190" s="1643"/>
      <c r="N190" s="1643"/>
      <c r="O190" s="1643"/>
      <c r="P190" s="1643"/>
      <c r="Q190" s="1643"/>
      <c r="R190" s="1643"/>
      <c r="S190" s="1643"/>
      <c r="T190" s="1643"/>
      <c r="U190" s="1643"/>
      <c r="V190" s="1643"/>
      <c r="W190" s="1643"/>
      <c r="X190" s="1643"/>
      <c r="Y190" s="1643"/>
      <c r="Z190" s="1643"/>
      <c r="AA190" s="1643"/>
      <c r="AB190" s="1643"/>
      <c r="AC190" s="1643"/>
      <c r="AD190" s="1643"/>
      <c r="AE190" s="1643"/>
      <c r="AF190" s="1643"/>
      <c r="AG190" s="1643"/>
      <c r="AH190" s="1643"/>
      <c r="AI190" s="1643"/>
      <c r="AJ190" s="1643"/>
      <c r="AK190" s="1643"/>
      <c r="AL190" s="1643"/>
      <c r="AM190" s="1643"/>
    </row>
    <row r="191" spans="1:39" ht="15.75" customHeight="1" x14ac:dyDescent="0.3">
      <c r="A191" s="1643"/>
      <c r="B191" s="1643"/>
      <c r="C191" s="1643"/>
      <c r="D191" s="1643"/>
      <c r="E191" s="1643"/>
      <c r="F191" s="1643"/>
      <c r="G191" s="1643"/>
      <c r="H191" s="1643"/>
      <c r="I191" s="1643"/>
      <c r="J191" s="1643"/>
      <c r="K191" s="1643"/>
      <c r="L191" s="1643"/>
      <c r="M191" s="1643"/>
      <c r="N191" s="1643"/>
      <c r="O191" s="1643"/>
      <c r="P191" s="1643"/>
      <c r="Q191" s="1643"/>
      <c r="R191" s="1643"/>
      <c r="S191" s="1643"/>
      <c r="T191" s="1643"/>
      <c r="U191" s="1643"/>
      <c r="V191" s="1643"/>
      <c r="W191" s="1643"/>
      <c r="X191" s="1643"/>
      <c r="Y191" s="1643"/>
      <c r="Z191" s="1643"/>
      <c r="AA191" s="1643"/>
      <c r="AB191" s="1643"/>
      <c r="AC191" s="1643"/>
      <c r="AD191" s="1643"/>
      <c r="AE191" s="1643"/>
      <c r="AF191" s="1643"/>
      <c r="AG191" s="1643"/>
      <c r="AH191" s="1643"/>
      <c r="AI191" s="1643"/>
      <c r="AJ191" s="1643"/>
      <c r="AK191" s="1643"/>
      <c r="AL191" s="1643"/>
      <c r="AM191" s="1643"/>
    </row>
    <row r="192" spans="1:39" ht="15.75" customHeight="1" x14ac:dyDescent="0.3">
      <c r="A192" s="1643"/>
      <c r="B192" s="1643"/>
      <c r="C192" s="1643"/>
      <c r="D192" s="1643"/>
      <c r="E192" s="1643"/>
      <c r="F192" s="1643"/>
      <c r="G192" s="1643"/>
      <c r="H192" s="1643"/>
      <c r="I192" s="1643"/>
      <c r="J192" s="1643"/>
      <c r="K192" s="1643"/>
      <c r="L192" s="1643"/>
      <c r="M192" s="1643"/>
      <c r="N192" s="1643"/>
      <c r="O192" s="1643"/>
      <c r="P192" s="1643"/>
      <c r="Q192" s="1643"/>
      <c r="R192" s="1643"/>
      <c r="S192" s="1643"/>
      <c r="T192" s="1643"/>
      <c r="U192" s="1643"/>
      <c r="V192" s="1643"/>
      <c r="W192" s="1643"/>
      <c r="X192" s="1643"/>
      <c r="Y192" s="1643"/>
      <c r="Z192" s="1643"/>
      <c r="AA192" s="1643"/>
      <c r="AB192" s="1643"/>
      <c r="AC192" s="1643"/>
      <c r="AD192" s="1643"/>
      <c r="AE192" s="1643"/>
      <c r="AF192" s="1643"/>
      <c r="AG192" s="1643"/>
      <c r="AH192" s="1643"/>
      <c r="AI192" s="1643"/>
      <c r="AJ192" s="1643"/>
      <c r="AK192" s="1643"/>
      <c r="AL192" s="1643"/>
      <c r="AM192" s="1643"/>
    </row>
    <row r="193" spans="1:39" ht="15.75" customHeight="1" x14ac:dyDescent="0.3">
      <c r="A193" s="1643"/>
      <c r="B193" s="1643"/>
      <c r="C193" s="1643"/>
      <c r="D193" s="1643"/>
      <c r="E193" s="1643"/>
      <c r="F193" s="1643"/>
      <c r="G193" s="1643"/>
      <c r="H193" s="1643"/>
      <c r="I193" s="1643"/>
      <c r="J193" s="1643"/>
      <c r="K193" s="1643"/>
      <c r="L193" s="1643"/>
      <c r="M193" s="1643"/>
      <c r="N193" s="1643"/>
      <c r="O193" s="1643"/>
      <c r="P193" s="1643"/>
      <c r="Q193" s="1643"/>
      <c r="R193" s="1643"/>
      <c r="S193" s="1643"/>
      <c r="T193" s="1643"/>
      <c r="U193" s="1643"/>
      <c r="V193" s="1643"/>
      <c r="W193" s="1643"/>
      <c r="X193" s="1643"/>
      <c r="Y193" s="1643"/>
      <c r="Z193" s="1643"/>
      <c r="AA193" s="1643"/>
      <c r="AB193" s="1643"/>
      <c r="AC193" s="1643"/>
      <c r="AD193" s="1643"/>
      <c r="AE193" s="1643"/>
      <c r="AF193" s="1643"/>
      <c r="AG193" s="1643"/>
      <c r="AH193" s="1643"/>
      <c r="AI193" s="1643"/>
      <c r="AJ193" s="1643"/>
      <c r="AK193" s="1643"/>
      <c r="AL193" s="1643"/>
      <c r="AM193" s="1643"/>
    </row>
    <row r="194" spans="1:39" ht="15.75" customHeight="1" x14ac:dyDescent="0.3">
      <c r="A194" s="1643"/>
      <c r="B194" s="1643"/>
      <c r="C194" s="1643"/>
      <c r="D194" s="1643"/>
      <c r="E194" s="1643"/>
      <c r="F194" s="1643"/>
      <c r="G194" s="1643"/>
      <c r="H194" s="1643"/>
      <c r="I194" s="1643"/>
      <c r="J194" s="1643"/>
      <c r="K194" s="1643"/>
      <c r="L194" s="1643"/>
      <c r="M194" s="1643"/>
      <c r="N194" s="1643"/>
      <c r="O194" s="1643"/>
      <c r="P194" s="1643"/>
      <c r="Q194" s="1643"/>
      <c r="R194" s="1643"/>
      <c r="S194" s="1643"/>
      <c r="T194" s="1643"/>
      <c r="U194" s="1643"/>
      <c r="V194" s="1643"/>
      <c r="W194" s="1643"/>
      <c r="X194" s="1643"/>
      <c r="Y194" s="1643"/>
      <c r="Z194" s="1643"/>
      <c r="AA194" s="1643"/>
      <c r="AB194" s="1643"/>
      <c r="AC194" s="1643"/>
      <c r="AD194" s="1643"/>
      <c r="AE194" s="1643"/>
      <c r="AF194" s="1643"/>
      <c r="AG194" s="1643"/>
      <c r="AH194" s="1643"/>
      <c r="AI194" s="1643"/>
      <c r="AJ194" s="1643"/>
      <c r="AK194" s="1643"/>
      <c r="AL194" s="1643"/>
      <c r="AM194" s="1643"/>
    </row>
    <row r="195" spans="1:39" ht="15.75" customHeight="1" x14ac:dyDescent="0.3">
      <c r="A195" s="1643"/>
      <c r="B195" s="1643"/>
      <c r="C195" s="1643"/>
      <c r="D195" s="1643"/>
      <c r="E195" s="1643"/>
      <c r="F195" s="1643"/>
      <c r="G195" s="1643"/>
      <c r="H195" s="1643"/>
      <c r="I195" s="1643"/>
      <c r="J195" s="1643"/>
      <c r="K195" s="1643"/>
      <c r="L195" s="1643"/>
      <c r="M195" s="1643"/>
      <c r="N195" s="1643"/>
      <c r="O195" s="1643"/>
      <c r="P195" s="1643"/>
      <c r="Q195" s="1643"/>
      <c r="R195" s="1643"/>
      <c r="S195" s="1643"/>
      <c r="T195" s="1643"/>
      <c r="U195" s="1643"/>
      <c r="V195" s="1643"/>
      <c r="W195" s="1643"/>
      <c r="X195" s="1643"/>
      <c r="Y195" s="1643"/>
      <c r="Z195" s="1643"/>
      <c r="AA195" s="1643"/>
      <c r="AB195" s="1643"/>
      <c r="AC195" s="1643"/>
      <c r="AD195" s="1643"/>
      <c r="AE195" s="1643"/>
      <c r="AF195" s="1643"/>
      <c r="AG195" s="1643"/>
      <c r="AH195" s="1643"/>
      <c r="AI195" s="1643"/>
      <c r="AJ195" s="1643"/>
      <c r="AK195" s="1643"/>
      <c r="AL195" s="1643"/>
      <c r="AM195" s="1643"/>
    </row>
    <row r="196" spans="1:39" ht="15.75" customHeight="1" x14ac:dyDescent="0.3">
      <c r="A196" s="1643"/>
      <c r="B196" s="1643"/>
      <c r="C196" s="1643"/>
      <c r="D196" s="1643"/>
      <c r="E196" s="1643"/>
      <c r="F196" s="1643"/>
      <c r="G196" s="1643"/>
      <c r="H196" s="1643"/>
      <c r="I196" s="1643"/>
      <c r="J196" s="1643"/>
      <c r="K196" s="1643"/>
      <c r="L196" s="1643"/>
      <c r="M196" s="1643"/>
      <c r="N196" s="1643"/>
      <c r="O196" s="1643"/>
      <c r="P196" s="1643"/>
      <c r="Q196" s="1643"/>
      <c r="R196" s="1643"/>
      <c r="S196" s="1643"/>
      <c r="T196" s="1643"/>
      <c r="U196" s="1643"/>
      <c r="V196" s="1643"/>
      <c r="W196" s="1643"/>
      <c r="X196" s="1643"/>
      <c r="Y196" s="1643"/>
      <c r="Z196" s="1643"/>
      <c r="AA196" s="1643"/>
      <c r="AB196" s="1643"/>
      <c r="AC196" s="1643"/>
      <c r="AD196" s="1643"/>
      <c r="AE196" s="1643"/>
      <c r="AF196" s="1643"/>
      <c r="AG196" s="1643"/>
      <c r="AH196" s="1643"/>
      <c r="AI196" s="1643"/>
      <c r="AJ196" s="1643"/>
      <c r="AK196" s="1643"/>
      <c r="AL196" s="1643"/>
      <c r="AM196" s="1643"/>
    </row>
    <row r="197" spans="1:39" ht="15.75" customHeight="1" x14ac:dyDescent="0.3">
      <c r="A197" s="1643"/>
      <c r="B197" s="1643"/>
      <c r="C197" s="1643"/>
      <c r="D197" s="1643"/>
      <c r="E197" s="1643"/>
      <c r="F197" s="1643"/>
      <c r="G197" s="1643"/>
      <c r="H197" s="1643"/>
      <c r="I197" s="1643"/>
      <c r="J197" s="1643"/>
      <c r="K197" s="1643"/>
      <c r="L197" s="1643"/>
      <c r="M197" s="1643"/>
      <c r="N197" s="1643"/>
      <c r="O197" s="1643"/>
      <c r="P197" s="1643"/>
      <c r="Q197" s="1643"/>
      <c r="R197" s="1643"/>
      <c r="S197" s="1643"/>
      <c r="T197" s="1643"/>
      <c r="U197" s="1643"/>
      <c r="V197" s="1643"/>
      <c r="W197" s="1643"/>
      <c r="X197" s="1643"/>
      <c r="Y197" s="1643"/>
      <c r="Z197" s="1643"/>
      <c r="AA197" s="1643"/>
      <c r="AB197" s="1643"/>
      <c r="AC197" s="1643"/>
      <c r="AD197" s="1643"/>
      <c r="AE197" s="1643"/>
      <c r="AF197" s="1643"/>
      <c r="AG197" s="1643"/>
      <c r="AH197" s="1643"/>
      <c r="AI197" s="1643"/>
      <c r="AJ197" s="1643"/>
      <c r="AK197" s="1643"/>
      <c r="AL197" s="1643"/>
      <c r="AM197" s="1643"/>
    </row>
    <row r="198" spans="1:39" ht="15.75" customHeight="1" x14ac:dyDescent="0.3">
      <c r="A198" s="1643"/>
      <c r="B198" s="1643"/>
      <c r="C198" s="1643"/>
      <c r="D198" s="1643"/>
      <c r="E198" s="1643"/>
      <c r="F198" s="1643"/>
      <c r="G198" s="1643"/>
      <c r="H198" s="1643"/>
      <c r="I198" s="1643"/>
      <c r="J198" s="1643"/>
      <c r="K198" s="1643"/>
      <c r="L198" s="1643"/>
      <c r="M198" s="1643"/>
      <c r="N198" s="1643"/>
      <c r="O198" s="1643"/>
      <c r="P198" s="1643"/>
      <c r="Q198" s="1643"/>
      <c r="R198" s="1643"/>
      <c r="S198" s="1643"/>
      <c r="T198" s="1643"/>
      <c r="U198" s="1643"/>
      <c r="V198" s="1643"/>
      <c r="W198" s="1643"/>
      <c r="X198" s="1643"/>
      <c r="Y198" s="1643"/>
      <c r="Z198" s="1643"/>
      <c r="AA198" s="1643"/>
      <c r="AB198" s="1643"/>
      <c r="AC198" s="1643"/>
      <c r="AD198" s="1643"/>
      <c r="AE198" s="1643"/>
      <c r="AF198" s="1643"/>
      <c r="AG198" s="1643"/>
      <c r="AH198" s="1643"/>
      <c r="AI198" s="1643"/>
      <c r="AJ198" s="1643"/>
      <c r="AK198" s="1643"/>
      <c r="AL198" s="1643"/>
      <c r="AM198" s="1643"/>
    </row>
    <row r="199" spans="1:39" ht="15.75" customHeight="1" x14ac:dyDescent="0.3">
      <c r="A199" s="1643"/>
      <c r="B199" s="1643"/>
      <c r="C199" s="1643"/>
      <c r="D199" s="1643"/>
      <c r="E199" s="1643"/>
      <c r="F199" s="1643"/>
      <c r="G199" s="1643"/>
      <c r="H199" s="1643"/>
      <c r="I199" s="1643"/>
      <c r="J199" s="1643"/>
      <c r="K199" s="1643"/>
      <c r="L199" s="1643"/>
      <c r="M199" s="1643"/>
      <c r="N199" s="1643"/>
      <c r="O199" s="1643"/>
      <c r="P199" s="1643"/>
      <c r="Q199" s="1643"/>
      <c r="R199" s="1643"/>
      <c r="S199" s="1643"/>
      <c r="T199" s="1643"/>
      <c r="U199" s="1643"/>
      <c r="V199" s="1643"/>
      <c r="W199" s="1643"/>
      <c r="X199" s="1643"/>
      <c r="Y199" s="1643"/>
      <c r="Z199" s="1643"/>
      <c r="AA199" s="1643"/>
      <c r="AB199" s="1643"/>
      <c r="AC199" s="1643"/>
      <c r="AD199" s="1643"/>
      <c r="AE199" s="1643"/>
      <c r="AF199" s="1643"/>
      <c r="AG199" s="1643"/>
      <c r="AH199" s="1643"/>
      <c r="AI199" s="1643"/>
      <c r="AJ199" s="1643"/>
      <c r="AK199" s="1643"/>
      <c r="AL199" s="1643"/>
      <c r="AM199" s="1643"/>
    </row>
    <row r="200" spans="1:39" ht="15.75" customHeight="1" x14ac:dyDescent="0.3">
      <c r="A200" s="1643"/>
      <c r="B200" s="1643"/>
      <c r="C200" s="1643"/>
      <c r="D200" s="1643"/>
      <c r="E200" s="1643"/>
      <c r="F200" s="1643"/>
      <c r="G200" s="1643"/>
      <c r="H200" s="1643"/>
      <c r="I200" s="1643"/>
      <c r="J200" s="1643"/>
      <c r="K200" s="1643"/>
      <c r="L200" s="1643"/>
      <c r="M200" s="1643"/>
      <c r="N200" s="1643"/>
      <c r="O200" s="1643"/>
      <c r="P200" s="1643"/>
      <c r="Q200" s="1643"/>
      <c r="R200" s="1643"/>
      <c r="S200" s="1643"/>
      <c r="T200" s="1643"/>
      <c r="U200" s="1643"/>
      <c r="V200" s="1643"/>
      <c r="W200" s="1643"/>
      <c r="X200" s="1643"/>
      <c r="Y200" s="1643"/>
      <c r="Z200" s="1643"/>
      <c r="AA200" s="1643"/>
      <c r="AB200" s="1643"/>
      <c r="AC200" s="1643"/>
      <c r="AD200" s="1643"/>
      <c r="AE200" s="1643"/>
      <c r="AF200" s="1643"/>
      <c r="AG200" s="1643"/>
      <c r="AH200" s="1643"/>
      <c r="AI200" s="1643"/>
      <c r="AJ200" s="1643"/>
      <c r="AK200" s="1643"/>
      <c r="AL200" s="1643"/>
      <c r="AM200" s="1643"/>
    </row>
    <row r="201" spans="1:39" ht="15.75" customHeight="1" x14ac:dyDescent="0.3">
      <c r="A201" s="1643"/>
      <c r="B201" s="1643"/>
      <c r="C201" s="1643"/>
      <c r="D201" s="1643"/>
      <c r="E201" s="1643"/>
      <c r="F201" s="1643"/>
      <c r="G201" s="1643"/>
      <c r="H201" s="1643"/>
      <c r="I201" s="1643"/>
      <c r="J201" s="1643"/>
      <c r="K201" s="1643"/>
      <c r="L201" s="1643"/>
      <c r="M201" s="1643"/>
      <c r="N201" s="1643"/>
      <c r="O201" s="1643"/>
      <c r="P201" s="1643"/>
      <c r="Q201" s="1643"/>
      <c r="R201" s="1643"/>
      <c r="S201" s="1643"/>
      <c r="T201" s="1643"/>
      <c r="U201" s="1643"/>
      <c r="V201" s="1643"/>
      <c r="W201" s="1643"/>
      <c r="X201" s="1643"/>
      <c r="Y201" s="1643"/>
      <c r="Z201" s="1643"/>
      <c r="AA201" s="1643"/>
      <c r="AB201" s="1643"/>
      <c r="AC201" s="1643"/>
      <c r="AD201" s="1643"/>
      <c r="AE201" s="1643"/>
      <c r="AF201" s="1643"/>
      <c r="AG201" s="1643"/>
      <c r="AH201" s="1643"/>
      <c r="AI201" s="1643"/>
      <c r="AJ201" s="1643"/>
      <c r="AK201" s="1643"/>
      <c r="AL201" s="1643"/>
      <c r="AM201" s="1643"/>
    </row>
    <row r="202" spans="1:39" ht="15.75" customHeight="1" x14ac:dyDescent="0.3">
      <c r="A202" s="1643"/>
      <c r="B202" s="1643"/>
      <c r="C202" s="1643"/>
      <c r="D202" s="1643"/>
      <c r="E202" s="1643"/>
      <c r="F202" s="1643"/>
      <c r="G202" s="1643"/>
      <c r="H202" s="1643"/>
      <c r="I202" s="1643"/>
      <c r="J202" s="1643"/>
      <c r="K202" s="1643"/>
      <c r="L202" s="1643"/>
      <c r="M202" s="1643"/>
      <c r="N202" s="1643"/>
      <c r="O202" s="1643"/>
      <c r="P202" s="1643"/>
      <c r="Q202" s="1643"/>
      <c r="R202" s="1643"/>
      <c r="S202" s="1643"/>
      <c r="T202" s="1643"/>
      <c r="U202" s="1643"/>
      <c r="V202" s="1643"/>
      <c r="W202" s="1643"/>
      <c r="X202" s="1643"/>
      <c r="Y202" s="1643"/>
      <c r="Z202" s="1643"/>
      <c r="AA202" s="1643"/>
      <c r="AB202" s="1643"/>
      <c r="AC202" s="1643"/>
      <c r="AD202" s="1643"/>
      <c r="AE202" s="1643"/>
      <c r="AF202" s="1643"/>
      <c r="AG202" s="1643"/>
      <c r="AH202" s="1643"/>
      <c r="AI202" s="1643"/>
      <c r="AJ202" s="1643"/>
      <c r="AK202" s="1643"/>
      <c r="AL202" s="1643"/>
      <c r="AM202" s="1643"/>
    </row>
    <row r="203" spans="1:39" ht="15.75" customHeight="1" x14ac:dyDescent="0.3">
      <c r="A203" s="1643"/>
      <c r="B203" s="1643"/>
      <c r="C203" s="1643"/>
      <c r="D203" s="1643"/>
      <c r="E203" s="1643"/>
      <c r="F203" s="1643"/>
      <c r="G203" s="1643"/>
      <c r="H203" s="1643"/>
      <c r="I203" s="1643"/>
      <c r="J203" s="1643"/>
      <c r="K203" s="1643"/>
      <c r="L203" s="1643"/>
      <c r="M203" s="1643"/>
      <c r="N203" s="1643"/>
      <c r="O203" s="1643"/>
      <c r="P203" s="1643"/>
      <c r="Q203" s="1643"/>
      <c r="R203" s="1643"/>
      <c r="S203" s="1643"/>
      <c r="T203" s="1643"/>
      <c r="U203" s="1643"/>
      <c r="V203" s="1643"/>
      <c r="W203" s="1643"/>
      <c r="X203" s="1643"/>
      <c r="Y203" s="1643"/>
      <c r="Z203" s="1643"/>
      <c r="AA203" s="1643"/>
      <c r="AB203" s="1643"/>
      <c r="AC203" s="1643"/>
      <c r="AD203" s="1643"/>
      <c r="AE203" s="1643"/>
      <c r="AF203" s="1643"/>
      <c r="AG203" s="1643"/>
      <c r="AH203" s="1643"/>
      <c r="AI203" s="1643"/>
      <c r="AJ203" s="1643"/>
      <c r="AK203" s="1643"/>
      <c r="AL203" s="1643"/>
      <c r="AM203" s="1643"/>
    </row>
    <row r="204" spans="1:39" ht="15.75" customHeight="1" x14ac:dyDescent="0.3">
      <c r="A204" s="1643"/>
      <c r="B204" s="1643"/>
      <c r="C204" s="1643"/>
      <c r="D204" s="1643"/>
      <c r="E204" s="1643"/>
      <c r="F204" s="1643"/>
      <c r="G204" s="1643"/>
      <c r="H204" s="1643"/>
      <c r="I204" s="1643"/>
      <c r="J204" s="1643"/>
      <c r="K204" s="1643"/>
      <c r="L204" s="1643"/>
      <c r="M204" s="1643"/>
      <c r="N204" s="1643"/>
      <c r="O204" s="1643"/>
      <c r="P204" s="1643"/>
      <c r="Q204" s="1643"/>
      <c r="R204" s="1643"/>
      <c r="S204" s="1643"/>
      <c r="T204" s="1643"/>
      <c r="U204" s="1643"/>
      <c r="V204" s="1643"/>
      <c r="W204" s="1643"/>
      <c r="X204" s="1643"/>
      <c r="Y204" s="1643"/>
      <c r="Z204" s="1643"/>
      <c r="AA204" s="1643"/>
      <c r="AB204" s="1643"/>
      <c r="AC204" s="1643"/>
      <c r="AD204" s="1643"/>
      <c r="AE204" s="1643"/>
      <c r="AF204" s="1643"/>
      <c r="AG204" s="1643"/>
      <c r="AH204" s="1643"/>
      <c r="AI204" s="1643"/>
      <c r="AJ204" s="1643"/>
      <c r="AK204" s="1643"/>
      <c r="AL204" s="1643"/>
      <c r="AM204" s="1643"/>
    </row>
    <row r="205" spans="1:39" ht="15.75" customHeight="1" x14ac:dyDescent="0.3">
      <c r="A205" s="1643"/>
      <c r="B205" s="1643"/>
      <c r="C205" s="1643"/>
      <c r="D205" s="1643"/>
      <c r="E205" s="1643"/>
      <c r="F205" s="1643"/>
      <c r="G205" s="1643"/>
      <c r="H205" s="1643"/>
      <c r="I205" s="1643"/>
      <c r="J205" s="1643"/>
      <c r="K205" s="1643"/>
      <c r="L205" s="1643"/>
      <c r="M205" s="1643"/>
      <c r="N205" s="1643"/>
      <c r="O205" s="1643"/>
      <c r="P205" s="1643"/>
      <c r="Q205" s="1643"/>
      <c r="R205" s="1643"/>
      <c r="S205" s="1643"/>
      <c r="T205" s="1643"/>
      <c r="U205" s="1643"/>
      <c r="V205" s="1643"/>
      <c r="W205" s="1643"/>
      <c r="X205" s="1643"/>
      <c r="Y205" s="1643"/>
      <c r="Z205" s="1643"/>
      <c r="AA205" s="1643"/>
      <c r="AB205" s="1643"/>
      <c r="AC205" s="1643"/>
      <c r="AD205" s="1643"/>
      <c r="AE205" s="1643"/>
      <c r="AF205" s="1643"/>
      <c r="AG205" s="1643"/>
      <c r="AH205" s="1643"/>
      <c r="AI205" s="1643"/>
      <c r="AJ205" s="1643"/>
      <c r="AK205" s="1643"/>
      <c r="AL205" s="1643"/>
      <c r="AM205" s="1643"/>
    </row>
    <row r="206" spans="1:39" ht="15.75" customHeight="1" x14ac:dyDescent="0.3">
      <c r="A206" s="1643"/>
      <c r="B206" s="1643"/>
      <c r="C206" s="1643"/>
      <c r="D206" s="1643"/>
      <c r="E206" s="1643"/>
      <c r="F206" s="1643"/>
      <c r="G206" s="1643"/>
      <c r="H206" s="1643"/>
      <c r="I206" s="1643"/>
      <c r="J206" s="1643"/>
      <c r="K206" s="1643"/>
      <c r="L206" s="1643"/>
      <c r="M206" s="1643"/>
      <c r="N206" s="1643"/>
      <c r="O206" s="1643"/>
      <c r="P206" s="1643"/>
      <c r="Q206" s="1643"/>
      <c r="R206" s="1643"/>
      <c r="S206" s="1643"/>
      <c r="T206" s="1643"/>
      <c r="U206" s="1643"/>
      <c r="V206" s="1643"/>
      <c r="W206" s="1643"/>
      <c r="X206" s="1643"/>
      <c r="Y206" s="1643"/>
      <c r="Z206" s="1643"/>
      <c r="AA206" s="1643"/>
      <c r="AB206" s="1643"/>
      <c r="AC206" s="1643"/>
      <c r="AD206" s="1643"/>
      <c r="AE206" s="1643"/>
      <c r="AF206" s="1643"/>
      <c r="AG206" s="1643"/>
      <c r="AH206" s="1643"/>
      <c r="AI206" s="1643"/>
      <c r="AJ206" s="1643"/>
      <c r="AK206" s="1643"/>
      <c r="AL206" s="1643"/>
      <c r="AM206" s="1643"/>
    </row>
    <row r="207" spans="1:39" ht="15.75" customHeight="1" x14ac:dyDescent="0.3">
      <c r="A207" s="1643"/>
      <c r="B207" s="1643"/>
      <c r="C207" s="1643"/>
      <c r="D207" s="1643"/>
      <c r="E207" s="1643"/>
      <c r="F207" s="1643"/>
      <c r="G207" s="1643"/>
      <c r="H207" s="1643"/>
      <c r="I207" s="1643"/>
      <c r="J207" s="1643"/>
      <c r="K207" s="1643"/>
      <c r="L207" s="1643"/>
      <c r="M207" s="1643"/>
      <c r="N207" s="1643"/>
      <c r="O207" s="1643"/>
      <c r="P207" s="1643"/>
      <c r="Q207" s="1643"/>
      <c r="R207" s="1643"/>
      <c r="S207" s="1643"/>
      <c r="T207" s="1643"/>
      <c r="U207" s="1643"/>
      <c r="V207" s="1643"/>
      <c r="W207" s="1643"/>
      <c r="X207" s="1643"/>
      <c r="Y207" s="1643"/>
      <c r="Z207" s="1643"/>
      <c r="AA207" s="1643"/>
      <c r="AB207" s="1643"/>
      <c r="AC207" s="1643"/>
      <c r="AD207" s="1643"/>
      <c r="AE207" s="1643"/>
      <c r="AF207" s="1643"/>
      <c r="AG207" s="1643"/>
      <c r="AH207" s="1643"/>
      <c r="AI207" s="1643"/>
      <c r="AJ207" s="1643"/>
      <c r="AK207" s="1643"/>
      <c r="AL207" s="1643"/>
      <c r="AM207" s="1643"/>
    </row>
    <row r="208" spans="1:39" ht="15.75" customHeight="1" x14ac:dyDescent="0.3">
      <c r="A208" s="1643"/>
      <c r="B208" s="1643"/>
      <c r="C208" s="1643"/>
      <c r="D208" s="1643"/>
      <c r="E208" s="1643"/>
      <c r="F208" s="1643"/>
      <c r="G208" s="1643"/>
      <c r="H208" s="1643"/>
      <c r="I208" s="1643"/>
      <c r="J208" s="1643"/>
      <c r="K208" s="1643"/>
      <c r="L208" s="1643"/>
      <c r="M208" s="1643"/>
      <c r="N208" s="1643"/>
      <c r="O208" s="1643"/>
      <c r="P208" s="1643"/>
      <c r="Q208" s="1643"/>
      <c r="R208" s="1643"/>
      <c r="S208" s="1643"/>
      <c r="T208" s="1643"/>
      <c r="U208" s="1643"/>
      <c r="V208" s="1643"/>
      <c r="W208" s="1643"/>
      <c r="X208" s="1643"/>
      <c r="Y208" s="1643"/>
      <c r="Z208" s="1643"/>
      <c r="AA208" s="1643"/>
      <c r="AB208" s="1643"/>
      <c r="AC208" s="1643"/>
      <c r="AD208" s="1643"/>
      <c r="AE208" s="1643"/>
      <c r="AF208" s="1643"/>
      <c r="AG208" s="1643"/>
      <c r="AH208" s="1643"/>
      <c r="AI208" s="1643"/>
      <c r="AJ208" s="1643"/>
      <c r="AK208" s="1643"/>
      <c r="AL208" s="1643"/>
      <c r="AM208" s="1643"/>
    </row>
    <row r="209" spans="1:39" ht="15.75" customHeight="1" x14ac:dyDescent="0.3">
      <c r="A209" s="1643"/>
      <c r="B209" s="1643"/>
      <c r="C209" s="1643"/>
      <c r="D209" s="1643"/>
      <c r="E209" s="1643"/>
      <c r="F209" s="1643"/>
      <c r="G209" s="1643"/>
      <c r="H209" s="1643"/>
      <c r="I209" s="1643"/>
      <c r="J209" s="1643"/>
      <c r="K209" s="1643"/>
      <c r="L209" s="1643"/>
      <c r="M209" s="1643"/>
      <c r="N209" s="1643"/>
      <c r="O209" s="1643"/>
      <c r="P209" s="1643"/>
      <c r="Q209" s="1643"/>
      <c r="R209" s="1643"/>
      <c r="S209" s="1643"/>
      <c r="T209" s="1643"/>
      <c r="U209" s="1643"/>
      <c r="V209" s="1643"/>
      <c r="W209" s="1643"/>
      <c r="X209" s="1643"/>
      <c r="Y209" s="1643"/>
      <c r="Z209" s="1643"/>
      <c r="AA209" s="1643"/>
      <c r="AB209" s="1643"/>
      <c r="AC209" s="1643"/>
      <c r="AD209" s="1643"/>
      <c r="AE209" s="1643"/>
      <c r="AF209" s="1643"/>
      <c r="AG209" s="1643"/>
      <c r="AH209" s="1643"/>
      <c r="AI209" s="1643"/>
      <c r="AJ209" s="1643"/>
      <c r="AK209" s="1643"/>
      <c r="AL209" s="1643"/>
      <c r="AM209" s="1643"/>
    </row>
    <row r="210" spans="1:39" ht="15.75" customHeight="1" x14ac:dyDescent="0.3">
      <c r="A210" s="1643"/>
      <c r="B210" s="1643"/>
      <c r="C210" s="1643"/>
      <c r="D210" s="1643"/>
      <c r="E210" s="1643"/>
      <c r="F210" s="1643"/>
      <c r="G210" s="1643"/>
      <c r="H210" s="1643"/>
      <c r="I210" s="1643"/>
      <c r="J210" s="1643"/>
      <c r="K210" s="1643"/>
      <c r="L210" s="1643"/>
      <c r="M210" s="1643"/>
      <c r="N210" s="1643"/>
      <c r="O210" s="1643"/>
      <c r="P210" s="1643"/>
      <c r="Q210" s="1643"/>
      <c r="R210" s="1643"/>
      <c r="S210" s="1643"/>
      <c r="T210" s="1643"/>
      <c r="U210" s="1643"/>
      <c r="V210" s="1643"/>
      <c r="W210" s="1643"/>
      <c r="X210" s="1643"/>
      <c r="Y210" s="1643"/>
      <c r="Z210" s="1643"/>
      <c r="AA210" s="1643"/>
      <c r="AB210" s="1643"/>
      <c r="AC210" s="1643"/>
      <c r="AD210" s="1643"/>
      <c r="AE210" s="1643"/>
      <c r="AF210" s="1643"/>
      <c r="AG210" s="1643"/>
      <c r="AH210" s="1643"/>
      <c r="AI210" s="1643"/>
      <c r="AJ210" s="1643"/>
      <c r="AK210" s="1643"/>
      <c r="AL210" s="1643"/>
      <c r="AM210" s="1643"/>
    </row>
    <row r="211" spans="1:39" ht="15.75" customHeight="1" x14ac:dyDescent="0.3">
      <c r="A211" s="1643"/>
      <c r="B211" s="1643"/>
      <c r="C211" s="1643"/>
      <c r="D211" s="1643"/>
      <c r="E211" s="1643"/>
      <c r="F211" s="1643"/>
      <c r="G211" s="1643"/>
      <c r="H211" s="1643"/>
      <c r="I211" s="1643"/>
      <c r="J211" s="1643"/>
      <c r="K211" s="1643"/>
      <c r="L211" s="1643"/>
      <c r="M211" s="1643"/>
      <c r="N211" s="1643"/>
      <c r="O211" s="1643"/>
      <c r="P211" s="1643"/>
      <c r="Q211" s="1643"/>
      <c r="R211" s="1643"/>
      <c r="S211" s="1643"/>
      <c r="T211" s="1643"/>
      <c r="U211" s="1643"/>
      <c r="V211" s="1643"/>
      <c r="W211" s="1643"/>
      <c r="X211" s="1643"/>
      <c r="Y211" s="1643"/>
      <c r="Z211" s="1643"/>
      <c r="AA211" s="1643"/>
      <c r="AB211" s="1643"/>
      <c r="AC211" s="1643"/>
      <c r="AD211" s="1643"/>
      <c r="AE211" s="1643"/>
      <c r="AF211" s="1643"/>
      <c r="AG211" s="1643"/>
      <c r="AH211" s="1643"/>
      <c r="AI211" s="1643"/>
      <c r="AJ211" s="1643"/>
      <c r="AK211" s="1643"/>
      <c r="AL211" s="1643"/>
      <c r="AM211" s="1643"/>
    </row>
    <row r="212" spans="1:39" ht="15.75" customHeight="1" x14ac:dyDescent="0.3">
      <c r="A212" s="1643"/>
      <c r="B212" s="1643"/>
      <c r="C212" s="1643"/>
      <c r="D212" s="1643"/>
      <c r="E212" s="1643"/>
      <c r="F212" s="1643"/>
      <c r="G212" s="1643"/>
      <c r="H212" s="1643"/>
      <c r="I212" s="1643"/>
      <c r="J212" s="1643"/>
      <c r="K212" s="1643"/>
      <c r="L212" s="1643"/>
      <c r="M212" s="1643"/>
      <c r="N212" s="1643"/>
      <c r="O212" s="1643"/>
      <c r="P212" s="1643"/>
      <c r="Q212" s="1643"/>
      <c r="R212" s="1643"/>
      <c r="S212" s="1643"/>
      <c r="T212" s="1643"/>
      <c r="U212" s="1643"/>
      <c r="V212" s="1643"/>
      <c r="W212" s="1643"/>
      <c r="X212" s="1643"/>
      <c r="Y212" s="1643"/>
      <c r="Z212" s="1643"/>
      <c r="AA212" s="1643"/>
      <c r="AB212" s="1643"/>
      <c r="AC212" s="1643"/>
      <c r="AD212" s="1643"/>
      <c r="AE212" s="1643"/>
      <c r="AF212" s="1643"/>
      <c r="AG212" s="1643"/>
      <c r="AH212" s="1643"/>
      <c r="AI212" s="1643"/>
      <c r="AJ212" s="1643"/>
      <c r="AK212" s="1643"/>
      <c r="AL212" s="1643"/>
      <c r="AM212" s="1643"/>
    </row>
    <row r="213" spans="1:39" ht="15.75" customHeight="1" x14ac:dyDescent="0.3">
      <c r="A213" s="1643"/>
      <c r="B213" s="1643"/>
      <c r="C213" s="1643"/>
      <c r="D213" s="1643"/>
      <c r="E213" s="1643"/>
      <c r="F213" s="1643"/>
      <c r="G213" s="1643"/>
      <c r="H213" s="1643"/>
      <c r="I213" s="1643"/>
      <c r="J213" s="1643"/>
      <c r="K213" s="1643"/>
      <c r="L213" s="1643"/>
      <c r="M213" s="1643"/>
      <c r="N213" s="1643"/>
      <c r="O213" s="1643"/>
      <c r="P213" s="1643"/>
      <c r="Q213" s="1643"/>
      <c r="R213" s="1643"/>
      <c r="S213" s="1643"/>
      <c r="T213" s="1643"/>
      <c r="U213" s="1643"/>
      <c r="V213" s="1643"/>
      <c r="W213" s="1643"/>
      <c r="X213" s="1643"/>
      <c r="Y213" s="1643"/>
      <c r="Z213" s="1643"/>
      <c r="AA213" s="1643"/>
      <c r="AB213" s="1643"/>
      <c r="AC213" s="1643"/>
      <c r="AD213" s="1643"/>
      <c r="AE213" s="1643"/>
      <c r="AF213" s="1643"/>
      <c r="AG213" s="1643"/>
      <c r="AH213" s="1643"/>
      <c r="AI213" s="1643"/>
      <c r="AJ213" s="1643"/>
      <c r="AK213" s="1643"/>
      <c r="AL213" s="1643"/>
      <c r="AM213" s="1643"/>
    </row>
    <row r="214" spans="1:39" ht="15.75" customHeight="1" x14ac:dyDescent="0.3">
      <c r="A214" s="1643"/>
      <c r="B214" s="1643"/>
      <c r="C214" s="1643"/>
      <c r="D214" s="1643"/>
      <c r="E214" s="1643"/>
      <c r="F214" s="1643"/>
      <c r="G214" s="1643"/>
      <c r="H214" s="1643"/>
      <c r="I214" s="1643"/>
      <c r="J214" s="1643"/>
      <c r="K214" s="1643"/>
      <c r="L214" s="1643"/>
      <c r="M214" s="1643"/>
      <c r="N214" s="1643"/>
      <c r="O214" s="1643"/>
      <c r="P214" s="1643"/>
      <c r="Q214" s="1643"/>
      <c r="R214" s="1643"/>
      <c r="S214" s="1643"/>
      <c r="T214" s="1643"/>
      <c r="U214" s="1643"/>
      <c r="V214" s="1643"/>
      <c r="W214" s="1643"/>
      <c r="X214" s="1643"/>
      <c r="Y214" s="1643"/>
      <c r="Z214" s="1643"/>
      <c r="AA214" s="1643"/>
      <c r="AB214" s="1643"/>
      <c r="AC214" s="1643"/>
      <c r="AD214" s="1643"/>
      <c r="AE214" s="1643"/>
      <c r="AF214" s="1643"/>
      <c r="AG214" s="1643"/>
      <c r="AH214" s="1643"/>
      <c r="AI214" s="1643"/>
      <c r="AJ214" s="1643"/>
      <c r="AK214" s="1643"/>
      <c r="AL214" s="1643"/>
      <c r="AM214" s="1643"/>
    </row>
    <row r="215" spans="1:39" ht="15.75" customHeight="1" x14ac:dyDescent="0.3">
      <c r="A215" s="1643"/>
      <c r="B215" s="1643"/>
      <c r="C215" s="1643"/>
      <c r="D215" s="1643"/>
      <c r="E215" s="1643"/>
      <c r="F215" s="1643"/>
      <c r="G215" s="1643"/>
      <c r="H215" s="1643"/>
      <c r="I215" s="1643"/>
      <c r="J215" s="1643"/>
      <c r="K215" s="1643"/>
      <c r="L215" s="1643"/>
      <c r="M215" s="1643"/>
      <c r="N215" s="1643"/>
      <c r="O215" s="1643"/>
      <c r="P215" s="1643"/>
      <c r="Q215" s="1643"/>
      <c r="R215" s="1643"/>
      <c r="S215" s="1643"/>
      <c r="T215" s="1643"/>
      <c r="U215" s="1643"/>
      <c r="V215" s="1643"/>
      <c r="W215" s="1643"/>
      <c r="X215" s="1643"/>
      <c r="Y215" s="1643"/>
      <c r="Z215" s="1643"/>
      <c r="AA215" s="1643"/>
      <c r="AB215" s="1643"/>
      <c r="AC215" s="1643"/>
      <c r="AD215" s="1643"/>
      <c r="AE215" s="1643"/>
      <c r="AF215" s="1643"/>
      <c r="AG215" s="1643"/>
      <c r="AH215" s="1643"/>
      <c r="AI215" s="1643"/>
      <c r="AJ215" s="1643"/>
      <c r="AK215" s="1643"/>
      <c r="AL215" s="1643"/>
      <c r="AM215" s="1643"/>
    </row>
    <row r="216" spans="1:39" ht="15.75" customHeight="1" x14ac:dyDescent="0.3">
      <c r="A216" s="1643"/>
      <c r="B216" s="1643"/>
      <c r="C216" s="1643"/>
      <c r="D216" s="1643"/>
      <c r="E216" s="1643"/>
      <c r="F216" s="1643"/>
      <c r="G216" s="1643"/>
      <c r="H216" s="1643"/>
      <c r="I216" s="1643"/>
      <c r="J216" s="1643"/>
      <c r="K216" s="1643"/>
      <c r="L216" s="1643"/>
      <c r="M216" s="1643"/>
      <c r="N216" s="1643"/>
      <c r="O216" s="1643"/>
      <c r="P216" s="1643"/>
      <c r="Q216" s="1643"/>
      <c r="R216" s="1643"/>
      <c r="S216" s="1643"/>
      <c r="T216" s="1643"/>
      <c r="U216" s="1643"/>
      <c r="V216" s="1643"/>
      <c r="W216" s="1643"/>
      <c r="X216" s="1643"/>
      <c r="Y216" s="1643"/>
      <c r="Z216" s="1643"/>
      <c r="AA216" s="1643"/>
      <c r="AB216" s="1643"/>
      <c r="AC216" s="1643"/>
      <c r="AD216" s="1643"/>
      <c r="AE216" s="1643"/>
      <c r="AF216" s="1643"/>
      <c r="AG216" s="1643"/>
      <c r="AH216" s="1643"/>
      <c r="AI216" s="1643"/>
      <c r="AJ216" s="1643"/>
      <c r="AK216" s="1643"/>
      <c r="AL216" s="1643"/>
      <c r="AM216" s="1643"/>
    </row>
    <row r="217" spans="1:39" ht="15.75" customHeight="1" x14ac:dyDescent="0.3">
      <c r="A217" s="1643"/>
      <c r="B217" s="1643"/>
      <c r="C217" s="1643"/>
      <c r="D217" s="1643"/>
      <c r="E217" s="1643"/>
      <c r="F217" s="1643"/>
      <c r="G217" s="1643"/>
      <c r="H217" s="1643"/>
      <c r="I217" s="1643"/>
      <c r="J217" s="1643"/>
      <c r="K217" s="1643"/>
      <c r="L217" s="1643"/>
      <c r="M217" s="1643"/>
      <c r="N217" s="1643"/>
      <c r="O217" s="1643"/>
      <c r="P217" s="1643"/>
      <c r="Q217" s="1643"/>
      <c r="R217" s="1643"/>
      <c r="S217" s="1643"/>
      <c r="T217" s="1643"/>
      <c r="U217" s="1643"/>
      <c r="V217" s="1643"/>
      <c r="W217" s="1643"/>
      <c r="X217" s="1643"/>
      <c r="Y217" s="1643"/>
      <c r="Z217" s="1643"/>
      <c r="AA217" s="1643"/>
      <c r="AB217" s="1643"/>
      <c r="AC217" s="1643"/>
      <c r="AD217" s="1643"/>
      <c r="AE217" s="1643"/>
      <c r="AF217" s="1643"/>
      <c r="AG217" s="1643"/>
      <c r="AH217" s="1643"/>
      <c r="AI217" s="1643"/>
      <c r="AJ217" s="1643"/>
      <c r="AK217" s="1643"/>
      <c r="AL217" s="1643"/>
      <c r="AM217" s="1643"/>
    </row>
    <row r="218" spans="1:39" ht="15.75" customHeight="1" x14ac:dyDescent="0.3">
      <c r="A218" s="1643"/>
      <c r="B218" s="1643"/>
      <c r="C218" s="1643"/>
      <c r="D218" s="1643"/>
      <c r="E218" s="1643"/>
      <c r="F218" s="1643"/>
      <c r="G218" s="1643"/>
      <c r="H218" s="1643"/>
      <c r="I218" s="1643"/>
      <c r="J218" s="1643"/>
      <c r="K218" s="1643"/>
      <c r="L218" s="1643"/>
      <c r="M218" s="1643"/>
      <c r="N218" s="1643"/>
      <c r="O218" s="1643"/>
      <c r="P218" s="1643"/>
      <c r="Q218" s="1643"/>
      <c r="R218" s="1643"/>
      <c r="S218" s="1643"/>
      <c r="T218" s="1643"/>
      <c r="U218" s="1643"/>
      <c r="V218" s="1643"/>
      <c r="W218" s="1643"/>
      <c r="X218" s="1643"/>
      <c r="Y218" s="1643"/>
      <c r="Z218" s="1643"/>
      <c r="AA218" s="1643"/>
      <c r="AB218" s="1643"/>
      <c r="AC218" s="1643"/>
      <c r="AD218" s="1643"/>
      <c r="AE218" s="1643"/>
      <c r="AF218" s="1643"/>
      <c r="AG218" s="1643"/>
      <c r="AH218" s="1643"/>
      <c r="AI218" s="1643"/>
      <c r="AJ218" s="1643"/>
      <c r="AK218" s="1643"/>
      <c r="AL218" s="1643"/>
      <c r="AM218" s="1643"/>
    </row>
    <row r="219" spans="1:39" ht="15.75" customHeight="1" x14ac:dyDescent="0.3">
      <c r="A219" s="1643"/>
      <c r="B219" s="1643"/>
      <c r="C219" s="1643"/>
      <c r="D219" s="1643"/>
      <c r="E219" s="1643"/>
      <c r="F219" s="1643"/>
      <c r="G219" s="1643"/>
      <c r="H219" s="1643"/>
      <c r="I219" s="1643"/>
      <c r="J219" s="1643"/>
      <c r="K219" s="1643"/>
      <c r="L219" s="1643"/>
      <c r="M219" s="1643"/>
      <c r="N219" s="1643"/>
      <c r="O219" s="1643"/>
      <c r="P219" s="1643"/>
      <c r="Q219" s="1643"/>
      <c r="R219" s="1643"/>
      <c r="S219" s="1643"/>
      <c r="T219" s="1643"/>
      <c r="U219" s="1643"/>
      <c r="V219" s="1643"/>
      <c r="W219" s="1643"/>
      <c r="X219" s="1643"/>
      <c r="Y219" s="1643"/>
      <c r="Z219" s="1643"/>
      <c r="AA219" s="1643"/>
      <c r="AB219" s="1643"/>
      <c r="AC219" s="1643"/>
      <c r="AD219" s="1643"/>
      <c r="AE219" s="1643"/>
      <c r="AF219" s="1643"/>
      <c r="AG219" s="1643"/>
      <c r="AH219" s="1643"/>
      <c r="AI219" s="1643"/>
      <c r="AJ219" s="1643"/>
      <c r="AK219" s="1643"/>
      <c r="AL219" s="1643"/>
      <c r="AM219" s="1643"/>
    </row>
    <row r="220" spans="1:39" ht="15.75" customHeight="1" x14ac:dyDescent="0.3">
      <c r="A220" s="1643"/>
      <c r="B220" s="1643"/>
      <c r="C220" s="1643"/>
      <c r="D220" s="1643"/>
      <c r="E220" s="1643"/>
      <c r="F220" s="1643"/>
      <c r="G220" s="1643"/>
      <c r="H220" s="1643"/>
      <c r="I220" s="1643"/>
      <c r="J220" s="1643"/>
      <c r="K220" s="1643"/>
      <c r="L220" s="1643"/>
      <c r="M220" s="1643"/>
      <c r="N220" s="1643"/>
      <c r="O220" s="1643"/>
      <c r="P220" s="1643"/>
      <c r="Q220" s="1643"/>
      <c r="R220" s="1643"/>
      <c r="S220" s="1643"/>
      <c r="T220" s="1643"/>
      <c r="U220" s="1643"/>
      <c r="V220" s="1643"/>
      <c r="W220" s="1643"/>
      <c r="X220" s="1643"/>
      <c r="Y220" s="1643"/>
      <c r="Z220" s="1643"/>
      <c r="AA220" s="1643"/>
      <c r="AB220" s="1643"/>
      <c r="AC220" s="1643"/>
      <c r="AD220" s="1643"/>
      <c r="AE220" s="1643"/>
      <c r="AF220" s="1643"/>
      <c r="AG220" s="1643"/>
      <c r="AH220" s="1643"/>
      <c r="AI220" s="1643"/>
      <c r="AJ220" s="1643"/>
      <c r="AK220" s="1643"/>
      <c r="AL220" s="1643"/>
      <c r="AM220" s="1643"/>
    </row>
    <row r="221" spans="1:39" ht="15.75" customHeight="1" x14ac:dyDescent="0.3">
      <c r="A221" s="1643"/>
      <c r="B221" s="1643"/>
      <c r="C221" s="1643"/>
      <c r="D221" s="1643"/>
      <c r="E221" s="1643"/>
      <c r="F221" s="1643"/>
      <c r="G221" s="1643"/>
      <c r="H221" s="1643"/>
      <c r="I221" s="1643"/>
      <c r="J221" s="1643"/>
      <c r="K221" s="1643"/>
      <c r="L221" s="1643"/>
      <c r="M221" s="1643"/>
      <c r="N221" s="1643"/>
      <c r="O221" s="1643"/>
      <c r="P221" s="1643"/>
      <c r="Q221" s="1643"/>
      <c r="R221" s="1643"/>
      <c r="S221" s="1643"/>
      <c r="T221" s="1643"/>
      <c r="U221" s="1643"/>
      <c r="V221" s="1643"/>
      <c r="W221" s="1643"/>
      <c r="X221" s="1643"/>
      <c r="Y221" s="1643"/>
      <c r="Z221" s="1643"/>
      <c r="AA221" s="1643"/>
      <c r="AB221" s="1643"/>
      <c r="AC221" s="1643"/>
      <c r="AD221" s="1643"/>
      <c r="AE221" s="1643"/>
      <c r="AF221" s="1643"/>
      <c r="AG221" s="1643"/>
      <c r="AH221" s="1643"/>
      <c r="AI221" s="1643"/>
      <c r="AJ221" s="1643"/>
      <c r="AK221" s="1643"/>
      <c r="AL221" s="1643"/>
      <c r="AM221" s="1643"/>
    </row>
    <row r="222" spans="1:39" ht="15.75" customHeight="1" x14ac:dyDescent="0.3">
      <c r="A222" s="1643"/>
      <c r="B222" s="1643"/>
      <c r="C222" s="1643"/>
      <c r="D222" s="1643"/>
      <c r="E222" s="1643"/>
      <c r="F222" s="1643"/>
      <c r="G222" s="1643"/>
      <c r="H222" s="1643"/>
      <c r="I222" s="1643"/>
      <c r="J222" s="1643"/>
      <c r="K222" s="1643"/>
      <c r="L222" s="1643"/>
      <c r="M222" s="1643"/>
      <c r="N222" s="1643"/>
      <c r="O222" s="1643"/>
      <c r="P222" s="1643"/>
      <c r="Q222" s="1643"/>
      <c r="R222" s="1643"/>
      <c r="S222" s="1643"/>
      <c r="T222" s="1643"/>
      <c r="U222" s="1643"/>
      <c r="V222" s="1643"/>
      <c r="W222" s="1643"/>
      <c r="X222" s="1643"/>
      <c r="Y222" s="1643"/>
      <c r="Z222" s="1643"/>
      <c r="AA222" s="1643"/>
      <c r="AB222" s="1643"/>
      <c r="AC222" s="1643"/>
      <c r="AD222" s="1643"/>
      <c r="AE222" s="1643"/>
      <c r="AF222" s="1643"/>
      <c r="AG222" s="1643"/>
      <c r="AH222" s="1643"/>
      <c r="AI222" s="1643"/>
      <c r="AJ222" s="1643"/>
      <c r="AK222" s="1643"/>
      <c r="AL222" s="1643"/>
      <c r="AM222" s="1643"/>
    </row>
    <row r="223" spans="1:39" ht="15.75" customHeight="1" x14ac:dyDescent="0.3">
      <c r="A223" s="1643"/>
      <c r="B223" s="1643"/>
      <c r="C223" s="1643"/>
      <c r="D223" s="1643"/>
      <c r="E223" s="1643"/>
      <c r="F223" s="1643"/>
      <c r="G223" s="1643"/>
      <c r="H223" s="1643"/>
      <c r="I223" s="1643"/>
      <c r="J223" s="1643"/>
      <c r="K223" s="1643"/>
      <c r="L223" s="1643"/>
      <c r="M223" s="1643"/>
      <c r="N223" s="1643"/>
      <c r="O223" s="1643"/>
      <c r="P223" s="1643"/>
      <c r="Q223" s="1643"/>
      <c r="R223" s="1643"/>
      <c r="S223" s="1643"/>
      <c r="T223" s="1643"/>
      <c r="U223" s="1643"/>
      <c r="V223" s="1643"/>
      <c r="W223" s="1643"/>
      <c r="X223" s="1643"/>
      <c r="Y223" s="1643"/>
      <c r="Z223" s="1643"/>
      <c r="AA223" s="1643"/>
      <c r="AB223" s="1643"/>
      <c r="AC223" s="1643"/>
      <c r="AD223" s="1643"/>
      <c r="AE223" s="1643"/>
      <c r="AF223" s="1643"/>
      <c r="AG223" s="1643"/>
      <c r="AH223" s="1643"/>
      <c r="AI223" s="1643"/>
      <c r="AJ223" s="1643"/>
      <c r="AK223" s="1643"/>
      <c r="AL223" s="1643"/>
      <c r="AM223" s="1643"/>
    </row>
    <row r="224" spans="1:39" ht="15.75" customHeight="1" x14ac:dyDescent="0.3">
      <c r="A224" s="1643"/>
      <c r="B224" s="1643"/>
      <c r="C224" s="1643"/>
      <c r="D224" s="1643"/>
      <c r="E224" s="1643"/>
      <c r="F224" s="1643"/>
      <c r="G224" s="1643"/>
      <c r="H224" s="1643"/>
      <c r="I224" s="1643"/>
      <c r="J224" s="1643"/>
      <c r="K224" s="1643"/>
      <c r="L224" s="1643"/>
      <c r="M224" s="1643"/>
      <c r="N224" s="1643"/>
      <c r="O224" s="1643"/>
      <c r="P224" s="1643"/>
      <c r="Q224" s="1643"/>
      <c r="R224" s="1643"/>
      <c r="S224" s="1643"/>
      <c r="T224" s="1643"/>
      <c r="U224" s="1643"/>
      <c r="V224" s="1643"/>
      <c r="W224" s="1643"/>
      <c r="X224" s="1643"/>
      <c r="Y224" s="1643"/>
      <c r="Z224" s="1643"/>
      <c r="AA224" s="1643"/>
      <c r="AB224" s="1643"/>
      <c r="AC224" s="1643"/>
      <c r="AD224" s="1643"/>
      <c r="AE224" s="1643"/>
      <c r="AF224" s="1643"/>
      <c r="AG224" s="1643"/>
      <c r="AH224" s="1643"/>
      <c r="AI224" s="1643"/>
      <c r="AJ224" s="1643"/>
      <c r="AK224" s="1643"/>
      <c r="AL224" s="1643"/>
      <c r="AM224" s="1643"/>
    </row>
    <row r="225" spans="1:39" ht="15.75" customHeight="1" x14ac:dyDescent="0.3">
      <c r="A225" s="1643"/>
      <c r="B225" s="1643"/>
      <c r="C225" s="1643"/>
      <c r="D225" s="1643"/>
      <c r="E225" s="1643"/>
      <c r="F225" s="1643"/>
      <c r="G225" s="1643"/>
      <c r="H225" s="1643"/>
      <c r="I225" s="1643"/>
      <c r="J225" s="1643"/>
      <c r="K225" s="1643"/>
      <c r="L225" s="1643"/>
      <c r="M225" s="1643"/>
      <c r="N225" s="1643"/>
      <c r="O225" s="1643"/>
      <c r="P225" s="1643"/>
      <c r="Q225" s="1643"/>
      <c r="R225" s="1643"/>
      <c r="S225" s="1643"/>
      <c r="T225" s="1643"/>
      <c r="U225" s="1643"/>
      <c r="V225" s="1643"/>
      <c r="W225" s="1643"/>
      <c r="X225" s="1643"/>
      <c r="Y225" s="1643"/>
      <c r="Z225" s="1643"/>
      <c r="AA225" s="1643"/>
      <c r="AB225" s="1643"/>
      <c r="AC225" s="1643"/>
      <c r="AD225" s="1643"/>
      <c r="AE225" s="1643"/>
      <c r="AF225" s="1643"/>
      <c r="AG225" s="1643"/>
      <c r="AH225" s="1643"/>
      <c r="AI225" s="1643"/>
      <c r="AJ225" s="1643"/>
      <c r="AK225" s="1643"/>
      <c r="AL225" s="1643"/>
      <c r="AM225" s="1643"/>
    </row>
    <row r="226" spans="1:39" ht="15.75" customHeight="1" x14ac:dyDescent="0.3">
      <c r="A226" s="1643"/>
      <c r="B226" s="1643"/>
      <c r="C226" s="1643"/>
      <c r="D226" s="1643"/>
      <c r="E226" s="1643"/>
      <c r="F226" s="1643"/>
      <c r="G226" s="1643"/>
      <c r="H226" s="1643"/>
      <c r="I226" s="1643"/>
      <c r="J226" s="1643"/>
      <c r="K226" s="1643"/>
      <c r="L226" s="1643"/>
      <c r="M226" s="1643"/>
      <c r="N226" s="1643"/>
      <c r="O226" s="1643"/>
      <c r="P226" s="1643"/>
      <c r="Q226" s="1643"/>
      <c r="R226" s="1643"/>
      <c r="S226" s="1643"/>
      <c r="T226" s="1643"/>
      <c r="U226" s="1643"/>
      <c r="V226" s="1643"/>
      <c r="W226" s="1643"/>
      <c r="X226" s="1643"/>
      <c r="Y226" s="1643"/>
      <c r="Z226" s="1643"/>
      <c r="AA226" s="1643"/>
      <c r="AB226" s="1643"/>
      <c r="AC226" s="1643"/>
      <c r="AD226" s="1643"/>
      <c r="AE226" s="1643"/>
      <c r="AF226" s="1643"/>
      <c r="AG226" s="1643"/>
      <c r="AH226" s="1643"/>
      <c r="AI226" s="1643"/>
      <c r="AJ226" s="1643"/>
      <c r="AK226" s="1643"/>
      <c r="AL226" s="1643"/>
      <c r="AM226" s="1643"/>
    </row>
    <row r="227" spans="1:39" ht="15.75" customHeight="1" x14ac:dyDescent="0.3">
      <c r="A227" s="1643"/>
      <c r="B227" s="1643"/>
      <c r="C227" s="1643"/>
      <c r="D227" s="1643"/>
      <c r="E227" s="1643"/>
      <c r="F227" s="1643"/>
      <c r="G227" s="1643"/>
      <c r="H227" s="1643"/>
      <c r="I227" s="1643"/>
      <c r="J227" s="1643"/>
      <c r="K227" s="1643"/>
      <c r="L227" s="1643"/>
      <c r="M227" s="1643"/>
      <c r="N227" s="1643"/>
      <c r="O227" s="1643"/>
      <c r="P227" s="1643"/>
      <c r="Q227" s="1643"/>
      <c r="R227" s="1643"/>
      <c r="S227" s="1643"/>
      <c r="T227" s="1643"/>
      <c r="U227" s="1643"/>
      <c r="V227" s="1643"/>
      <c r="W227" s="1643"/>
      <c r="X227" s="1643"/>
      <c r="Y227" s="1643"/>
      <c r="Z227" s="1643"/>
      <c r="AA227" s="1643"/>
      <c r="AB227" s="1643"/>
      <c r="AC227" s="1643"/>
      <c r="AD227" s="1643"/>
      <c r="AE227" s="1643"/>
      <c r="AF227" s="1643"/>
      <c r="AG227" s="1643"/>
      <c r="AH227" s="1643"/>
      <c r="AI227" s="1643"/>
      <c r="AJ227" s="1643"/>
      <c r="AK227" s="1643"/>
      <c r="AL227" s="1643"/>
      <c r="AM227" s="1643"/>
    </row>
    <row r="228" spans="1:39" ht="15.75" customHeight="1" x14ac:dyDescent="0.3">
      <c r="A228" s="1643"/>
      <c r="B228" s="1643"/>
      <c r="C228" s="1643"/>
      <c r="D228" s="1643"/>
      <c r="E228" s="1643"/>
      <c r="F228" s="1643"/>
      <c r="G228" s="1643"/>
      <c r="H228" s="1643"/>
      <c r="I228" s="1643"/>
      <c r="J228" s="1643"/>
      <c r="K228" s="1643"/>
      <c r="L228" s="1643"/>
      <c r="M228" s="1643"/>
      <c r="N228" s="1643"/>
      <c r="O228" s="1643"/>
      <c r="P228" s="1643"/>
      <c r="Q228" s="1643"/>
      <c r="R228" s="1643"/>
      <c r="S228" s="1643"/>
      <c r="T228" s="1643"/>
      <c r="U228" s="1643"/>
      <c r="V228" s="1643"/>
      <c r="W228" s="1643"/>
      <c r="X228" s="1643"/>
      <c r="Y228" s="1643"/>
      <c r="Z228" s="1643"/>
      <c r="AA228" s="1643"/>
      <c r="AB228" s="1643"/>
      <c r="AC228" s="1643"/>
      <c r="AD228" s="1643"/>
      <c r="AE228" s="1643"/>
      <c r="AF228" s="1643"/>
      <c r="AG228" s="1643"/>
      <c r="AH228" s="1643"/>
      <c r="AI228" s="1643"/>
      <c r="AJ228" s="1643"/>
      <c r="AK228" s="1643"/>
      <c r="AL228" s="1643"/>
      <c r="AM228" s="1643"/>
    </row>
    <row r="229" spans="1:39" ht="15.75" customHeight="1" x14ac:dyDescent="0.3">
      <c r="A229" s="1643"/>
      <c r="B229" s="1643"/>
      <c r="C229" s="1643"/>
      <c r="D229" s="1643"/>
      <c r="E229" s="1643"/>
      <c r="F229" s="1643"/>
      <c r="G229" s="1643"/>
      <c r="H229" s="1643"/>
      <c r="I229" s="1643"/>
      <c r="J229" s="1643"/>
      <c r="K229" s="1643"/>
      <c r="L229" s="1643"/>
      <c r="M229" s="1643"/>
      <c r="N229" s="1643"/>
      <c r="O229" s="1643"/>
      <c r="P229" s="1643"/>
      <c r="Q229" s="1643"/>
      <c r="R229" s="1643"/>
      <c r="S229" s="1643"/>
      <c r="T229" s="1643"/>
      <c r="U229" s="1643"/>
      <c r="V229" s="1643"/>
      <c r="W229" s="1643"/>
      <c r="X229" s="1643"/>
      <c r="Y229" s="1643"/>
      <c r="Z229" s="1643"/>
      <c r="AA229" s="1643"/>
      <c r="AB229" s="1643"/>
      <c r="AC229" s="1643"/>
      <c r="AD229" s="1643"/>
      <c r="AE229" s="1643"/>
      <c r="AF229" s="1643"/>
      <c r="AG229" s="1643"/>
      <c r="AH229" s="1643"/>
      <c r="AI229" s="1643"/>
      <c r="AJ229" s="1643"/>
      <c r="AK229" s="1643"/>
      <c r="AL229" s="1643"/>
      <c r="AM229" s="1643"/>
    </row>
    <row r="230" spans="1:39" ht="15.75" customHeight="1" x14ac:dyDescent="0.3">
      <c r="A230" s="1643"/>
      <c r="B230" s="1643"/>
      <c r="C230" s="1643"/>
      <c r="D230" s="1643"/>
      <c r="E230" s="1643"/>
      <c r="F230" s="1643"/>
      <c r="G230" s="1643"/>
      <c r="H230" s="1643"/>
      <c r="I230" s="1643"/>
      <c r="J230" s="1643"/>
      <c r="K230" s="1643"/>
      <c r="L230" s="1643"/>
      <c r="M230" s="1643"/>
      <c r="N230" s="1643"/>
      <c r="O230" s="1643"/>
      <c r="P230" s="1643"/>
      <c r="Q230" s="1643"/>
      <c r="R230" s="1643"/>
      <c r="S230" s="1643"/>
      <c r="T230" s="1643"/>
      <c r="U230" s="1643"/>
      <c r="V230" s="1643"/>
      <c r="W230" s="1643"/>
      <c r="X230" s="1643"/>
      <c r="Y230" s="1643"/>
      <c r="Z230" s="1643"/>
      <c r="AA230" s="1643"/>
      <c r="AB230" s="1643"/>
      <c r="AC230" s="1643"/>
      <c r="AD230" s="1643"/>
      <c r="AE230" s="1643"/>
      <c r="AF230" s="1643"/>
      <c r="AG230" s="1643"/>
      <c r="AH230" s="1643"/>
      <c r="AI230" s="1643"/>
      <c r="AJ230" s="1643"/>
      <c r="AK230" s="1643"/>
      <c r="AL230" s="1643"/>
      <c r="AM230" s="1643"/>
    </row>
    <row r="231" spans="1:39" ht="15.75" customHeight="1" x14ac:dyDescent="0.3">
      <c r="A231" s="1643"/>
      <c r="B231" s="1643"/>
      <c r="C231" s="1643"/>
      <c r="D231" s="1643"/>
      <c r="E231" s="1643"/>
      <c r="F231" s="1643"/>
      <c r="G231" s="1643"/>
      <c r="H231" s="1643"/>
      <c r="I231" s="1643"/>
      <c r="J231" s="1643"/>
      <c r="K231" s="1643"/>
      <c r="L231" s="1643"/>
      <c r="M231" s="1643"/>
      <c r="N231" s="1643"/>
      <c r="O231" s="1643"/>
      <c r="P231" s="1643"/>
      <c r="Q231" s="1643"/>
      <c r="R231" s="1643"/>
      <c r="S231" s="1643"/>
      <c r="T231" s="1643"/>
      <c r="U231" s="1643"/>
      <c r="V231" s="1643"/>
      <c r="W231" s="1643"/>
      <c r="X231" s="1643"/>
      <c r="Y231" s="1643"/>
      <c r="Z231" s="1643"/>
      <c r="AA231" s="1643"/>
      <c r="AB231" s="1643"/>
      <c r="AC231" s="1643"/>
      <c r="AD231" s="1643"/>
      <c r="AE231" s="1643"/>
      <c r="AF231" s="1643"/>
      <c r="AG231" s="1643"/>
      <c r="AH231" s="1643"/>
      <c r="AI231" s="1643"/>
      <c r="AJ231" s="1643"/>
      <c r="AK231" s="1643"/>
      <c r="AL231" s="1643"/>
      <c r="AM231" s="1643"/>
    </row>
    <row r="232" spans="1:39" ht="15.75" customHeight="1" x14ac:dyDescent="0.3">
      <c r="A232" s="1643"/>
      <c r="B232" s="1643"/>
      <c r="C232" s="1643"/>
      <c r="D232" s="1643"/>
      <c r="E232" s="1643"/>
      <c r="F232" s="1643"/>
      <c r="G232" s="1643"/>
      <c r="H232" s="1643"/>
      <c r="I232" s="1643"/>
      <c r="J232" s="1643"/>
      <c r="K232" s="1643"/>
      <c r="L232" s="1643"/>
      <c r="M232" s="1643"/>
      <c r="N232" s="1643"/>
      <c r="O232" s="1643"/>
      <c r="P232" s="1643"/>
      <c r="Q232" s="1643"/>
      <c r="R232" s="1643"/>
      <c r="S232" s="1643"/>
      <c r="T232" s="1643"/>
      <c r="U232" s="1643"/>
      <c r="V232" s="1643"/>
      <c r="W232" s="1643"/>
      <c r="X232" s="1643"/>
      <c r="Y232" s="1643"/>
      <c r="Z232" s="1643"/>
      <c r="AA232" s="1643"/>
      <c r="AB232" s="1643"/>
      <c r="AC232" s="1643"/>
      <c r="AD232" s="1643"/>
      <c r="AE232" s="1643"/>
      <c r="AF232" s="1643"/>
      <c r="AG232" s="1643"/>
      <c r="AH232" s="1643"/>
      <c r="AI232" s="1643"/>
      <c r="AJ232" s="1643"/>
      <c r="AK232" s="1643"/>
      <c r="AL232" s="1643"/>
      <c r="AM232" s="1643"/>
    </row>
    <row r="233" spans="1:39" ht="15.75" customHeight="1" x14ac:dyDescent="0.3">
      <c r="A233" s="1643"/>
      <c r="B233" s="1643"/>
      <c r="C233" s="1643"/>
      <c r="D233" s="1643"/>
      <c r="E233" s="1643"/>
      <c r="F233" s="1643"/>
      <c r="G233" s="1643"/>
      <c r="H233" s="1643"/>
      <c r="I233" s="1643"/>
      <c r="J233" s="1643"/>
      <c r="K233" s="1643"/>
      <c r="L233" s="1643"/>
      <c r="M233" s="1643"/>
      <c r="N233" s="1643"/>
      <c r="O233" s="1643"/>
      <c r="P233" s="1643"/>
      <c r="Q233" s="1643"/>
      <c r="R233" s="1643"/>
      <c r="S233" s="1643"/>
      <c r="T233" s="1643"/>
      <c r="U233" s="1643"/>
      <c r="V233" s="1643"/>
      <c r="W233" s="1643"/>
      <c r="X233" s="1643"/>
      <c r="Y233" s="1643"/>
      <c r="Z233" s="1643"/>
      <c r="AA233" s="1643"/>
      <c r="AB233" s="1643"/>
      <c r="AC233" s="1643"/>
      <c r="AD233" s="1643"/>
      <c r="AE233" s="1643"/>
      <c r="AF233" s="1643"/>
      <c r="AG233" s="1643"/>
      <c r="AH233" s="1643"/>
      <c r="AI233" s="1643"/>
      <c r="AJ233" s="1643"/>
      <c r="AK233" s="1643"/>
      <c r="AL233" s="1643"/>
      <c r="AM233" s="1643"/>
    </row>
    <row r="234" spans="1:39" ht="15.75" customHeight="1" x14ac:dyDescent="0.3">
      <c r="A234" s="1643"/>
      <c r="B234" s="1643"/>
      <c r="C234" s="1643"/>
      <c r="D234" s="1643"/>
      <c r="E234" s="1643"/>
      <c r="F234" s="1643"/>
      <c r="G234" s="1643"/>
      <c r="H234" s="1643"/>
      <c r="I234" s="1643"/>
      <c r="J234" s="1643"/>
      <c r="K234" s="1643"/>
      <c r="L234" s="1643"/>
      <c r="M234" s="1643"/>
      <c r="N234" s="1643"/>
      <c r="O234" s="1643"/>
      <c r="P234" s="1643"/>
      <c r="Q234" s="1643"/>
      <c r="R234" s="1643"/>
      <c r="S234" s="1643"/>
      <c r="T234" s="1643"/>
      <c r="U234" s="1643"/>
      <c r="V234" s="1643"/>
      <c r="W234" s="1643"/>
      <c r="X234" s="1643"/>
      <c r="Y234" s="1643"/>
      <c r="Z234" s="1643"/>
      <c r="AA234" s="1643"/>
      <c r="AB234" s="1643"/>
      <c r="AC234" s="1643"/>
      <c r="AD234" s="1643"/>
      <c r="AE234" s="1643"/>
      <c r="AF234" s="1643"/>
      <c r="AG234" s="1643"/>
      <c r="AH234" s="1643"/>
      <c r="AI234" s="1643"/>
      <c r="AJ234" s="1643"/>
      <c r="AK234" s="1643"/>
      <c r="AL234" s="1643"/>
      <c r="AM234" s="1643"/>
    </row>
    <row r="235" spans="1:39" ht="15.75" customHeight="1" x14ac:dyDescent="0.3">
      <c r="A235" s="1643"/>
      <c r="B235" s="1643"/>
      <c r="C235" s="1643"/>
      <c r="D235" s="1643"/>
      <c r="E235" s="1643"/>
      <c r="F235" s="1643"/>
      <c r="G235" s="1643"/>
      <c r="H235" s="1643"/>
      <c r="I235" s="1643"/>
      <c r="J235" s="1643"/>
      <c r="K235" s="1643"/>
      <c r="L235" s="1643"/>
      <c r="M235" s="1643"/>
      <c r="N235" s="1643"/>
      <c r="O235" s="1643"/>
      <c r="P235" s="1643"/>
      <c r="Q235" s="1643"/>
      <c r="R235" s="1643"/>
      <c r="S235" s="1643"/>
      <c r="T235" s="1643"/>
      <c r="U235" s="1643"/>
      <c r="V235" s="1643"/>
      <c r="W235" s="1643"/>
      <c r="X235" s="1643"/>
      <c r="Y235" s="1643"/>
      <c r="Z235" s="1643"/>
      <c r="AA235" s="1643"/>
      <c r="AB235" s="1643"/>
      <c r="AC235" s="1643"/>
      <c r="AD235" s="1643"/>
      <c r="AE235" s="1643"/>
      <c r="AF235" s="1643"/>
      <c r="AG235" s="1643"/>
      <c r="AH235" s="1643"/>
      <c r="AI235" s="1643"/>
      <c r="AJ235" s="1643"/>
      <c r="AK235" s="1643"/>
      <c r="AL235" s="1643"/>
      <c r="AM235" s="1643"/>
    </row>
    <row r="236" spans="1:39" ht="15.75" customHeight="1" x14ac:dyDescent="0.3">
      <c r="A236" s="1643"/>
      <c r="B236" s="1643"/>
      <c r="C236" s="1643"/>
      <c r="D236" s="1643"/>
      <c r="E236" s="1643"/>
      <c r="F236" s="1643"/>
      <c r="G236" s="1643"/>
      <c r="H236" s="1643"/>
      <c r="I236" s="1643"/>
      <c r="J236" s="1643"/>
      <c r="K236" s="1643"/>
      <c r="L236" s="1643"/>
      <c r="M236" s="1643"/>
      <c r="N236" s="1643"/>
      <c r="O236" s="1643"/>
      <c r="P236" s="1643"/>
      <c r="Q236" s="1643"/>
      <c r="R236" s="1643"/>
      <c r="S236" s="1643"/>
      <c r="T236" s="1643"/>
      <c r="U236" s="1643"/>
      <c r="V236" s="1643"/>
      <c r="W236" s="1643"/>
      <c r="X236" s="1643"/>
      <c r="Y236" s="1643"/>
      <c r="Z236" s="1643"/>
      <c r="AA236" s="1643"/>
      <c r="AB236" s="1643"/>
      <c r="AC236" s="1643"/>
      <c r="AD236" s="1643"/>
      <c r="AE236" s="1643"/>
      <c r="AF236" s="1643"/>
      <c r="AG236" s="1643"/>
      <c r="AH236" s="1643"/>
      <c r="AI236" s="1643"/>
      <c r="AJ236" s="1643"/>
      <c r="AK236" s="1643"/>
      <c r="AL236" s="1643"/>
      <c r="AM236" s="1643"/>
    </row>
    <row r="237" spans="1:39" ht="15.75" customHeight="1" x14ac:dyDescent="0.3">
      <c r="A237" s="1643"/>
      <c r="B237" s="1643"/>
      <c r="C237" s="1643"/>
      <c r="D237" s="1643"/>
      <c r="E237" s="1643"/>
      <c r="F237" s="1643"/>
      <c r="G237" s="1643"/>
      <c r="H237" s="1643"/>
      <c r="I237" s="1643"/>
      <c r="J237" s="1643"/>
      <c r="K237" s="1643"/>
      <c r="L237" s="1643"/>
      <c r="M237" s="1643"/>
      <c r="N237" s="1643"/>
      <c r="O237" s="1643"/>
      <c r="P237" s="1643"/>
      <c r="Q237" s="1643"/>
      <c r="R237" s="1643"/>
      <c r="S237" s="1643"/>
      <c r="T237" s="1643"/>
      <c r="U237" s="1643"/>
      <c r="V237" s="1643"/>
      <c r="W237" s="1643"/>
      <c r="X237" s="1643"/>
      <c r="Y237" s="1643"/>
      <c r="Z237" s="1643"/>
      <c r="AA237" s="1643"/>
      <c r="AB237" s="1643"/>
      <c r="AC237" s="1643"/>
      <c r="AD237" s="1643"/>
      <c r="AE237" s="1643"/>
      <c r="AF237" s="1643"/>
      <c r="AG237" s="1643"/>
      <c r="AH237" s="1643"/>
      <c r="AI237" s="1643"/>
      <c r="AJ237" s="1643"/>
      <c r="AK237" s="1643"/>
      <c r="AL237" s="1643"/>
      <c r="AM237" s="1643"/>
    </row>
    <row r="238" spans="1:39" ht="15.75" customHeight="1" x14ac:dyDescent="0.3">
      <c r="A238" s="1643"/>
      <c r="B238" s="1643"/>
      <c r="C238" s="1643"/>
      <c r="D238" s="1643"/>
      <c r="E238" s="1643"/>
      <c r="F238" s="1643"/>
      <c r="G238" s="1643"/>
      <c r="H238" s="1643"/>
      <c r="I238" s="1643"/>
      <c r="J238" s="1643"/>
      <c r="K238" s="1643"/>
      <c r="L238" s="1643"/>
      <c r="M238" s="1643"/>
      <c r="N238" s="1643"/>
      <c r="O238" s="1643"/>
      <c r="P238" s="1643"/>
      <c r="Q238" s="1643"/>
      <c r="R238" s="1643"/>
      <c r="S238" s="1643"/>
      <c r="T238" s="1643"/>
      <c r="U238" s="1643"/>
      <c r="V238" s="1643"/>
      <c r="W238" s="1643"/>
      <c r="X238" s="1643"/>
      <c r="Y238" s="1643"/>
      <c r="Z238" s="1643"/>
      <c r="AA238" s="1643"/>
      <c r="AB238" s="1643"/>
      <c r="AC238" s="1643"/>
      <c r="AD238" s="1643"/>
      <c r="AE238" s="1643"/>
      <c r="AF238" s="1643"/>
      <c r="AG238" s="1643"/>
      <c r="AH238" s="1643"/>
      <c r="AI238" s="1643"/>
      <c r="AJ238" s="1643"/>
      <c r="AK238" s="1643"/>
      <c r="AL238" s="1643"/>
      <c r="AM238" s="1643"/>
    </row>
    <row r="239" spans="1:39" ht="15.75" customHeight="1" x14ac:dyDescent="0.3">
      <c r="A239" s="1643"/>
      <c r="B239" s="1643"/>
      <c r="C239" s="1643"/>
      <c r="D239" s="1643"/>
      <c r="E239" s="1643"/>
      <c r="F239" s="1643"/>
      <c r="G239" s="1643"/>
      <c r="H239" s="1643"/>
      <c r="I239" s="1643"/>
      <c r="J239" s="1643"/>
      <c r="K239" s="1643"/>
      <c r="L239" s="1643"/>
      <c r="M239" s="1643"/>
      <c r="N239" s="1643"/>
      <c r="O239" s="1643"/>
      <c r="P239" s="1643"/>
      <c r="Q239" s="1643"/>
      <c r="R239" s="1643"/>
      <c r="S239" s="1643"/>
      <c r="T239" s="1643"/>
      <c r="U239" s="1643"/>
      <c r="V239" s="1643"/>
      <c r="W239" s="1643"/>
      <c r="X239" s="1643"/>
      <c r="Y239" s="1643"/>
      <c r="Z239" s="1643"/>
      <c r="AA239" s="1643"/>
      <c r="AB239" s="1643"/>
      <c r="AC239" s="1643"/>
      <c r="AD239" s="1643"/>
      <c r="AE239" s="1643"/>
      <c r="AF239" s="1643"/>
      <c r="AG239" s="1643"/>
      <c r="AH239" s="1643"/>
      <c r="AI239" s="1643"/>
      <c r="AJ239" s="1643"/>
      <c r="AK239" s="1643"/>
      <c r="AL239" s="1643"/>
      <c r="AM239" s="1643"/>
    </row>
    <row r="240" spans="1:39" ht="15.75" customHeight="1" x14ac:dyDescent="0.3">
      <c r="A240" s="1643"/>
      <c r="B240" s="1643"/>
      <c r="C240" s="1643"/>
      <c r="D240" s="1643"/>
      <c r="E240" s="1643"/>
      <c r="F240" s="1643"/>
      <c r="G240" s="1643"/>
      <c r="H240" s="1643"/>
      <c r="I240" s="1643"/>
      <c r="J240" s="1643"/>
      <c r="K240" s="1643"/>
      <c r="L240" s="1643"/>
      <c r="M240" s="1643"/>
      <c r="N240" s="1643"/>
      <c r="O240" s="1643"/>
      <c r="P240" s="1643"/>
      <c r="Q240" s="1643"/>
      <c r="R240" s="1643"/>
      <c r="S240" s="1643"/>
      <c r="T240" s="1643"/>
      <c r="U240" s="1643"/>
      <c r="V240" s="1643"/>
      <c r="W240" s="1643"/>
      <c r="X240" s="1643"/>
      <c r="Y240" s="1643"/>
      <c r="Z240" s="1643"/>
      <c r="AA240" s="1643"/>
      <c r="AB240" s="1643"/>
      <c r="AC240" s="1643"/>
      <c r="AD240" s="1643"/>
      <c r="AE240" s="1643"/>
      <c r="AF240" s="1643"/>
      <c r="AG240" s="1643"/>
      <c r="AH240" s="1643"/>
      <c r="AI240" s="1643"/>
      <c r="AJ240" s="1643"/>
      <c r="AK240" s="1643"/>
      <c r="AL240" s="1643"/>
      <c r="AM240" s="1643"/>
    </row>
    <row r="241" spans="1:39" ht="15.75" customHeight="1" x14ac:dyDescent="0.3">
      <c r="A241" s="1643"/>
      <c r="B241" s="1643"/>
      <c r="C241" s="1643"/>
      <c r="D241" s="1643"/>
      <c r="E241" s="1643"/>
      <c r="F241" s="1643"/>
      <c r="G241" s="1643"/>
      <c r="H241" s="1643"/>
      <c r="I241" s="1643"/>
      <c r="J241" s="1643"/>
      <c r="K241" s="1643"/>
      <c r="L241" s="1643"/>
      <c r="M241" s="1643"/>
      <c r="N241" s="1643"/>
      <c r="O241" s="1643"/>
      <c r="P241" s="1643"/>
      <c r="Q241" s="1643"/>
      <c r="R241" s="1643"/>
      <c r="S241" s="1643"/>
      <c r="T241" s="1643"/>
      <c r="U241" s="1643"/>
      <c r="V241" s="1643"/>
      <c r="W241" s="1643"/>
      <c r="X241" s="1643"/>
      <c r="Y241" s="1643"/>
      <c r="Z241" s="1643"/>
      <c r="AA241" s="1643"/>
      <c r="AB241" s="1643"/>
      <c r="AC241" s="1643"/>
      <c r="AD241" s="1643"/>
      <c r="AE241" s="1643"/>
      <c r="AF241" s="1643"/>
      <c r="AG241" s="1643"/>
      <c r="AH241" s="1643"/>
      <c r="AI241" s="1643"/>
      <c r="AJ241" s="1643"/>
      <c r="AK241" s="1643"/>
      <c r="AL241" s="1643"/>
      <c r="AM241" s="1643"/>
    </row>
    <row r="242" spans="1:39" ht="15.75" customHeight="1" x14ac:dyDescent="0.3">
      <c r="A242" s="1643"/>
      <c r="B242" s="1643"/>
      <c r="C242" s="1643"/>
      <c r="D242" s="1643"/>
      <c r="E242" s="1643"/>
      <c r="F242" s="1643"/>
      <c r="G242" s="1643"/>
      <c r="H242" s="1643"/>
      <c r="I242" s="1643"/>
      <c r="J242" s="1643"/>
      <c r="K242" s="1643"/>
      <c r="L242" s="1643"/>
      <c r="M242" s="1643"/>
      <c r="N242" s="1643"/>
      <c r="O242" s="1643"/>
      <c r="P242" s="1643"/>
      <c r="Q242" s="1643"/>
      <c r="R242" s="1643"/>
      <c r="S242" s="1643"/>
      <c r="T242" s="1643"/>
      <c r="U242" s="1643"/>
      <c r="V242" s="1643"/>
      <c r="W242" s="1643"/>
      <c r="X242" s="1643"/>
      <c r="Y242" s="1643"/>
      <c r="Z242" s="1643"/>
      <c r="AA242" s="1643"/>
      <c r="AB242" s="1643"/>
      <c r="AC242" s="1643"/>
      <c r="AD242" s="1643"/>
      <c r="AE242" s="1643"/>
      <c r="AF242" s="1643"/>
      <c r="AG242" s="1643"/>
      <c r="AH242" s="1643"/>
      <c r="AI242" s="1643"/>
      <c r="AJ242" s="1643"/>
      <c r="AK242" s="1643"/>
      <c r="AL242" s="1643"/>
      <c r="AM242" s="1643"/>
    </row>
    <row r="243" spans="1:39" ht="15.75" customHeight="1" x14ac:dyDescent="0.3">
      <c r="A243" s="1643"/>
      <c r="B243" s="1643"/>
      <c r="C243" s="1643"/>
      <c r="D243" s="1643"/>
      <c r="E243" s="1643"/>
      <c r="F243" s="1643"/>
      <c r="G243" s="1643"/>
      <c r="H243" s="1643"/>
      <c r="I243" s="1643"/>
      <c r="J243" s="1643"/>
      <c r="K243" s="1643"/>
      <c r="L243" s="1643"/>
      <c r="M243" s="1643"/>
      <c r="N243" s="1643"/>
      <c r="O243" s="1643"/>
      <c r="P243" s="1643"/>
      <c r="Q243" s="1643"/>
      <c r="R243" s="1643"/>
      <c r="S243" s="1643"/>
      <c r="T243" s="1643"/>
      <c r="U243" s="1643"/>
      <c r="V243" s="1643"/>
      <c r="W243" s="1643"/>
      <c r="X243" s="1643"/>
      <c r="Y243" s="1643"/>
      <c r="Z243" s="1643"/>
      <c r="AA243" s="1643"/>
      <c r="AB243" s="1643"/>
      <c r="AC243" s="1643"/>
      <c r="AD243" s="1643"/>
      <c r="AE243" s="1643"/>
      <c r="AF243" s="1643"/>
      <c r="AG243" s="1643"/>
      <c r="AH243" s="1643"/>
      <c r="AI243" s="1643"/>
      <c r="AJ243" s="1643"/>
      <c r="AK243" s="1643"/>
      <c r="AL243" s="1643"/>
      <c r="AM243" s="1643"/>
    </row>
    <row r="244" spans="1:39" ht="15.75" customHeight="1" x14ac:dyDescent="0.3">
      <c r="A244" s="1643"/>
      <c r="B244" s="1643"/>
      <c r="C244" s="1643"/>
      <c r="D244" s="1643"/>
      <c r="E244" s="1643"/>
      <c r="F244" s="1643"/>
      <c r="G244" s="1643"/>
      <c r="H244" s="1643"/>
      <c r="I244" s="1643"/>
      <c r="J244" s="1643"/>
      <c r="K244" s="1643"/>
      <c r="L244" s="1643"/>
      <c r="M244" s="1643"/>
      <c r="N244" s="1643"/>
      <c r="O244" s="1643"/>
      <c r="P244" s="1643"/>
      <c r="Q244" s="1643"/>
      <c r="R244" s="1643"/>
      <c r="S244" s="1643"/>
      <c r="T244" s="1643"/>
      <c r="U244" s="1643"/>
      <c r="V244" s="1643"/>
      <c r="W244" s="1643"/>
      <c r="X244" s="1643"/>
      <c r="Y244" s="1643"/>
      <c r="Z244" s="1643"/>
      <c r="AA244" s="1643"/>
      <c r="AB244" s="1643"/>
      <c r="AC244" s="1643"/>
      <c r="AD244" s="1643"/>
      <c r="AE244" s="1643"/>
      <c r="AF244" s="1643"/>
      <c r="AG244" s="1643"/>
      <c r="AH244" s="1643"/>
      <c r="AI244" s="1643"/>
      <c r="AJ244" s="1643"/>
      <c r="AK244" s="1643"/>
      <c r="AL244" s="1643"/>
      <c r="AM244" s="1643"/>
    </row>
    <row r="245" spans="1:39" ht="15.75" customHeight="1" x14ac:dyDescent="0.3">
      <c r="A245" s="1643"/>
      <c r="B245" s="1643"/>
      <c r="C245" s="1643"/>
      <c r="D245" s="1643"/>
      <c r="E245" s="1643"/>
      <c r="F245" s="1643"/>
      <c r="G245" s="1643"/>
      <c r="H245" s="1643"/>
      <c r="I245" s="1643"/>
      <c r="J245" s="1643"/>
      <c r="K245" s="1643"/>
      <c r="L245" s="1643"/>
      <c r="M245" s="1643"/>
      <c r="N245" s="1643"/>
      <c r="O245" s="1643"/>
      <c r="P245" s="1643"/>
      <c r="Q245" s="1643"/>
      <c r="R245" s="1643"/>
      <c r="S245" s="1643"/>
      <c r="T245" s="1643"/>
      <c r="U245" s="1643"/>
      <c r="V245" s="1643"/>
      <c r="W245" s="1643"/>
      <c r="X245" s="1643"/>
      <c r="Y245" s="1643"/>
      <c r="Z245" s="1643"/>
      <c r="AA245" s="1643"/>
      <c r="AB245" s="1643"/>
      <c r="AC245" s="1643"/>
      <c r="AD245" s="1643"/>
      <c r="AE245" s="1643"/>
      <c r="AF245" s="1643"/>
      <c r="AG245" s="1643"/>
      <c r="AH245" s="1643"/>
      <c r="AI245" s="1643"/>
      <c r="AJ245" s="1643"/>
      <c r="AK245" s="1643"/>
      <c r="AL245" s="1643"/>
      <c r="AM245" s="1643"/>
    </row>
    <row r="246" spans="1:39" ht="15.75" customHeight="1" x14ac:dyDescent="0.3">
      <c r="A246" s="1643"/>
      <c r="B246" s="1643"/>
      <c r="C246" s="1643"/>
      <c r="D246" s="1643"/>
      <c r="E246" s="1643"/>
      <c r="F246" s="1643"/>
      <c r="G246" s="1643"/>
      <c r="H246" s="1643"/>
      <c r="I246" s="1643"/>
      <c r="J246" s="1643"/>
      <c r="K246" s="1643"/>
      <c r="L246" s="1643"/>
      <c r="M246" s="1643"/>
      <c r="N246" s="1643"/>
      <c r="O246" s="1643"/>
      <c r="P246" s="1643"/>
      <c r="Q246" s="1643"/>
      <c r="R246" s="1643"/>
      <c r="S246" s="1643"/>
      <c r="T246" s="1643"/>
      <c r="U246" s="1643"/>
      <c r="V246" s="1643"/>
      <c r="W246" s="1643"/>
      <c r="X246" s="1643"/>
      <c r="Y246" s="1643"/>
      <c r="Z246" s="1643"/>
      <c r="AA246" s="1643"/>
      <c r="AB246" s="1643"/>
      <c r="AC246" s="1643"/>
      <c r="AD246" s="1643"/>
      <c r="AE246" s="1643"/>
      <c r="AF246" s="1643"/>
      <c r="AG246" s="1643"/>
      <c r="AH246" s="1643"/>
      <c r="AI246" s="1643"/>
      <c r="AJ246" s="1643"/>
      <c r="AK246" s="1643"/>
      <c r="AL246" s="1643"/>
      <c r="AM246" s="1643"/>
    </row>
    <row r="247" spans="1:39" ht="15.75" customHeight="1" x14ac:dyDescent="0.3">
      <c r="A247" s="1643"/>
      <c r="B247" s="1643"/>
      <c r="C247" s="1643"/>
      <c r="D247" s="1643"/>
      <c r="E247" s="1643"/>
      <c r="F247" s="1643"/>
      <c r="G247" s="1643"/>
      <c r="H247" s="1643"/>
      <c r="I247" s="1643"/>
      <c r="J247" s="1643"/>
      <c r="K247" s="1643"/>
      <c r="L247" s="1643"/>
      <c r="M247" s="1643"/>
      <c r="N247" s="1643"/>
      <c r="O247" s="1643"/>
      <c r="P247" s="1643"/>
      <c r="Q247" s="1643"/>
      <c r="R247" s="1643"/>
      <c r="S247" s="1643"/>
      <c r="T247" s="1643"/>
      <c r="U247" s="1643"/>
      <c r="V247" s="1643"/>
      <c r="W247" s="1643"/>
      <c r="X247" s="1643"/>
      <c r="Y247" s="1643"/>
      <c r="Z247" s="1643"/>
      <c r="AA247" s="1643"/>
      <c r="AB247" s="1643"/>
      <c r="AC247" s="1643"/>
      <c r="AD247" s="1643"/>
      <c r="AE247" s="1643"/>
      <c r="AF247" s="1643"/>
      <c r="AG247" s="1643"/>
      <c r="AH247" s="1643"/>
      <c r="AI247" s="1643"/>
      <c r="AJ247" s="1643"/>
      <c r="AK247" s="1643"/>
      <c r="AL247" s="1643"/>
      <c r="AM247" s="1643"/>
    </row>
    <row r="248" spans="1:39" ht="15.75" customHeight="1" x14ac:dyDescent="0.3">
      <c r="A248" s="1643"/>
      <c r="B248" s="1643"/>
      <c r="C248" s="1643"/>
      <c r="D248" s="1643"/>
      <c r="E248" s="1643"/>
      <c r="F248" s="1643"/>
      <c r="G248" s="1643"/>
      <c r="H248" s="1643"/>
      <c r="I248" s="1643"/>
      <c r="J248" s="1643"/>
      <c r="K248" s="1643"/>
      <c r="L248" s="1643"/>
      <c r="M248" s="1643"/>
      <c r="N248" s="1643"/>
      <c r="O248" s="1643"/>
      <c r="P248" s="1643"/>
      <c r="Q248" s="1643"/>
      <c r="R248" s="1643"/>
      <c r="S248" s="1643"/>
      <c r="T248" s="1643"/>
      <c r="U248" s="1643"/>
      <c r="V248" s="1643"/>
      <c r="W248" s="1643"/>
      <c r="X248" s="1643"/>
      <c r="Y248" s="1643"/>
      <c r="Z248" s="1643"/>
      <c r="AA248" s="1643"/>
      <c r="AB248" s="1643"/>
      <c r="AC248" s="1643"/>
      <c r="AD248" s="1643"/>
      <c r="AE248" s="1643"/>
      <c r="AF248" s="1643"/>
      <c r="AG248" s="1643"/>
      <c r="AH248" s="1643"/>
      <c r="AI248" s="1643"/>
      <c r="AJ248" s="1643"/>
      <c r="AK248" s="1643"/>
      <c r="AL248" s="1643"/>
      <c r="AM248" s="1643"/>
    </row>
    <row r="249" spans="1:39" ht="15.75" customHeight="1" x14ac:dyDescent="0.3">
      <c r="A249" s="1643"/>
      <c r="B249" s="1643"/>
      <c r="C249" s="1643"/>
      <c r="D249" s="1643"/>
      <c r="E249" s="1643"/>
      <c r="F249" s="1643"/>
      <c r="G249" s="1643"/>
      <c r="H249" s="1643"/>
      <c r="I249" s="1643"/>
      <c r="J249" s="1643"/>
      <c r="K249" s="1643"/>
      <c r="L249" s="1643"/>
      <c r="M249" s="1643"/>
      <c r="N249" s="1643"/>
      <c r="O249" s="1643"/>
      <c r="P249" s="1643"/>
      <c r="Q249" s="1643"/>
      <c r="R249" s="1643"/>
      <c r="S249" s="1643"/>
      <c r="T249" s="1643"/>
      <c r="U249" s="1643"/>
      <c r="V249" s="1643"/>
      <c r="W249" s="1643"/>
      <c r="X249" s="1643"/>
      <c r="Y249" s="1643"/>
      <c r="Z249" s="1643"/>
      <c r="AA249" s="1643"/>
      <c r="AB249" s="1643"/>
      <c r="AC249" s="1643"/>
      <c r="AD249" s="1643"/>
      <c r="AE249" s="1643"/>
      <c r="AF249" s="1643"/>
      <c r="AG249" s="1643"/>
      <c r="AH249" s="1643"/>
      <c r="AI249" s="1643"/>
      <c r="AJ249" s="1643"/>
      <c r="AK249" s="1643"/>
      <c r="AL249" s="1643"/>
      <c r="AM249" s="1643"/>
    </row>
    <row r="250" spans="1:39" ht="15.75" customHeight="1" x14ac:dyDescent="0.3">
      <c r="A250" s="1643"/>
      <c r="B250" s="1643"/>
      <c r="C250" s="1643"/>
      <c r="D250" s="1643"/>
      <c r="E250" s="1643"/>
      <c r="F250" s="1643"/>
      <c r="G250" s="1643"/>
      <c r="H250" s="1643"/>
      <c r="I250" s="1643"/>
      <c r="J250" s="1643"/>
      <c r="K250" s="1643"/>
      <c r="L250" s="1643"/>
      <c r="M250" s="1643"/>
      <c r="N250" s="1643"/>
      <c r="O250" s="1643"/>
      <c r="P250" s="1643"/>
      <c r="Q250" s="1643"/>
      <c r="R250" s="1643"/>
      <c r="S250" s="1643"/>
      <c r="T250" s="1643"/>
      <c r="U250" s="1643"/>
      <c r="V250" s="1643"/>
      <c r="W250" s="1643"/>
      <c r="X250" s="1643"/>
      <c r="Y250" s="1643"/>
      <c r="Z250" s="1643"/>
      <c r="AA250" s="1643"/>
      <c r="AB250" s="1643"/>
      <c r="AC250" s="1643"/>
      <c r="AD250" s="1643"/>
      <c r="AE250" s="1643"/>
      <c r="AF250" s="1643"/>
      <c r="AG250" s="1643"/>
      <c r="AH250" s="1643"/>
      <c r="AI250" s="1643"/>
      <c r="AJ250" s="1643"/>
      <c r="AK250" s="1643"/>
      <c r="AL250" s="1643"/>
      <c r="AM250" s="1643"/>
    </row>
    <row r="251" spans="1:39" ht="15.75" customHeight="1" x14ac:dyDescent="0.3">
      <c r="A251" s="1643"/>
      <c r="B251" s="1643"/>
      <c r="C251" s="1643"/>
      <c r="D251" s="1643"/>
      <c r="E251" s="1643"/>
      <c r="F251" s="1643"/>
      <c r="G251" s="1643"/>
      <c r="H251" s="1643"/>
      <c r="I251" s="1643"/>
      <c r="J251" s="1643"/>
      <c r="K251" s="1643"/>
      <c r="L251" s="1643"/>
      <c r="M251" s="1643"/>
      <c r="N251" s="1643"/>
      <c r="O251" s="1643"/>
      <c r="P251" s="1643"/>
      <c r="Q251" s="1643"/>
      <c r="R251" s="1643"/>
      <c r="S251" s="1643"/>
      <c r="T251" s="1643"/>
      <c r="U251" s="1643"/>
      <c r="V251" s="1643"/>
      <c r="W251" s="1643"/>
      <c r="X251" s="1643"/>
      <c r="Y251" s="1643"/>
      <c r="Z251" s="1643"/>
      <c r="AA251" s="1643"/>
      <c r="AB251" s="1643"/>
      <c r="AC251" s="1643"/>
      <c r="AD251" s="1643"/>
      <c r="AE251" s="1643"/>
      <c r="AF251" s="1643"/>
      <c r="AG251" s="1643"/>
      <c r="AH251" s="1643"/>
      <c r="AI251" s="1643"/>
      <c r="AJ251" s="1643"/>
      <c r="AK251" s="1643"/>
      <c r="AL251" s="1643"/>
      <c r="AM251" s="1643"/>
    </row>
    <row r="252" spans="1:39" ht="15.75" customHeight="1" x14ac:dyDescent="0.3">
      <c r="A252" s="1643"/>
      <c r="B252" s="1643"/>
      <c r="C252" s="1643"/>
      <c r="D252" s="1643"/>
      <c r="E252" s="1643"/>
      <c r="F252" s="1643"/>
      <c r="G252" s="1643"/>
      <c r="H252" s="1643"/>
      <c r="I252" s="1643"/>
      <c r="J252" s="1643"/>
      <c r="K252" s="1643"/>
      <c r="L252" s="1643"/>
      <c r="M252" s="1643"/>
      <c r="N252" s="1643"/>
      <c r="O252" s="1643"/>
      <c r="P252" s="1643"/>
      <c r="Q252" s="1643"/>
      <c r="R252" s="1643"/>
      <c r="S252" s="1643"/>
      <c r="T252" s="1643"/>
      <c r="U252" s="1643"/>
      <c r="V252" s="1643"/>
      <c r="W252" s="1643"/>
      <c r="X252" s="1643"/>
      <c r="Y252" s="1643"/>
      <c r="Z252" s="1643"/>
      <c r="AA252" s="1643"/>
      <c r="AB252" s="1643"/>
      <c r="AC252" s="1643"/>
      <c r="AD252" s="1643"/>
      <c r="AE252" s="1643"/>
      <c r="AF252" s="1643"/>
      <c r="AG252" s="1643"/>
      <c r="AH252" s="1643"/>
      <c r="AI252" s="1643"/>
      <c r="AJ252" s="1643"/>
      <c r="AK252" s="1643"/>
      <c r="AL252" s="1643"/>
      <c r="AM252" s="1643"/>
    </row>
    <row r="253" spans="1:39" ht="15.75" customHeight="1" x14ac:dyDescent="0.3">
      <c r="A253" s="1643"/>
      <c r="B253" s="1643"/>
      <c r="C253" s="1643"/>
      <c r="D253" s="1643"/>
      <c r="E253" s="1643"/>
      <c r="F253" s="1643"/>
      <c r="G253" s="1643"/>
      <c r="H253" s="1643"/>
      <c r="I253" s="1643"/>
      <c r="J253" s="1643"/>
      <c r="K253" s="1643"/>
      <c r="L253" s="1643"/>
      <c r="M253" s="1643"/>
      <c r="N253" s="1643"/>
      <c r="O253" s="1643"/>
      <c r="P253" s="1643"/>
      <c r="Q253" s="1643"/>
      <c r="R253" s="1643"/>
      <c r="S253" s="1643"/>
      <c r="T253" s="1643"/>
      <c r="U253" s="1643"/>
      <c r="V253" s="1643"/>
      <c r="W253" s="1643"/>
      <c r="X253" s="1643"/>
      <c r="Y253" s="1643"/>
      <c r="Z253" s="1643"/>
      <c r="AA253" s="1643"/>
      <c r="AB253" s="1643"/>
      <c r="AC253" s="1643"/>
      <c r="AD253" s="1643"/>
      <c r="AE253" s="1643"/>
      <c r="AF253" s="1643"/>
      <c r="AG253" s="1643"/>
      <c r="AH253" s="1643"/>
      <c r="AI253" s="1643"/>
      <c r="AJ253" s="1643"/>
      <c r="AK253" s="1643"/>
      <c r="AL253" s="1643"/>
      <c r="AM253" s="1643"/>
    </row>
    <row r="254" spans="1:39" ht="15.75" customHeight="1" x14ac:dyDescent="0.3">
      <c r="A254" s="1643"/>
      <c r="B254" s="1643"/>
      <c r="C254" s="1643"/>
      <c r="D254" s="1643"/>
      <c r="E254" s="1643"/>
      <c r="F254" s="1643"/>
      <c r="G254" s="1643"/>
      <c r="H254" s="1643"/>
      <c r="I254" s="1643"/>
      <c r="J254" s="1643"/>
      <c r="K254" s="1643"/>
      <c r="L254" s="1643"/>
      <c r="M254" s="1643"/>
      <c r="N254" s="1643"/>
      <c r="O254" s="1643"/>
      <c r="P254" s="1643"/>
      <c r="Q254" s="1643"/>
      <c r="R254" s="1643"/>
      <c r="S254" s="1643"/>
      <c r="T254" s="1643"/>
      <c r="U254" s="1643"/>
      <c r="V254" s="1643"/>
      <c r="W254" s="1643"/>
      <c r="X254" s="1643"/>
      <c r="Y254" s="1643"/>
      <c r="Z254" s="1643"/>
      <c r="AA254" s="1643"/>
      <c r="AB254" s="1643"/>
      <c r="AC254" s="1643"/>
      <c r="AD254" s="1643"/>
      <c r="AE254" s="1643"/>
      <c r="AF254" s="1643"/>
      <c r="AG254" s="1643"/>
      <c r="AH254" s="1643"/>
      <c r="AI254" s="1643"/>
      <c r="AJ254" s="1643"/>
      <c r="AK254" s="1643"/>
      <c r="AL254" s="1643"/>
      <c r="AM254" s="1643"/>
    </row>
    <row r="255" spans="1:39" ht="15.75" customHeight="1" x14ac:dyDescent="0.3">
      <c r="A255" s="1643"/>
      <c r="B255" s="1643"/>
      <c r="C255" s="1643"/>
      <c r="D255" s="1643"/>
      <c r="E255" s="1643"/>
      <c r="F255" s="1643"/>
      <c r="G255" s="1643"/>
      <c r="H255" s="1643"/>
      <c r="I255" s="1643"/>
      <c r="J255" s="1643"/>
      <c r="K255" s="1643"/>
      <c r="L255" s="1643"/>
      <c r="M255" s="1643"/>
      <c r="N255" s="1643"/>
      <c r="O255" s="1643"/>
      <c r="P255" s="1643"/>
      <c r="Q255" s="1643"/>
      <c r="R255" s="1643"/>
      <c r="S255" s="1643"/>
      <c r="T255" s="1643"/>
      <c r="U255" s="1643"/>
      <c r="V255" s="1643"/>
      <c r="W255" s="1643"/>
      <c r="X255" s="1643"/>
      <c r="Y255" s="1643"/>
      <c r="Z255" s="1643"/>
      <c r="AA255" s="1643"/>
      <c r="AB255" s="1643"/>
      <c r="AC255" s="1643"/>
      <c r="AD255" s="1643"/>
      <c r="AE255" s="1643"/>
      <c r="AF255" s="1643"/>
      <c r="AG255" s="1643"/>
      <c r="AH255" s="1643"/>
      <c r="AI255" s="1643"/>
      <c r="AJ255" s="1643"/>
      <c r="AK255" s="1643"/>
      <c r="AL255" s="1643"/>
      <c r="AM255" s="1643"/>
    </row>
    <row r="256" spans="1:39" ht="15.75" customHeight="1" x14ac:dyDescent="0.3">
      <c r="A256" s="1643"/>
      <c r="B256" s="1643"/>
      <c r="C256" s="1643"/>
      <c r="D256" s="1643"/>
      <c r="E256" s="1643"/>
      <c r="F256" s="1643"/>
      <c r="G256" s="1643"/>
      <c r="H256" s="1643"/>
      <c r="I256" s="1643"/>
      <c r="J256" s="1643"/>
      <c r="K256" s="1643"/>
      <c r="L256" s="1643"/>
      <c r="M256" s="1643"/>
      <c r="N256" s="1643"/>
      <c r="O256" s="1643"/>
      <c r="P256" s="1643"/>
      <c r="Q256" s="1643"/>
      <c r="R256" s="1643"/>
      <c r="S256" s="1643"/>
      <c r="T256" s="1643"/>
      <c r="U256" s="1643"/>
      <c r="V256" s="1643"/>
      <c r="W256" s="1643"/>
      <c r="X256" s="1643"/>
      <c r="Y256" s="1643"/>
      <c r="Z256" s="1643"/>
      <c r="AA256" s="1643"/>
      <c r="AB256" s="1643"/>
      <c r="AC256" s="1643"/>
      <c r="AD256" s="1643"/>
      <c r="AE256" s="1643"/>
      <c r="AF256" s="1643"/>
      <c r="AG256" s="1643"/>
      <c r="AH256" s="1643"/>
      <c r="AI256" s="1643"/>
      <c r="AJ256" s="1643"/>
      <c r="AK256" s="1643"/>
      <c r="AL256" s="1643"/>
      <c r="AM256" s="1643"/>
    </row>
    <row r="257" spans="1:39" ht="15.75" customHeight="1" x14ac:dyDescent="0.3">
      <c r="A257" s="1643"/>
      <c r="B257" s="1643"/>
      <c r="C257" s="1643"/>
      <c r="D257" s="1643"/>
      <c r="E257" s="1643"/>
      <c r="F257" s="1643"/>
      <c r="G257" s="1643"/>
      <c r="H257" s="1643"/>
      <c r="I257" s="1643"/>
      <c r="J257" s="1643"/>
      <c r="K257" s="1643"/>
      <c r="L257" s="1643"/>
      <c r="M257" s="1643"/>
      <c r="N257" s="1643"/>
      <c r="O257" s="1643"/>
      <c r="P257" s="1643"/>
      <c r="Q257" s="1643"/>
      <c r="R257" s="1643"/>
      <c r="S257" s="1643"/>
      <c r="T257" s="1643"/>
      <c r="U257" s="1643"/>
      <c r="V257" s="1643"/>
      <c r="W257" s="1643"/>
      <c r="X257" s="1643"/>
      <c r="Y257" s="1643"/>
      <c r="Z257" s="1643"/>
      <c r="AA257" s="1643"/>
      <c r="AB257" s="1643"/>
      <c r="AC257" s="1643"/>
      <c r="AD257" s="1643"/>
      <c r="AE257" s="1643"/>
      <c r="AF257" s="1643"/>
      <c r="AG257" s="1643"/>
      <c r="AH257" s="1643"/>
      <c r="AI257" s="1643"/>
      <c r="AJ257" s="1643"/>
      <c r="AK257" s="1643"/>
      <c r="AL257" s="1643"/>
      <c r="AM257" s="1643"/>
    </row>
    <row r="258" spans="1:39" ht="15.75" customHeight="1" x14ac:dyDescent="0.3">
      <c r="A258" s="1643"/>
      <c r="B258" s="1643"/>
      <c r="C258" s="1643"/>
      <c r="D258" s="1643"/>
      <c r="E258" s="1643"/>
      <c r="F258" s="1643"/>
      <c r="G258" s="1643"/>
      <c r="H258" s="1643"/>
      <c r="I258" s="1643"/>
      <c r="J258" s="1643"/>
      <c r="K258" s="1643"/>
      <c r="L258" s="1643"/>
      <c r="M258" s="1643"/>
      <c r="N258" s="1643"/>
      <c r="O258" s="1643"/>
      <c r="P258" s="1643"/>
      <c r="Q258" s="1643"/>
      <c r="R258" s="1643"/>
      <c r="S258" s="1643"/>
      <c r="T258" s="1643"/>
      <c r="U258" s="1643"/>
      <c r="V258" s="1643"/>
      <c r="W258" s="1643"/>
      <c r="X258" s="1643"/>
      <c r="Y258" s="1643"/>
      <c r="Z258" s="1643"/>
      <c r="AA258" s="1643"/>
      <c r="AB258" s="1643"/>
      <c r="AC258" s="1643"/>
      <c r="AD258" s="1643"/>
      <c r="AE258" s="1643"/>
      <c r="AF258" s="1643"/>
      <c r="AG258" s="1643"/>
      <c r="AH258" s="1643"/>
      <c r="AI258" s="1643"/>
      <c r="AJ258" s="1643"/>
      <c r="AK258" s="1643"/>
      <c r="AL258" s="1643"/>
      <c r="AM258" s="1643"/>
    </row>
    <row r="259" spans="1:39" ht="15.75" customHeight="1" x14ac:dyDescent="0.3">
      <c r="A259" s="1643"/>
      <c r="B259" s="1643"/>
      <c r="C259" s="1643"/>
      <c r="D259" s="1643"/>
      <c r="E259" s="1643"/>
      <c r="F259" s="1643"/>
      <c r="G259" s="1643"/>
      <c r="H259" s="1643"/>
      <c r="I259" s="1643"/>
      <c r="J259" s="1643"/>
      <c r="K259" s="1643"/>
      <c r="L259" s="1643"/>
      <c r="M259" s="1643"/>
      <c r="N259" s="1643"/>
      <c r="O259" s="1643"/>
      <c r="P259" s="1643"/>
      <c r="Q259" s="1643"/>
      <c r="R259" s="1643"/>
      <c r="S259" s="1643"/>
      <c r="T259" s="1643"/>
      <c r="U259" s="1643"/>
      <c r="V259" s="1643"/>
      <c r="W259" s="1643"/>
      <c r="X259" s="1643"/>
      <c r="Y259" s="1643"/>
      <c r="Z259" s="1643"/>
      <c r="AA259" s="1643"/>
      <c r="AB259" s="1643"/>
      <c r="AC259" s="1643"/>
      <c r="AD259" s="1643"/>
      <c r="AE259" s="1643"/>
      <c r="AF259" s="1643"/>
      <c r="AG259" s="1643"/>
      <c r="AH259" s="1643"/>
      <c r="AI259" s="1643"/>
      <c r="AJ259" s="1643"/>
      <c r="AK259" s="1643"/>
      <c r="AL259" s="1643"/>
      <c r="AM259" s="1643"/>
    </row>
    <row r="260" spans="1:39" ht="15.75" customHeight="1" x14ac:dyDescent="0.3">
      <c r="A260" s="1643"/>
      <c r="B260" s="1643"/>
      <c r="C260" s="1643"/>
      <c r="D260" s="1643"/>
      <c r="E260" s="1643"/>
      <c r="F260" s="1643"/>
      <c r="G260" s="1643"/>
      <c r="H260" s="1643"/>
      <c r="I260" s="1643"/>
      <c r="J260" s="1643"/>
      <c r="K260" s="1643"/>
      <c r="L260" s="1643"/>
      <c r="M260" s="1643"/>
      <c r="N260" s="1643"/>
      <c r="O260" s="1643"/>
      <c r="P260" s="1643"/>
      <c r="Q260" s="1643"/>
      <c r="R260" s="1643"/>
      <c r="S260" s="1643"/>
      <c r="T260" s="1643"/>
      <c r="U260" s="1643"/>
      <c r="V260" s="1643"/>
      <c r="W260" s="1643"/>
      <c r="X260" s="1643"/>
      <c r="Y260" s="1643"/>
      <c r="Z260" s="1643"/>
      <c r="AA260" s="1643"/>
      <c r="AB260" s="1643"/>
      <c r="AC260" s="1643"/>
      <c r="AD260" s="1643"/>
      <c r="AE260" s="1643"/>
      <c r="AF260" s="1643"/>
      <c r="AG260" s="1643"/>
      <c r="AH260" s="1643"/>
      <c r="AI260" s="1643"/>
      <c r="AJ260" s="1643"/>
      <c r="AK260" s="1643"/>
      <c r="AL260" s="1643"/>
      <c r="AM260" s="1643"/>
    </row>
    <row r="261" spans="1:39" ht="15.75" customHeight="1" x14ac:dyDescent="0.3">
      <c r="A261" s="1643"/>
      <c r="B261" s="1643"/>
      <c r="C261" s="1643"/>
      <c r="D261" s="1643"/>
      <c r="E261" s="1643"/>
      <c r="F261" s="1643"/>
      <c r="G261" s="1643"/>
      <c r="H261" s="1643"/>
      <c r="I261" s="1643"/>
      <c r="J261" s="1643"/>
      <c r="K261" s="1643"/>
      <c r="L261" s="1643"/>
      <c r="M261" s="1643"/>
      <c r="N261" s="1643"/>
      <c r="O261" s="1643"/>
      <c r="P261" s="1643"/>
      <c r="Q261" s="1643"/>
      <c r="R261" s="1643"/>
      <c r="S261" s="1643"/>
      <c r="T261" s="1643"/>
      <c r="U261" s="1643"/>
      <c r="V261" s="1643"/>
      <c r="W261" s="1643"/>
      <c r="X261" s="1643"/>
      <c r="Y261" s="1643"/>
      <c r="Z261" s="1643"/>
      <c r="AA261" s="1643"/>
      <c r="AB261" s="1643"/>
      <c r="AC261" s="1643"/>
      <c r="AD261" s="1643"/>
      <c r="AE261" s="1643"/>
      <c r="AF261" s="1643"/>
      <c r="AG261" s="1643"/>
      <c r="AH261" s="1643"/>
      <c r="AI261" s="1643"/>
      <c r="AJ261" s="1643"/>
      <c r="AK261" s="1643"/>
      <c r="AL261" s="1643"/>
      <c r="AM261" s="1643"/>
    </row>
    <row r="262" spans="1:39" ht="15.75" customHeight="1" x14ac:dyDescent="0.3">
      <c r="A262" s="1643"/>
      <c r="B262" s="1643"/>
      <c r="C262" s="1643"/>
      <c r="D262" s="1643"/>
      <c r="E262" s="1643"/>
      <c r="F262" s="1643"/>
      <c r="G262" s="1643"/>
      <c r="H262" s="1643"/>
      <c r="I262" s="1643"/>
      <c r="J262" s="1643"/>
      <c r="K262" s="1643"/>
      <c r="L262" s="1643"/>
      <c r="M262" s="1643"/>
      <c r="N262" s="1643"/>
      <c r="O262" s="1643"/>
      <c r="P262" s="1643"/>
      <c r="Q262" s="1643"/>
      <c r="R262" s="1643"/>
      <c r="S262" s="1643"/>
      <c r="T262" s="1643"/>
      <c r="U262" s="1643"/>
      <c r="V262" s="1643"/>
      <c r="W262" s="1643"/>
      <c r="X262" s="1643"/>
      <c r="Y262" s="1643"/>
      <c r="Z262" s="1643"/>
      <c r="AA262" s="1643"/>
      <c r="AB262" s="1643"/>
      <c r="AC262" s="1643"/>
      <c r="AD262" s="1643"/>
      <c r="AE262" s="1643"/>
      <c r="AF262" s="1643"/>
      <c r="AG262" s="1643"/>
      <c r="AH262" s="1643"/>
      <c r="AI262" s="1643"/>
      <c r="AJ262" s="1643"/>
      <c r="AK262" s="1643"/>
      <c r="AL262" s="1643"/>
      <c r="AM262" s="1643"/>
    </row>
    <row r="263" spans="1:39" ht="15.75" customHeight="1" x14ac:dyDescent="0.3">
      <c r="A263" s="1643"/>
      <c r="B263" s="1643"/>
      <c r="C263" s="1643"/>
      <c r="D263" s="1643"/>
      <c r="E263" s="1643"/>
      <c r="F263" s="1643"/>
      <c r="G263" s="1643"/>
      <c r="H263" s="1643"/>
      <c r="I263" s="1643"/>
      <c r="J263" s="1643"/>
      <c r="K263" s="1643"/>
      <c r="L263" s="1643"/>
      <c r="M263" s="1643"/>
      <c r="N263" s="1643"/>
      <c r="O263" s="1643"/>
      <c r="P263" s="1643"/>
      <c r="Q263" s="1643"/>
      <c r="R263" s="1643"/>
      <c r="S263" s="1643"/>
      <c r="T263" s="1643"/>
      <c r="U263" s="1643"/>
      <c r="V263" s="1643"/>
      <c r="W263" s="1643"/>
      <c r="X263" s="1643"/>
      <c r="Y263" s="1643"/>
      <c r="Z263" s="1643"/>
      <c r="AA263" s="1643"/>
      <c r="AB263" s="1643"/>
      <c r="AC263" s="1643"/>
      <c r="AD263" s="1643"/>
      <c r="AE263" s="1643"/>
      <c r="AF263" s="1643"/>
      <c r="AG263" s="1643"/>
      <c r="AH263" s="1643"/>
      <c r="AI263" s="1643"/>
      <c r="AJ263" s="1643"/>
      <c r="AK263" s="1643"/>
      <c r="AL263" s="1643"/>
      <c r="AM263" s="1643"/>
    </row>
    <row r="264" spans="1:39" ht="15.75" customHeight="1" x14ac:dyDescent="0.3">
      <c r="A264" s="1643"/>
      <c r="B264" s="1643"/>
      <c r="C264" s="1643"/>
      <c r="D264" s="1643"/>
      <c r="E264" s="1643"/>
      <c r="F264" s="1643"/>
      <c r="G264" s="1643"/>
      <c r="H264" s="1643"/>
      <c r="I264" s="1643"/>
      <c r="J264" s="1643"/>
      <c r="K264" s="1643"/>
      <c r="L264" s="1643"/>
      <c r="M264" s="1643"/>
      <c r="N264" s="1643"/>
      <c r="O264" s="1643"/>
      <c r="P264" s="1643"/>
      <c r="Q264" s="1643"/>
      <c r="R264" s="1643"/>
      <c r="S264" s="1643"/>
      <c r="T264" s="1643"/>
      <c r="U264" s="1643"/>
      <c r="V264" s="1643"/>
      <c r="W264" s="1643"/>
      <c r="X264" s="1643"/>
      <c r="Y264" s="1643"/>
      <c r="Z264" s="1643"/>
      <c r="AA264" s="1643"/>
      <c r="AB264" s="1643"/>
      <c r="AC264" s="1643"/>
      <c r="AD264" s="1643"/>
      <c r="AE264" s="1643"/>
      <c r="AF264" s="1643"/>
      <c r="AG264" s="1643"/>
      <c r="AH264" s="1643"/>
      <c r="AI264" s="1643"/>
      <c r="AJ264" s="1643"/>
      <c r="AK264" s="1643"/>
      <c r="AL264" s="1643"/>
      <c r="AM264" s="1643"/>
    </row>
    <row r="265" spans="1:39" ht="15.75" customHeight="1" x14ac:dyDescent="0.3">
      <c r="A265" s="1643"/>
      <c r="B265" s="1643"/>
      <c r="C265" s="1643"/>
      <c r="D265" s="1643"/>
      <c r="E265" s="1643"/>
      <c r="F265" s="1643"/>
      <c r="G265" s="1643"/>
      <c r="H265" s="1643"/>
      <c r="I265" s="1643"/>
      <c r="J265" s="1643"/>
      <c r="K265" s="1643"/>
      <c r="L265" s="1643"/>
      <c r="M265" s="1643"/>
      <c r="N265" s="1643"/>
      <c r="O265" s="1643"/>
      <c r="P265" s="1643"/>
      <c r="Q265" s="1643"/>
      <c r="R265" s="1643"/>
      <c r="S265" s="1643"/>
      <c r="T265" s="1643"/>
      <c r="U265" s="1643"/>
      <c r="V265" s="1643"/>
      <c r="W265" s="1643"/>
      <c r="X265" s="1643"/>
      <c r="Y265" s="1643"/>
      <c r="Z265" s="1643"/>
      <c r="AA265" s="1643"/>
      <c r="AB265" s="1643"/>
      <c r="AC265" s="1643"/>
      <c r="AD265" s="1643"/>
      <c r="AE265" s="1643"/>
      <c r="AF265" s="1643"/>
      <c r="AG265" s="1643"/>
      <c r="AH265" s="1643"/>
      <c r="AI265" s="1643"/>
      <c r="AJ265" s="1643"/>
      <c r="AK265" s="1643"/>
      <c r="AL265" s="1643"/>
      <c r="AM265" s="1643"/>
    </row>
    <row r="266" spans="1:39" ht="15.75" customHeight="1" x14ac:dyDescent="0.3">
      <c r="A266" s="1643"/>
      <c r="B266" s="1643"/>
      <c r="C266" s="1643"/>
      <c r="D266" s="1643"/>
      <c r="E266" s="1643"/>
      <c r="F266" s="1643"/>
      <c r="G266" s="1643"/>
      <c r="H266" s="1643"/>
      <c r="I266" s="1643"/>
      <c r="J266" s="1643"/>
      <c r="K266" s="1643"/>
      <c r="L266" s="1643"/>
      <c r="M266" s="1643"/>
      <c r="N266" s="1643"/>
      <c r="O266" s="1643"/>
      <c r="P266" s="1643"/>
      <c r="Q266" s="1643"/>
      <c r="R266" s="1643"/>
      <c r="S266" s="1643"/>
      <c r="T266" s="1643"/>
      <c r="U266" s="1643"/>
      <c r="V266" s="1643"/>
      <c r="W266" s="1643"/>
      <c r="X266" s="1643"/>
      <c r="Y266" s="1643"/>
      <c r="Z266" s="1643"/>
      <c r="AA266" s="1643"/>
      <c r="AB266" s="1643"/>
      <c r="AC266" s="1643"/>
      <c r="AD266" s="1643"/>
      <c r="AE266" s="1643"/>
      <c r="AF266" s="1643"/>
      <c r="AG266" s="1643"/>
      <c r="AH266" s="1643"/>
      <c r="AI266" s="1643"/>
      <c r="AJ266" s="1643"/>
      <c r="AK266" s="1643"/>
      <c r="AL266" s="1643"/>
      <c r="AM266" s="1643"/>
    </row>
    <row r="267" spans="1:39" ht="15.75" customHeight="1" x14ac:dyDescent="0.3">
      <c r="A267" s="1643"/>
      <c r="B267" s="1643"/>
      <c r="C267" s="1643"/>
      <c r="D267" s="1643"/>
      <c r="E267" s="1643"/>
      <c r="F267" s="1643"/>
      <c r="G267" s="1643"/>
      <c r="H267" s="1643"/>
      <c r="I267" s="1643"/>
      <c r="J267" s="1643"/>
      <c r="K267" s="1643"/>
      <c r="L267" s="1643"/>
      <c r="M267" s="1643"/>
      <c r="N267" s="1643"/>
      <c r="O267" s="1643"/>
      <c r="P267" s="1643"/>
      <c r="Q267" s="1643"/>
      <c r="R267" s="1643"/>
      <c r="S267" s="1643"/>
      <c r="T267" s="1643"/>
      <c r="U267" s="1643"/>
      <c r="V267" s="1643"/>
      <c r="W267" s="1643"/>
      <c r="X267" s="1643"/>
      <c r="Y267" s="1643"/>
      <c r="Z267" s="1643"/>
      <c r="AA267" s="1643"/>
      <c r="AB267" s="1643"/>
      <c r="AC267" s="1643"/>
      <c r="AD267" s="1643"/>
      <c r="AE267" s="1643"/>
      <c r="AF267" s="1643"/>
      <c r="AG267" s="1643"/>
      <c r="AH267" s="1643"/>
      <c r="AI267" s="1643"/>
      <c r="AJ267" s="1643"/>
      <c r="AK267" s="1643"/>
      <c r="AL267" s="1643"/>
      <c r="AM267" s="1643"/>
    </row>
    <row r="268" spans="1:39" ht="15.75" customHeight="1" x14ac:dyDescent="0.3">
      <c r="A268" s="1643"/>
      <c r="B268" s="1643"/>
      <c r="C268" s="1643"/>
      <c r="D268" s="1643"/>
      <c r="E268" s="1643"/>
      <c r="F268" s="1643"/>
      <c r="G268" s="1643"/>
      <c r="H268" s="1643"/>
      <c r="I268" s="1643"/>
      <c r="J268" s="1643"/>
      <c r="K268" s="1643"/>
      <c r="L268" s="1643"/>
      <c r="M268" s="1643"/>
      <c r="N268" s="1643"/>
      <c r="O268" s="1643"/>
      <c r="P268" s="1643"/>
      <c r="Q268" s="1643"/>
      <c r="R268" s="1643"/>
      <c r="S268" s="1643"/>
      <c r="T268" s="1643"/>
      <c r="U268" s="1643"/>
      <c r="V268" s="1643"/>
      <c r="W268" s="1643"/>
      <c r="X268" s="1643"/>
      <c r="Y268" s="1643"/>
      <c r="Z268" s="1643"/>
      <c r="AA268" s="1643"/>
      <c r="AB268" s="1643"/>
      <c r="AC268" s="1643"/>
      <c r="AD268" s="1643"/>
      <c r="AE268" s="1643"/>
      <c r="AF268" s="1643"/>
      <c r="AG268" s="1643"/>
      <c r="AH268" s="1643"/>
      <c r="AI268" s="1643"/>
      <c r="AJ268" s="1643"/>
      <c r="AK268" s="1643"/>
      <c r="AL268" s="1643"/>
      <c r="AM268" s="1643"/>
    </row>
    <row r="269" spans="1:39" ht="15.75" customHeight="1" x14ac:dyDescent="0.3">
      <c r="A269" s="1643"/>
      <c r="B269" s="1643"/>
      <c r="C269" s="1643"/>
      <c r="D269" s="1643"/>
      <c r="E269" s="1643"/>
      <c r="F269" s="1643"/>
      <c r="G269" s="1643"/>
      <c r="H269" s="1643"/>
      <c r="I269" s="1643"/>
      <c r="J269" s="1643"/>
      <c r="K269" s="1643"/>
      <c r="L269" s="1643"/>
      <c r="M269" s="1643"/>
      <c r="N269" s="1643"/>
      <c r="O269" s="1643"/>
      <c r="P269" s="1643"/>
      <c r="Q269" s="1643"/>
      <c r="R269" s="1643"/>
      <c r="S269" s="1643"/>
      <c r="T269" s="1643"/>
      <c r="U269" s="1643"/>
      <c r="V269" s="1643"/>
      <c r="W269" s="1643"/>
      <c r="X269" s="1643"/>
      <c r="Y269" s="1643"/>
      <c r="Z269" s="1643"/>
      <c r="AA269" s="1643"/>
      <c r="AB269" s="1643"/>
      <c r="AC269" s="1643"/>
      <c r="AD269" s="1643"/>
      <c r="AE269" s="1643"/>
      <c r="AF269" s="1643"/>
      <c r="AG269" s="1643"/>
      <c r="AH269" s="1643"/>
      <c r="AI269" s="1643"/>
      <c r="AJ269" s="1643"/>
      <c r="AK269" s="1643"/>
      <c r="AL269" s="1643"/>
      <c r="AM269" s="1643"/>
    </row>
    <row r="270" spans="1:39" ht="15.75" customHeight="1" x14ac:dyDescent="0.3">
      <c r="A270" s="1643"/>
      <c r="B270" s="1643"/>
      <c r="C270" s="1643"/>
      <c r="D270" s="1643"/>
      <c r="E270" s="1643"/>
      <c r="F270" s="1643"/>
      <c r="G270" s="1643"/>
      <c r="H270" s="1643"/>
      <c r="I270" s="1643"/>
      <c r="J270" s="1643"/>
      <c r="K270" s="1643"/>
      <c r="L270" s="1643"/>
      <c r="M270" s="1643"/>
      <c r="N270" s="1643"/>
      <c r="O270" s="1643"/>
      <c r="P270" s="1643"/>
      <c r="Q270" s="1643"/>
      <c r="R270" s="1643"/>
      <c r="S270" s="1643"/>
      <c r="T270" s="1643"/>
      <c r="U270" s="1643"/>
      <c r="V270" s="1643"/>
      <c r="W270" s="1643"/>
      <c r="X270" s="1643"/>
      <c r="Y270" s="1643"/>
      <c r="Z270" s="1643"/>
      <c r="AA270" s="1643"/>
      <c r="AB270" s="1643"/>
      <c r="AC270" s="1643"/>
      <c r="AD270" s="1643"/>
      <c r="AE270" s="1643"/>
      <c r="AF270" s="1643"/>
      <c r="AG270" s="1643"/>
      <c r="AH270" s="1643"/>
      <c r="AI270" s="1643"/>
      <c r="AJ270" s="1643"/>
      <c r="AK270" s="1643"/>
      <c r="AL270" s="1643"/>
      <c r="AM270" s="1643"/>
    </row>
    <row r="271" spans="1:39" ht="15.75" customHeight="1" x14ac:dyDescent="0.3">
      <c r="A271" s="1643"/>
      <c r="B271" s="1643"/>
      <c r="C271" s="1643"/>
      <c r="D271" s="1643"/>
      <c r="E271" s="1643"/>
      <c r="F271" s="1643"/>
      <c r="G271" s="1643"/>
      <c r="H271" s="1643"/>
      <c r="I271" s="1643"/>
      <c r="J271" s="1643"/>
      <c r="K271" s="1643"/>
      <c r="L271" s="1643"/>
      <c r="M271" s="1643"/>
      <c r="N271" s="1643"/>
      <c r="O271" s="1643"/>
      <c r="P271" s="1643"/>
      <c r="Q271" s="1643"/>
      <c r="R271" s="1643"/>
      <c r="S271" s="1643"/>
      <c r="T271" s="1643"/>
      <c r="U271" s="1643"/>
      <c r="V271" s="1643"/>
      <c r="W271" s="1643"/>
      <c r="X271" s="1643"/>
      <c r="Y271" s="1643"/>
      <c r="Z271" s="1643"/>
      <c r="AA271" s="1643"/>
      <c r="AB271" s="1643"/>
      <c r="AC271" s="1643"/>
      <c r="AD271" s="1643"/>
      <c r="AE271" s="1643"/>
      <c r="AF271" s="1643"/>
      <c r="AG271" s="1643"/>
      <c r="AH271" s="1643"/>
      <c r="AI271" s="1643"/>
      <c r="AJ271" s="1643"/>
      <c r="AK271" s="1643"/>
      <c r="AL271" s="1643"/>
      <c r="AM271" s="1643"/>
    </row>
    <row r="272" spans="1:39" ht="15.75" customHeight="1" x14ac:dyDescent="0.3">
      <c r="A272" s="1643"/>
      <c r="B272" s="1643"/>
      <c r="C272" s="1643"/>
      <c r="D272" s="1643"/>
      <c r="E272" s="1643"/>
      <c r="F272" s="1643"/>
      <c r="G272" s="1643"/>
      <c r="H272" s="1643"/>
      <c r="I272" s="1643"/>
      <c r="J272" s="1643"/>
      <c r="K272" s="1643"/>
      <c r="L272" s="1643"/>
      <c r="M272" s="1643"/>
      <c r="N272" s="1643"/>
      <c r="O272" s="1643"/>
      <c r="P272" s="1643"/>
      <c r="Q272" s="1643"/>
      <c r="R272" s="1643"/>
      <c r="S272" s="1643"/>
      <c r="T272" s="1643"/>
      <c r="U272" s="1643"/>
      <c r="V272" s="1643"/>
      <c r="W272" s="1643"/>
      <c r="X272" s="1643"/>
      <c r="Y272" s="1643"/>
      <c r="Z272" s="1643"/>
      <c r="AA272" s="1643"/>
      <c r="AB272" s="1643"/>
      <c r="AC272" s="1643"/>
      <c r="AD272" s="1643"/>
      <c r="AE272" s="1643"/>
      <c r="AF272" s="1643"/>
      <c r="AG272" s="1643"/>
      <c r="AH272" s="1643"/>
      <c r="AI272" s="1643"/>
      <c r="AJ272" s="1643"/>
      <c r="AK272" s="1643"/>
      <c r="AL272" s="1643"/>
      <c r="AM272" s="1643"/>
    </row>
    <row r="273" spans="1:39" ht="15.75" customHeight="1" x14ac:dyDescent="0.3">
      <c r="A273" s="1643"/>
      <c r="B273" s="1643"/>
      <c r="C273" s="1643"/>
      <c r="D273" s="1643"/>
      <c r="E273" s="1643"/>
      <c r="F273" s="1643"/>
      <c r="G273" s="1643"/>
      <c r="H273" s="1643"/>
      <c r="I273" s="1643"/>
      <c r="J273" s="1643"/>
      <c r="K273" s="1643"/>
      <c r="L273" s="1643"/>
      <c r="M273" s="1643"/>
      <c r="N273" s="1643"/>
      <c r="O273" s="1643"/>
      <c r="P273" s="1643"/>
      <c r="Q273" s="1643"/>
      <c r="R273" s="1643"/>
      <c r="S273" s="1643"/>
      <c r="T273" s="1643"/>
      <c r="U273" s="1643"/>
      <c r="V273" s="1643"/>
      <c r="W273" s="1643"/>
      <c r="X273" s="1643"/>
      <c r="Y273" s="1643"/>
      <c r="Z273" s="1643"/>
      <c r="AA273" s="1643"/>
      <c r="AB273" s="1643"/>
      <c r="AC273" s="1643"/>
      <c r="AD273" s="1643"/>
      <c r="AE273" s="1643"/>
      <c r="AF273" s="1643"/>
      <c r="AG273" s="1643"/>
      <c r="AH273" s="1643"/>
      <c r="AI273" s="1643"/>
      <c r="AJ273" s="1643"/>
      <c r="AK273" s="1643"/>
      <c r="AL273" s="1643"/>
      <c r="AM273" s="1643"/>
    </row>
    <row r="274" spans="1:39" ht="15.75" customHeight="1" x14ac:dyDescent="0.3">
      <c r="A274" s="1643"/>
      <c r="B274" s="1643"/>
      <c r="C274" s="1643"/>
      <c r="D274" s="1643"/>
      <c r="E274" s="1643"/>
      <c r="F274" s="1643"/>
      <c r="G274" s="1643"/>
      <c r="H274" s="1643"/>
      <c r="I274" s="1643"/>
      <c r="J274" s="1643"/>
      <c r="K274" s="1643"/>
      <c r="L274" s="1643"/>
      <c r="M274" s="1643"/>
      <c r="N274" s="1643"/>
      <c r="O274" s="1643"/>
      <c r="P274" s="1643"/>
      <c r="Q274" s="1643"/>
      <c r="R274" s="1643"/>
      <c r="S274" s="1643"/>
      <c r="T274" s="1643"/>
      <c r="U274" s="1643"/>
      <c r="V274" s="1643"/>
      <c r="W274" s="1643"/>
      <c r="X274" s="1643"/>
      <c r="Y274" s="1643"/>
      <c r="Z274" s="1643"/>
      <c r="AA274" s="1643"/>
      <c r="AB274" s="1643"/>
      <c r="AC274" s="1643"/>
      <c r="AD274" s="1643"/>
      <c r="AE274" s="1643"/>
      <c r="AF274" s="1643"/>
      <c r="AG274" s="1643"/>
      <c r="AH274" s="1643"/>
      <c r="AI274" s="1643"/>
      <c r="AJ274" s="1643"/>
      <c r="AK274" s="1643"/>
      <c r="AL274" s="1643"/>
      <c r="AM274" s="1643"/>
    </row>
    <row r="275" spans="1:39" ht="15.75" customHeight="1" x14ac:dyDescent="0.3">
      <c r="A275" s="1643"/>
      <c r="B275" s="1643"/>
      <c r="C275" s="1643"/>
      <c r="D275" s="1643"/>
      <c r="E275" s="1643"/>
      <c r="F275" s="1643"/>
      <c r="G275" s="1643"/>
      <c r="H275" s="1643"/>
      <c r="I275" s="1643"/>
      <c r="J275" s="1643"/>
      <c r="K275" s="1643"/>
      <c r="L275" s="1643"/>
      <c r="M275" s="1643"/>
      <c r="N275" s="1643"/>
      <c r="O275" s="1643"/>
      <c r="P275" s="1643"/>
      <c r="Q275" s="1643"/>
      <c r="R275" s="1643"/>
      <c r="S275" s="1643"/>
      <c r="T275" s="1643"/>
      <c r="U275" s="1643"/>
      <c r="V275" s="1643"/>
      <c r="W275" s="1643"/>
      <c r="X275" s="1643"/>
      <c r="Y275" s="1643"/>
      <c r="Z275" s="1643"/>
      <c r="AA275" s="1643"/>
      <c r="AB275" s="1643"/>
      <c r="AC275" s="1643"/>
      <c r="AD275" s="1643"/>
      <c r="AE275" s="1643"/>
      <c r="AF275" s="1643"/>
      <c r="AG275" s="1643"/>
      <c r="AH275" s="1643"/>
      <c r="AI275" s="1643"/>
      <c r="AJ275" s="1643"/>
      <c r="AK275" s="1643"/>
      <c r="AL275" s="1643"/>
      <c r="AM275" s="1643"/>
    </row>
    <row r="276" spans="1:39" ht="15.75" customHeight="1" x14ac:dyDescent="0.3">
      <c r="A276" s="1643"/>
      <c r="B276" s="1643"/>
      <c r="C276" s="1643"/>
      <c r="D276" s="1643"/>
      <c r="E276" s="1643"/>
      <c r="F276" s="1643"/>
      <c r="G276" s="1643"/>
      <c r="H276" s="1643"/>
      <c r="I276" s="1643"/>
      <c r="J276" s="1643"/>
      <c r="K276" s="1643"/>
      <c r="L276" s="1643"/>
      <c r="M276" s="1643"/>
      <c r="N276" s="1643"/>
      <c r="O276" s="1643"/>
      <c r="P276" s="1643"/>
      <c r="Q276" s="1643"/>
      <c r="R276" s="1643"/>
      <c r="S276" s="1643"/>
      <c r="T276" s="1643"/>
      <c r="U276" s="1643"/>
      <c r="V276" s="1643"/>
      <c r="W276" s="1643"/>
      <c r="X276" s="1643"/>
      <c r="Y276" s="1643"/>
      <c r="Z276" s="1643"/>
      <c r="AA276" s="1643"/>
      <c r="AB276" s="1643"/>
      <c r="AC276" s="1643"/>
      <c r="AD276" s="1643"/>
      <c r="AE276" s="1643"/>
      <c r="AF276" s="1643"/>
      <c r="AG276" s="1643"/>
      <c r="AH276" s="1643"/>
      <c r="AI276" s="1643"/>
      <c r="AJ276" s="1643"/>
      <c r="AK276" s="1643"/>
      <c r="AL276" s="1643"/>
      <c r="AM276" s="1643"/>
    </row>
    <row r="277" spans="1:39" ht="15.75" customHeight="1" x14ac:dyDescent="0.3">
      <c r="A277" s="1643"/>
      <c r="B277" s="1643"/>
      <c r="C277" s="1643"/>
      <c r="D277" s="1643"/>
      <c r="E277" s="1643"/>
      <c r="F277" s="1643"/>
      <c r="G277" s="1643"/>
      <c r="H277" s="1643"/>
      <c r="I277" s="1643"/>
      <c r="J277" s="1643"/>
      <c r="K277" s="1643"/>
      <c r="L277" s="1643"/>
      <c r="M277" s="1643"/>
      <c r="N277" s="1643"/>
      <c r="O277" s="1643"/>
      <c r="P277" s="1643"/>
      <c r="Q277" s="1643"/>
      <c r="R277" s="1643"/>
      <c r="S277" s="1643"/>
      <c r="T277" s="1643"/>
      <c r="U277" s="1643"/>
      <c r="V277" s="1643"/>
      <c r="W277" s="1643"/>
      <c r="X277" s="1643"/>
      <c r="Y277" s="1643"/>
      <c r="Z277" s="1643"/>
      <c r="AA277" s="1643"/>
      <c r="AB277" s="1643"/>
      <c r="AC277" s="1643"/>
      <c r="AD277" s="1643"/>
      <c r="AE277" s="1643"/>
      <c r="AF277" s="1643"/>
      <c r="AG277" s="1643"/>
      <c r="AH277" s="1643"/>
      <c r="AI277" s="1643"/>
      <c r="AJ277" s="1643"/>
      <c r="AK277" s="1643"/>
      <c r="AL277" s="1643"/>
      <c r="AM277" s="1643"/>
    </row>
    <row r="278" spans="1:39" ht="15.75" customHeight="1" x14ac:dyDescent="0.3">
      <c r="A278" s="1643"/>
      <c r="B278" s="1643"/>
      <c r="C278" s="1643"/>
      <c r="D278" s="1643"/>
      <c r="E278" s="1643"/>
      <c r="F278" s="1643"/>
      <c r="G278" s="1643"/>
      <c r="H278" s="1643"/>
      <c r="I278" s="1643"/>
      <c r="J278" s="1643"/>
      <c r="K278" s="1643"/>
      <c r="L278" s="1643"/>
      <c r="M278" s="1643"/>
      <c r="N278" s="1643"/>
      <c r="O278" s="1643"/>
      <c r="P278" s="1643"/>
      <c r="Q278" s="1643"/>
      <c r="R278" s="1643"/>
      <c r="S278" s="1643"/>
      <c r="T278" s="1643"/>
      <c r="U278" s="1643"/>
      <c r="V278" s="1643"/>
      <c r="W278" s="1643"/>
      <c r="X278" s="1643"/>
      <c r="Y278" s="1643"/>
      <c r="Z278" s="1643"/>
      <c r="AA278" s="1643"/>
      <c r="AB278" s="1643"/>
      <c r="AC278" s="1643"/>
      <c r="AD278" s="1643"/>
      <c r="AE278" s="1643"/>
      <c r="AF278" s="1643"/>
      <c r="AG278" s="1643"/>
      <c r="AH278" s="1643"/>
      <c r="AI278" s="1643"/>
      <c r="AJ278" s="1643"/>
      <c r="AK278" s="1643"/>
      <c r="AL278" s="1643"/>
      <c r="AM278" s="1643"/>
    </row>
    <row r="279" spans="1:39" ht="15.75" customHeight="1" x14ac:dyDescent="0.3">
      <c r="A279" s="1643"/>
      <c r="B279" s="1643"/>
      <c r="C279" s="1643"/>
      <c r="D279" s="1643"/>
      <c r="E279" s="1643"/>
      <c r="F279" s="1643"/>
      <c r="G279" s="1643"/>
      <c r="H279" s="1643"/>
      <c r="I279" s="1643"/>
      <c r="J279" s="1643"/>
      <c r="K279" s="1643"/>
      <c r="L279" s="1643"/>
      <c r="M279" s="1643"/>
      <c r="N279" s="1643"/>
      <c r="O279" s="1643"/>
      <c r="P279" s="1643"/>
      <c r="Q279" s="1643"/>
      <c r="R279" s="1643"/>
      <c r="S279" s="1643"/>
      <c r="T279" s="1643"/>
      <c r="U279" s="1643"/>
      <c r="V279" s="1643"/>
      <c r="W279" s="1643"/>
      <c r="X279" s="1643"/>
      <c r="Y279" s="1643"/>
      <c r="Z279" s="1643"/>
      <c r="AA279" s="1643"/>
      <c r="AB279" s="1643"/>
      <c r="AC279" s="1643"/>
      <c r="AD279" s="1643"/>
      <c r="AE279" s="1643"/>
      <c r="AF279" s="1643"/>
      <c r="AG279" s="1643"/>
      <c r="AH279" s="1643"/>
      <c r="AI279" s="1643"/>
      <c r="AJ279" s="1643"/>
      <c r="AK279" s="1643"/>
      <c r="AL279" s="1643"/>
      <c r="AM279" s="1643"/>
    </row>
    <row r="280" spans="1:39" ht="15.75" customHeight="1" x14ac:dyDescent="0.3">
      <c r="A280" s="1643"/>
      <c r="B280" s="1643"/>
      <c r="C280" s="1643"/>
      <c r="D280" s="1643"/>
      <c r="E280" s="1643"/>
      <c r="F280" s="1643"/>
      <c r="G280" s="1643"/>
      <c r="H280" s="1643"/>
      <c r="I280" s="1643"/>
      <c r="J280" s="1643"/>
      <c r="K280" s="1643"/>
      <c r="L280" s="1643"/>
      <c r="M280" s="1643"/>
      <c r="N280" s="1643"/>
      <c r="O280" s="1643"/>
      <c r="P280" s="1643"/>
      <c r="Q280" s="1643"/>
      <c r="R280" s="1643"/>
      <c r="S280" s="1643"/>
      <c r="T280" s="1643"/>
      <c r="U280" s="1643"/>
      <c r="V280" s="1643"/>
      <c r="W280" s="1643"/>
      <c r="X280" s="1643"/>
      <c r="Y280" s="1643"/>
      <c r="Z280" s="1643"/>
      <c r="AA280" s="1643"/>
      <c r="AB280" s="1643"/>
      <c r="AC280" s="1643"/>
      <c r="AD280" s="1643"/>
      <c r="AE280" s="1643"/>
      <c r="AF280" s="1643"/>
      <c r="AG280" s="1643"/>
      <c r="AH280" s="1643"/>
      <c r="AI280" s="1643"/>
      <c r="AJ280" s="1643"/>
      <c r="AK280" s="1643"/>
      <c r="AL280" s="1643"/>
      <c r="AM280" s="1643"/>
    </row>
    <row r="281" spans="1:39" ht="15.75" customHeight="1" x14ac:dyDescent="0.3">
      <c r="A281" s="1643"/>
      <c r="B281" s="1643"/>
      <c r="C281" s="1643"/>
      <c r="D281" s="1643"/>
      <c r="E281" s="1643"/>
      <c r="F281" s="1643"/>
      <c r="G281" s="1643"/>
      <c r="H281" s="1643"/>
      <c r="I281" s="1643"/>
      <c r="J281" s="1643"/>
      <c r="K281" s="1643"/>
      <c r="L281" s="1643"/>
      <c r="M281" s="1643"/>
      <c r="N281" s="1643"/>
      <c r="O281" s="1643"/>
      <c r="P281" s="1643"/>
      <c r="Q281" s="1643"/>
      <c r="R281" s="1643"/>
      <c r="S281" s="1643"/>
      <c r="T281" s="1643"/>
      <c r="U281" s="1643"/>
      <c r="V281" s="1643"/>
      <c r="W281" s="1643"/>
      <c r="X281" s="1643"/>
      <c r="Y281" s="1643"/>
      <c r="Z281" s="1643"/>
      <c r="AA281" s="1643"/>
      <c r="AB281" s="1643"/>
      <c r="AC281" s="1643"/>
      <c r="AD281" s="1643"/>
      <c r="AE281" s="1643"/>
      <c r="AF281" s="1643"/>
      <c r="AG281" s="1643"/>
      <c r="AH281" s="1643"/>
      <c r="AI281" s="1643"/>
      <c r="AJ281" s="1643"/>
      <c r="AK281" s="1643"/>
      <c r="AL281" s="1643"/>
      <c r="AM281" s="1643"/>
    </row>
    <row r="282" spans="1:39" ht="15.75" customHeight="1" x14ac:dyDescent="0.3">
      <c r="A282" s="1643"/>
      <c r="B282" s="1643"/>
      <c r="C282" s="1643"/>
      <c r="D282" s="1643"/>
      <c r="E282" s="1643"/>
      <c r="F282" s="1643"/>
      <c r="G282" s="1643"/>
      <c r="H282" s="1643"/>
      <c r="I282" s="1643"/>
      <c r="J282" s="1643"/>
      <c r="K282" s="1643"/>
      <c r="L282" s="1643"/>
      <c r="M282" s="1643"/>
      <c r="N282" s="1643"/>
      <c r="O282" s="1643"/>
      <c r="P282" s="1643"/>
      <c r="Q282" s="1643"/>
      <c r="R282" s="1643"/>
      <c r="S282" s="1643"/>
      <c r="T282" s="1643"/>
      <c r="U282" s="1643"/>
      <c r="V282" s="1643"/>
      <c r="W282" s="1643"/>
      <c r="X282" s="1643"/>
      <c r="Y282" s="1643"/>
      <c r="Z282" s="1643"/>
      <c r="AA282" s="1643"/>
      <c r="AB282" s="1643"/>
      <c r="AC282" s="1643"/>
      <c r="AD282" s="1643"/>
      <c r="AE282" s="1643"/>
      <c r="AF282" s="1643"/>
      <c r="AG282" s="1643"/>
      <c r="AH282" s="1643"/>
      <c r="AI282" s="1643"/>
      <c r="AJ282" s="1643"/>
      <c r="AK282" s="1643"/>
      <c r="AL282" s="1643"/>
      <c r="AM282" s="1643"/>
    </row>
    <row r="283" spans="1:39" ht="15.75" customHeight="1" x14ac:dyDescent="0.3">
      <c r="A283" s="1643"/>
      <c r="B283" s="1643"/>
      <c r="C283" s="1643"/>
      <c r="D283" s="1643"/>
      <c r="E283" s="1643"/>
      <c r="F283" s="1643"/>
      <c r="G283" s="1643"/>
      <c r="H283" s="1643"/>
      <c r="I283" s="1643"/>
      <c r="J283" s="1643"/>
      <c r="K283" s="1643"/>
      <c r="L283" s="1643"/>
      <c r="M283" s="1643"/>
      <c r="N283" s="1643"/>
      <c r="O283" s="1643"/>
      <c r="P283" s="1643"/>
      <c r="Q283" s="1643"/>
      <c r="R283" s="1643"/>
      <c r="S283" s="1643"/>
      <c r="T283" s="1643"/>
      <c r="U283" s="1643"/>
      <c r="V283" s="1643"/>
      <c r="W283" s="1643"/>
      <c r="X283" s="1643"/>
      <c r="Y283" s="1643"/>
      <c r="Z283" s="1643"/>
      <c r="AA283" s="1643"/>
      <c r="AB283" s="1643"/>
      <c r="AC283" s="1643"/>
      <c r="AD283" s="1643"/>
      <c r="AE283" s="1643"/>
      <c r="AF283" s="1643"/>
      <c r="AG283" s="1643"/>
      <c r="AH283" s="1643"/>
      <c r="AI283" s="1643"/>
      <c r="AJ283" s="1643"/>
      <c r="AK283" s="1643"/>
      <c r="AL283" s="1643"/>
      <c r="AM283" s="1643"/>
    </row>
    <row r="284" spans="1:39" ht="15.75" customHeight="1" x14ac:dyDescent="0.3">
      <c r="A284" s="1643"/>
      <c r="B284" s="1643"/>
      <c r="C284" s="1643"/>
      <c r="D284" s="1643"/>
      <c r="E284" s="1643"/>
      <c r="F284" s="1643"/>
      <c r="G284" s="1643"/>
      <c r="H284" s="1643"/>
      <c r="I284" s="1643"/>
      <c r="J284" s="1643"/>
      <c r="K284" s="1643"/>
      <c r="L284" s="1643"/>
      <c r="M284" s="1643"/>
      <c r="N284" s="1643"/>
      <c r="O284" s="1643"/>
      <c r="P284" s="1643"/>
      <c r="Q284" s="1643"/>
      <c r="R284" s="1643"/>
      <c r="S284" s="1643"/>
      <c r="T284" s="1643"/>
      <c r="U284" s="1643"/>
      <c r="V284" s="1643"/>
      <c r="W284" s="1643"/>
      <c r="X284" s="1643"/>
      <c r="Y284" s="1643"/>
      <c r="Z284" s="1643"/>
      <c r="AA284" s="1643"/>
      <c r="AB284" s="1643"/>
      <c r="AC284" s="1643"/>
      <c r="AD284" s="1643"/>
      <c r="AE284" s="1643"/>
      <c r="AF284" s="1643"/>
      <c r="AG284" s="1643"/>
      <c r="AH284" s="1643"/>
      <c r="AI284" s="1643"/>
      <c r="AJ284" s="1643"/>
      <c r="AK284" s="1643"/>
      <c r="AL284" s="1643"/>
      <c r="AM284" s="1643"/>
    </row>
    <row r="285" spans="1:39" ht="15.75" customHeight="1" x14ac:dyDescent="0.3">
      <c r="A285" s="1643"/>
      <c r="B285" s="1643"/>
      <c r="C285" s="1643"/>
      <c r="D285" s="1643"/>
      <c r="E285" s="1643"/>
      <c r="F285" s="1643"/>
      <c r="G285" s="1643"/>
      <c r="H285" s="1643"/>
      <c r="I285" s="1643"/>
      <c r="J285" s="1643"/>
      <c r="K285" s="1643"/>
      <c r="L285" s="1643"/>
      <c r="M285" s="1643"/>
      <c r="N285" s="1643"/>
      <c r="O285" s="1643"/>
      <c r="P285" s="1643"/>
      <c r="Q285" s="1643"/>
      <c r="R285" s="1643"/>
      <c r="S285" s="1643"/>
      <c r="T285" s="1643"/>
      <c r="U285" s="1643"/>
      <c r="V285" s="1643"/>
      <c r="W285" s="1643"/>
      <c r="X285" s="1643"/>
      <c r="Y285" s="1643"/>
      <c r="Z285" s="1643"/>
      <c r="AA285" s="1643"/>
      <c r="AB285" s="1643"/>
      <c r="AC285" s="1643"/>
      <c r="AD285" s="1643"/>
      <c r="AE285" s="1643"/>
      <c r="AF285" s="1643"/>
      <c r="AG285" s="1643"/>
      <c r="AH285" s="1643"/>
      <c r="AI285" s="1643"/>
      <c r="AJ285" s="1643"/>
      <c r="AK285" s="1643"/>
      <c r="AL285" s="1643"/>
      <c r="AM285" s="1643"/>
    </row>
    <row r="286" spans="1:39" ht="15.75" customHeight="1" x14ac:dyDescent="0.3">
      <c r="A286" s="1643"/>
      <c r="B286" s="1643"/>
      <c r="C286" s="1643"/>
      <c r="D286" s="1643"/>
      <c r="E286" s="1643"/>
      <c r="F286" s="1643"/>
      <c r="G286" s="1643"/>
      <c r="H286" s="1643"/>
      <c r="I286" s="1643"/>
      <c r="J286" s="1643"/>
      <c r="K286" s="1643"/>
      <c r="L286" s="1643"/>
      <c r="M286" s="1643"/>
      <c r="N286" s="1643"/>
      <c r="O286" s="1643"/>
      <c r="P286" s="1643"/>
      <c r="Q286" s="1643"/>
      <c r="R286" s="1643"/>
      <c r="S286" s="1643"/>
      <c r="T286" s="1643"/>
      <c r="U286" s="1643"/>
      <c r="V286" s="1643"/>
      <c r="W286" s="1643"/>
      <c r="X286" s="1643"/>
      <c r="Y286" s="1643"/>
      <c r="Z286" s="1643"/>
      <c r="AA286" s="1643"/>
      <c r="AB286" s="1643"/>
      <c r="AC286" s="1643"/>
      <c r="AD286" s="1643"/>
      <c r="AE286" s="1643"/>
      <c r="AF286" s="1643"/>
      <c r="AG286" s="1643"/>
      <c r="AH286" s="1643"/>
      <c r="AI286" s="1643"/>
      <c r="AJ286" s="1643"/>
      <c r="AK286" s="1643"/>
      <c r="AL286" s="1643"/>
      <c r="AM286" s="1643"/>
    </row>
    <row r="287" spans="1:39" ht="15.75" customHeight="1" x14ac:dyDescent="0.3">
      <c r="A287" s="1643"/>
      <c r="B287" s="1643"/>
      <c r="C287" s="1643"/>
      <c r="D287" s="1643"/>
      <c r="E287" s="1643"/>
      <c r="F287" s="1643"/>
      <c r="G287" s="1643"/>
      <c r="H287" s="1643"/>
      <c r="I287" s="1643"/>
      <c r="J287" s="1643"/>
      <c r="K287" s="1643"/>
      <c r="L287" s="1643"/>
      <c r="M287" s="1643"/>
      <c r="N287" s="1643"/>
      <c r="O287" s="1643"/>
      <c r="P287" s="1643"/>
      <c r="Q287" s="1643"/>
      <c r="R287" s="1643"/>
      <c r="S287" s="1643"/>
      <c r="T287" s="1643"/>
      <c r="U287" s="1643"/>
      <c r="V287" s="1643"/>
      <c r="W287" s="1643"/>
      <c r="X287" s="1643"/>
      <c r="Y287" s="1643"/>
      <c r="Z287" s="1643"/>
      <c r="AA287" s="1643"/>
      <c r="AB287" s="1643"/>
      <c r="AC287" s="1643"/>
      <c r="AD287" s="1643"/>
      <c r="AE287" s="1643"/>
      <c r="AF287" s="1643"/>
      <c r="AG287" s="1643"/>
      <c r="AH287" s="1643"/>
      <c r="AI287" s="1643"/>
      <c r="AJ287" s="1643"/>
      <c r="AK287" s="1643"/>
      <c r="AL287" s="1643"/>
      <c r="AM287" s="1643"/>
    </row>
    <row r="288" spans="1:39" ht="15.75" customHeight="1" x14ac:dyDescent="0.3">
      <c r="A288" s="1643"/>
      <c r="B288" s="1643"/>
      <c r="C288" s="1643"/>
      <c r="D288" s="1643"/>
      <c r="E288" s="1643"/>
      <c r="F288" s="1643"/>
      <c r="G288" s="1643"/>
      <c r="H288" s="1643"/>
      <c r="I288" s="1643"/>
      <c r="J288" s="1643"/>
      <c r="K288" s="1643"/>
      <c r="L288" s="1643"/>
      <c r="M288" s="1643"/>
      <c r="N288" s="1643"/>
      <c r="O288" s="1643"/>
      <c r="P288" s="1643"/>
      <c r="Q288" s="1643"/>
      <c r="R288" s="1643"/>
      <c r="S288" s="1643"/>
      <c r="T288" s="1643"/>
      <c r="U288" s="1643"/>
      <c r="V288" s="1643"/>
      <c r="W288" s="1643"/>
      <c r="X288" s="1643"/>
      <c r="Y288" s="1643"/>
      <c r="Z288" s="1643"/>
      <c r="AA288" s="1643"/>
      <c r="AB288" s="1643"/>
      <c r="AC288" s="1643"/>
      <c r="AD288" s="1643"/>
      <c r="AE288" s="1643"/>
      <c r="AF288" s="1643"/>
      <c r="AG288" s="1643"/>
      <c r="AH288" s="1643"/>
      <c r="AI288" s="1643"/>
      <c r="AJ288" s="1643"/>
      <c r="AK288" s="1643"/>
      <c r="AL288" s="1643"/>
      <c r="AM288" s="1643"/>
    </row>
    <row r="289" spans="1:39" ht="15.75" customHeight="1" x14ac:dyDescent="0.3">
      <c r="A289" s="1643"/>
      <c r="B289" s="1643"/>
      <c r="C289" s="1643"/>
      <c r="D289" s="1643"/>
      <c r="E289" s="1643"/>
      <c r="F289" s="1643"/>
      <c r="G289" s="1643"/>
      <c r="H289" s="1643"/>
      <c r="I289" s="1643"/>
      <c r="J289" s="1643"/>
      <c r="K289" s="1643"/>
      <c r="L289" s="1643"/>
      <c r="M289" s="1643"/>
      <c r="N289" s="1643"/>
      <c r="O289" s="1643"/>
      <c r="P289" s="1643"/>
      <c r="Q289" s="1643"/>
      <c r="R289" s="1643"/>
      <c r="S289" s="1643"/>
      <c r="T289" s="1643"/>
      <c r="U289" s="1643"/>
      <c r="V289" s="1643"/>
      <c r="W289" s="1643"/>
      <c r="X289" s="1643"/>
      <c r="Y289" s="1643"/>
      <c r="Z289" s="1643"/>
      <c r="AA289" s="1643"/>
      <c r="AB289" s="1643"/>
      <c r="AC289" s="1643"/>
      <c r="AD289" s="1643"/>
      <c r="AE289" s="1643"/>
      <c r="AF289" s="1643"/>
      <c r="AG289" s="1643"/>
      <c r="AH289" s="1643"/>
      <c r="AI289" s="1643"/>
      <c r="AJ289" s="1643"/>
      <c r="AK289" s="1643"/>
      <c r="AL289" s="1643"/>
      <c r="AM289" s="1643"/>
    </row>
    <row r="290" spans="1:39" ht="15.75" customHeight="1" x14ac:dyDescent="0.3">
      <c r="A290" s="1643"/>
      <c r="B290" s="1643"/>
      <c r="C290" s="1643"/>
      <c r="D290" s="1643"/>
      <c r="E290" s="1643"/>
      <c r="F290" s="1643"/>
      <c r="G290" s="1643"/>
      <c r="H290" s="1643"/>
      <c r="I290" s="1643"/>
      <c r="J290" s="1643"/>
      <c r="K290" s="1643"/>
      <c r="L290" s="1643"/>
      <c r="M290" s="1643"/>
      <c r="N290" s="1643"/>
      <c r="O290" s="1643"/>
      <c r="P290" s="1643"/>
      <c r="Q290" s="1643"/>
      <c r="R290" s="1643"/>
      <c r="S290" s="1643"/>
      <c r="T290" s="1643"/>
      <c r="U290" s="1643"/>
      <c r="V290" s="1643"/>
      <c r="W290" s="1643"/>
      <c r="X290" s="1643"/>
      <c r="Y290" s="1643"/>
      <c r="Z290" s="1643"/>
      <c r="AA290" s="1643"/>
      <c r="AB290" s="1643"/>
      <c r="AC290" s="1643"/>
      <c r="AD290" s="1643"/>
      <c r="AE290" s="1643"/>
      <c r="AF290" s="1643"/>
      <c r="AG290" s="1643"/>
      <c r="AH290" s="1643"/>
      <c r="AI290" s="1643"/>
      <c r="AJ290" s="1643"/>
      <c r="AK290" s="1643"/>
      <c r="AL290" s="1643"/>
      <c r="AM290" s="1643"/>
    </row>
    <row r="291" spans="1:39" ht="15.75" customHeight="1" x14ac:dyDescent="0.3">
      <c r="A291" s="1643"/>
      <c r="B291" s="1643"/>
      <c r="C291" s="1643"/>
      <c r="D291" s="1643"/>
      <c r="E291" s="1643"/>
      <c r="F291" s="1643"/>
      <c r="G291" s="1643"/>
      <c r="H291" s="1643"/>
      <c r="I291" s="1643"/>
      <c r="J291" s="1643"/>
      <c r="K291" s="1643"/>
      <c r="L291" s="1643"/>
      <c r="M291" s="1643"/>
      <c r="N291" s="1643"/>
      <c r="O291" s="1643"/>
      <c r="P291" s="1643"/>
      <c r="Q291" s="1643"/>
      <c r="R291" s="1643"/>
      <c r="S291" s="1643"/>
      <c r="T291" s="1643"/>
      <c r="U291" s="1643"/>
      <c r="V291" s="1643"/>
      <c r="W291" s="1643"/>
      <c r="X291" s="1643"/>
      <c r="Y291" s="1643"/>
      <c r="Z291" s="1643"/>
      <c r="AA291" s="1643"/>
      <c r="AB291" s="1643"/>
      <c r="AC291" s="1643"/>
      <c r="AD291" s="1643"/>
      <c r="AE291" s="1643"/>
      <c r="AF291" s="1643"/>
      <c r="AG291" s="1643"/>
      <c r="AH291" s="1643"/>
      <c r="AI291" s="1643"/>
      <c r="AJ291" s="1643"/>
      <c r="AK291" s="1643"/>
      <c r="AL291" s="1643"/>
      <c r="AM291" s="1643"/>
    </row>
    <row r="292" spans="1:39" ht="15.75" customHeight="1" x14ac:dyDescent="0.3">
      <c r="A292" s="1643"/>
      <c r="B292" s="1643"/>
      <c r="C292" s="1643"/>
      <c r="D292" s="1643"/>
      <c r="E292" s="1643"/>
      <c r="F292" s="1643"/>
      <c r="G292" s="1643"/>
      <c r="H292" s="1643"/>
      <c r="I292" s="1643"/>
      <c r="J292" s="1643"/>
      <c r="K292" s="1643"/>
      <c r="L292" s="1643"/>
      <c r="M292" s="1643"/>
      <c r="N292" s="1643"/>
      <c r="O292" s="1643"/>
      <c r="P292" s="1643"/>
      <c r="Q292" s="1643"/>
      <c r="R292" s="1643"/>
      <c r="S292" s="1643"/>
      <c r="T292" s="1643"/>
      <c r="U292" s="1643"/>
      <c r="V292" s="1643"/>
      <c r="W292" s="1643"/>
      <c r="X292" s="1643"/>
      <c r="Y292" s="1643"/>
      <c r="Z292" s="1643"/>
      <c r="AA292" s="1643"/>
      <c r="AB292" s="1643"/>
      <c r="AC292" s="1643"/>
      <c r="AD292" s="1643"/>
      <c r="AE292" s="1643"/>
      <c r="AF292" s="1643"/>
      <c r="AG292" s="1643"/>
      <c r="AH292" s="1643"/>
      <c r="AI292" s="1643"/>
      <c r="AJ292" s="1643"/>
      <c r="AK292" s="1643"/>
      <c r="AL292" s="1643"/>
      <c r="AM292" s="1643"/>
    </row>
    <row r="293" spans="1:39" ht="15.75" customHeight="1" x14ac:dyDescent="0.3">
      <c r="A293" s="1643"/>
      <c r="B293" s="1643"/>
      <c r="C293" s="1643"/>
      <c r="D293" s="1643"/>
      <c r="E293" s="1643"/>
      <c r="F293" s="1643"/>
      <c r="G293" s="1643"/>
      <c r="H293" s="1643"/>
      <c r="I293" s="1643"/>
      <c r="J293" s="1643"/>
      <c r="K293" s="1643"/>
      <c r="L293" s="1643"/>
      <c r="M293" s="1643"/>
      <c r="N293" s="1643"/>
      <c r="O293" s="1643"/>
      <c r="P293" s="1643"/>
      <c r="Q293" s="1643"/>
      <c r="R293" s="1643"/>
      <c r="S293" s="1643"/>
      <c r="T293" s="1643"/>
      <c r="U293" s="1643"/>
      <c r="V293" s="1643"/>
      <c r="W293" s="1643"/>
      <c r="X293" s="1643"/>
      <c r="Y293" s="1643"/>
      <c r="Z293" s="1643"/>
      <c r="AA293" s="1643"/>
      <c r="AB293" s="1643"/>
      <c r="AC293" s="1643"/>
      <c r="AD293" s="1643"/>
      <c r="AE293" s="1643"/>
      <c r="AF293" s="1643"/>
      <c r="AG293" s="1643"/>
      <c r="AH293" s="1643"/>
      <c r="AI293" s="1643"/>
      <c r="AJ293" s="1643"/>
      <c r="AK293" s="1643"/>
      <c r="AL293" s="1643"/>
      <c r="AM293" s="1643"/>
    </row>
    <row r="294" spans="1:39" ht="15.75" customHeight="1" x14ac:dyDescent="0.3">
      <c r="A294" s="1643"/>
      <c r="B294" s="1643"/>
      <c r="C294" s="1643"/>
      <c r="D294" s="1643"/>
      <c r="E294" s="1643"/>
      <c r="F294" s="1643"/>
      <c r="G294" s="1643"/>
      <c r="H294" s="1643"/>
      <c r="I294" s="1643"/>
      <c r="J294" s="1643"/>
      <c r="K294" s="1643"/>
      <c r="L294" s="1643"/>
      <c r="M294" s="1643"/>
      <c r="N294" s="1643"/>
      <c r="O294" s="1643"/>
      <c r="P294" s="1643"/>
      <c r="Q294" s="1643"/>
      <c r="R294" s="1643"/>
      <c r="S294" s="1643"/>
      <c r="T294" s="1643"/>
      <c r="U294" s="1643"/>
      <c r="V294" s="1643"/>
      <c r="W294" s="1643"/>
      <c r="X294" s="1643"/>
      <c r="Y294" s="1643"/>
      <c r="Z294" s="1643"/>
      <c r="AA294" s="1643"/>
      <c r="AB294" s="1643"/>
      <c r="AC294" s="1643"/>
      <c r="AD294" s="1643"/>
      <c r="AE294" s="1643"/>
      <c r="AF294" s="1643"/>
      <c r="AG294" s="1643"/>
      <c r="AH294" s="1643"/>
      <c r="AI294" s="1643"/>
      <c r="AJ294" s="1643"/>
      <c r="AK294" s="1643"/>
      <c r="AL294" s="1643"/>
      <c r="AM294" s="1643"/>
    </row>
    <row r="295" spans="1:39" ht="15.75" customHeight="1" x14ac:dyDescent="0.3">
      <c r="A295" s="1643"/>
      <c r="B295" s="1643"/>
      <c r="C295" s="1643"/>
      <c r="D295" s="1643"/>
      <c r="E295" s="1643"/>
      <c r="F295" s="1643"/>
      <c r="G295" s="1643"/>
      <c r="H295" s="1643"/>
      <c r="I295" s="1643"/>
      <c r="J295" s="1643"/>
      <c r="K295" s="1643"/>
      <c r="L295" s="1643"/>
      <c r="M295" s="1643"/>
      <c r="N295" s="1643"/>
      <c r="O295" s="1643"/>
      <c r="P295" s="1643"/>
      <c r="Q295" s="1643"/>
      <c r="R295" s="1643"/>
      <c r="S295" s="1643"/>
      <c r="T295" s="1643"/>
      <c r="U295" s="1643"/>
      <c r="V295" s="1643"/>
      <c r="W295" s="1643"/>
      <c r="X295" s="1643"/>
      <c r="Y295" s="1643"/>
      <c r="Z295" s="1643"/>
      <c r="AA295" s="1643"/>
      <c r="AB295" s="1643"/>
      <c r="AC295" s="1643"/>
      <c r="AD295" s="1643"/>
      <c r="AE295" s="1643"/>
      <c r="AF295" s="1643"/>
      <c r="AG295" s="1643"/>
      <c r="AH295" s="1643"/>
      <c r="AI295" s="1643"/>
      <c r="AJ295" s="1643"/>
      <c r="AK295" s="1643"/>
      <c r="AL295" s="1643"/>
      <c r="AM295" s="1643"/>
    </row>
    <row r="296" spans="1:39" ht="15.75" customHeight="1" x14ac:dyDescent="0.3">
      <c r="A296" s="1643"/>
      <c r="B296" s="1643"/>
      <c r="C296" s="1643"/>
      <c r="D296" s="1643"/>
      <c r="E296" s="1643"/>
      <c r="F296" s="1643"/>
      <c r="G296" s="1643"/>
      <c r="H296" s="1643"/>
      <c r="I296" s="1643"/>
      <c r="J296" s="1643"/>
      <c r="K296" s="1643"/>
      <c r="L296" s="1643"/>
      <c r="M296" s="1643"/>
      <c r="N296" s="1643"/>
      <c r="O296" s="1643"/>
      <c r="P296" s="1643"/>
      <c r="Q296" s="1643"/>
      <c r="R296" s="1643"/>
      <c r="S296" s="1643"/>
      <c r="T296" s="1643"/>
      <c r="U296" s="1643"/>
      <c r="V296" s="1643"/>
      <c r="W296" s="1643"/>
      <c r="X296" s="1643"/>
      <c r="Y296" s="1643"/>
      <c r="Z296" s="1643"/>
      <c r="AA296" s="1643"/>
      <c r="AB296" s="1643"/>
      <c r="AC296" s="1643"/>
      <c r="AD296" s="1643"/>
      <c r="AE296" s="1643"/>
      <c r="AF296" s="1643"/>
      <c r="AG296" s="1643"/>
      <c r="AH296" s="1643"/>
      <c r="AI296" s="1643"/>
      <c r="AJ296" s="1643"/>
      <c r="AK296" s="1643"/>
      <c r="AL296" s="1643"/>
      <c r="AM296" s="1643"/>
    </row>
    <row r="297" spans="1:39" ht="15.75" customHeight="1" x14ac:dyDescent="0.3">
      <c r="A297" s="1643"/>
      <c r="B297" s="1643"/>
      <c r="C297" s="1643"/>
      <c r="D297" s="1643"/>
      <c r="E297" s="1643"/>
      <c r="F297" s="1643"/>
      <c r="G297" s="1643"/>
      <c r="H297" s="1643"/>
      <c r="I297" s="1643"/>
      <c r="J297" s="1643"/>
      <c r="K297" s="1643"/>
      <c r="L297" s="1643"/>
      <c r="M297" s="1643"/>
      <c r="N297" s="1643"/>
      <c r="O297" s="1643"/>
      <c r="P297" s="1643"/>
      <c r="Q297" s="1643"/>
      <c r="R297" s="1643"/>
      <c r="S297" s="1643"/>
      <c r="T297" s="1643"/>
      <c r="U297" s="1643"/>
      <c r="V297" s="1643"/>
      <c r="W297" s="1643"/>
      <c r="X297" s="1643"/>
      <c r="Y297" s="1643"/>
      <c r="Z297" s="1643"/>
      <c r="AA297" s="1643"/>
      <c r="AB297" s="1643"/>
      <c r="AC297" s="1643"/>
      <c r="AD297" s="1643"/>
      <c r="AE297" s="1643"/>
      <c r="AF297" s="1643"/>
      <c r="AG297" s="1643"/>
      <c r="AH297" s="1643"/>
      <c r="AI297" s="1643"/>
      <c r="AJ297" s="1643"/>
      <c r="AK297" s="1643"/>
      <c r="AL297" s="1643"/>
      <c r="AM297" s="1643"/>
    </row>
    <row r="298" spans="1:39" ht="15.75" customHeight="1" x14ac:dyDescent="0.3">
      <c r="A298" s="1643"/>
      <c r="B298" s="1643"/>
      <c r="C298" s="1643"/>
      <c r="D298" s="1643"/>
      <c r="E298" s="1643"/>
      <c r="F298" s="1643"/>
      <c r="G298" s="1643"/>
      <c r="H298" s="1643"/>
      <c r="I298" s="1643"/>
      <c r="J298" s="1643"/>
      <c r="K298" s="1643"/>
      <c r="L298" s="1643"/>
      <c r="M298" s="1643"/>
      <c r="N298" s="1643"/>
      <c r="O298" s="1643"/>
      <c r="P298" s="1643"/>
      <c r="Q298" s="1643"/>
      <c r="R298" s="1643"/>
      <c r="S298" s="1643"/>
      <c r="T298" s="1643"/>
      <c r="U298" s="1643"/>
      <c r="V298" s="1643"/>
      <c r="W298" s="1643"/>
      <c r="X298" s="1643"/>
      <c r="Y298" s="1643"/>
      <c r="Z298" s="1643"/>
      <c r="AA298" s="1643"/>
      <c r="AB298" s="1643"/>
      <c r="AC298" s="1643"/>
      <c r="AD298" s="1643"/>
      <c r="AE298" s="1643"/>
      <c r="AF298" s="1643"/>
      <c r="AG298" s="1643"/>
      <c r="AH298" s="1643"/>
      <c r="AI298" s="1643"/>
      <c r="AJ298" s="1643"/>
      <c r="AK298" s="1643"/>
      <c r="AL298" s="1643"/>
      <c r="AM298" s="1643"/>
    </row>
    <row r="299" spans="1:39" ht="15.75" customHeight="1" x14ac:dyDescent="0.3">
      <c r="A299" s="1643"/>
      <c r="B299" s="1643"/>
      <c r="C299" s="1643"/>
      <c r="D299" s="1643"/>
      <c r="E299" s="1643"/>
      <c r="F299" s="1643"/>
      <c r="G299" s="1643"/>
      <c r="H299" s="1643"/>
      <c r="I299" s="1643"/>
      <c r="J299" s="1643"/>
      <c r="K299" s="1643"/>
      <c r="L299" s="1643"/>
      <c r="M299" s="1643"/>
      <c r="N299" s="1643"/>
      <c r="O299" s="1643"/>
      <c r="P299" s="1643"/>
      <c r="Q299" s="1643"/>
      <c r="R299" s="1643"/>
      <c r="S299" s="1643"/>
      <c r="T299" s="1643"/>
      <c r="U299" s="1643"/>
      <c r="V299" s="1643"/>
      <c r="W299" s="1643"/>
      <c r="X299" s="1643"/>
      <c r="Y299" s="1643"/>
      <c r="Z299" s="1643"/>
      <c r="AA299" s="1643"/>
      <c r="AB299" s="1643"/>
      <c r="AC299" s="1643"/>
      <c r="AD299" s="1643"/>
      <c r="AE299" s="1643"/>
      <c r="AF299" s="1643"/>
      <c r="AG299" s="1643"/>
      <c r="AH299" s="1643"/>
      <c r="AI299" s="1643"/>
      <c r="AJ299" s="1643"/>
      <c r="AK299" s="1643"/>
      <c r="AL299" s="1643"/>
      <c r="AM299" s="1643"/>
    </row>
    <row r="300" spans="1:39" ht="15.75" customHeight="1" x14ac:dyDescent="0.3">
      <c r="A300" s="1643"/>
      <c r="B300" s="1643"/>
      <c r="C300" s="1643"/>
      <c r="D300" s="1643"/>
      <c r="E300" s="1643"/>
      <c r="F300" s="1643"/>
      <c r="G300" s="1643"/>
      <c r="H300" s="1643"/>
      <c r="I300" s="1643"/>
      <c r="J300" s="1643"/>
      <c r="K300" s="1643"/>
      <c r="L300" s="1643"/>
      <c r="M300" s="1643"/>
      <c r="N300" s="1643"/>
      <c r="O300" s="1643"/>
      <c r="P300" s="1643"/>
      <c r="Q300" s="1643"/>
      <c r="R300" s="1643"/>
      <c r="S300" s="1643"/>
      <c r="T300" s="1643"/>
      <c r="U300" s="1643"/>
      <c r="V300" s="1643"/>
      <c r="W300" s="1643"/>
      <c r="X300" s="1643"/>
      <c r="Y300" s="1643"/>
      <c r="Z300" s="1643"/>
      <c r="AA300" s="1643"/>
      <c r="AB300" s="1643"/>
      <c r="AC300" s="1643"/>
      <c r="AD300" s="1643"/>
      <c r="AE300" s="1643"/>
      <c r="AF300" s="1643"/>
      <c r="AG300" s="1643"/>
      <c r="AH300" s="1643"/>
      <c r="AI300" s="1643"/>
      <c r="AJ300" s="1643"/>
      <c r="AK300" s="1643"/>
      <c r="AL300" s="1643"/>
      <c r="AM300" s="1643"/>
    </row>
    <row r="301" spans="1:39" ht="15.75" customHeight="1" x14ac:dyDescent="0.3">
      <c r="A301" s="1643"/>
      <c r="B301" s="1643"/>
      <c r="C301" s="1643"/>
      <c r="D301" s="1643"/>
      <c r="E301" s="1643"/>
      <c r="F301" s="1643"/>
      <c r="G301" s="1643"/>
      <c r="H301" s="1643"/>
      <c r="I301" s="1643"/>
      <c r="J301" s="1643"/>
      <c r="K301" s="1643"/>
      <c r="L301" s="1643"/>
      <c r="M301" s="1643"/>
      <c r="N301" s="1643"/>
      <c r="O301" s="1643"/>
      <c r="P301" s="1643"/>
      <c r="Q301" s="1643"/>
      <c r="R301" s="1643"/>
      <c r="S301" s="1643"/>
      <c r="T301" s="1643"/>
      <c r="U301" s="1643"/>
      <c r="V301" s="1643"/>
      <c r="W301" s="1643"/>
      <c r="X301" s="1643"/>
      <c r="Y301" s="1643"/>
      <c r="Z301" s="1643"/>
      <c r="AA301" s="1643"/>
      <c r="AB301" s="1643"/>
      <c r="AC301" s="1643"/>
      <c r="AD301" s="1643"/>
      <c r="AE301" s="1643"/>
      <c r="AF301" s="1643"/>
      <c r="AG301" s="1643"/>
      <c r="AH301" s="1643"/>
      <c r="AI301" s="1643"/>
      <c r="AJ301" s="1643"/>
      <c r="AK301" s="1643"/>
      <c r="AL301" s="1643"/>
      <c r="AM301" s="1643"/>
    </row>
    <row r="302" spans="1:39" ht="15.75" customHeight="1" x14ac:dyDescent="0.3">
      <c r="A302" s="1643"/>
      <c r="B302" s="1643"/>
      <c r="C302" s="1643"/>
      <c r="D302" s="1643"/>
      <c r="E302" s="1643"/>
      <c r="F302" s="1643"/>
      <c r="G302" s="1643"/>
      <c r="H302" s="1643"/>
      <c r="I302" s="1643"/>
      <c r="J302" s="1643"/>
      <c r="K302" s="1643"/>
      <c r="L302" s="1643"/>
      <c r="M302" s="1643"/>
      <c r="N302" s="1643"/>
      <c r="O302" s="1643"/>
      <c r="P302" s="1643"/>
      <c r="Q302" s="1643"/>
      <c r="R302" s="1643"/>
      <c r="S302" s="1643"/>
      <c r="T302" s="1643"/>
      <c r="U302" s="1643"/>
      <c r="V302" s="1643"/>
      <c r="W302" s="1643"/>
      <c r="X302" s="1643"/>
      <c r="Y302" s="1643"/>
      <c r="Z302" s="1643"/>
      <c r="AA302" s="1643"/>
      <c r="AB302" s="1643"/>
      <c r="AC302" s="1643"/>
      <c r="AD302" s="1643"/>
      <c r="AE302" s="1643"/>
      <c r="AF302" s="1643"/>
      <c r="AG302" s="1643"/>
      <c r="AH302" s="1643"/>
      <c r="AI302" s="1643"/>
      <c r="AJ302" s="1643"/>
      <c r="AK302" s="1643"/>
      <c r="AL302" s="1643"/>
      <c r="AM302" s="1643"/>
    </row>
    <row r="303" spans="1:39" ht="15.75" customHeight="1" x14ac:dyDescent="0.3">
      <c r="A303" s="1643"/>
      <c r="B303" s="1643"/>
      <c r="C303" s="1643"/>
      <c r="D303" s="1643"/>
      <c r="E303" s="1643"/>
      <c r="F303" s="1643"/>
      <c r="G303" s="1643"/>
      <c r="H303" s="1643"/>
      <c r="I303" s="1643"/>
      <c r="J303" s="1643"/>
      <c r="K303" s="1643"/>
      <c r="L303" s="1643"/>
      <c r="M303" s="1643"/>
      <c r="N303" s="1643"/>
      <c r="O303" s="1643"/>
      <c r="P303" s="1643"/>
      <c r="Q303" s="1643"/>
      <c r="R303" s="1643"/>
      <c r="S303" s="1643"/>
      <c r="T303" s="1643"/>
      <c r="U303" s="1643"/>
      <c r="V303" s="1643"/>
      <c r="W303" s="1643"/>
      <c r="X303" s="1643"/>
      <c r="Y303" s="1643"/>
      <c r="Z303" s="1643"/>
      <c r="AA303" s="1643"/>
      <c r="AB303" s="1643"/>
      <c r="AC303" s="1643"/>
      <c r="AD303" s="1643"/>
      <c r="AE303" s="1643"/>
      <c r="AF303" s="1643"/>
      <c r="AG303" s="1643"/>
      <c r="AH303" s="1643"/>
      <c r="AI303" s="1643"/>
      <c r="AJ303" s="1643"/>
      <c r="AK303" s="1643"/>
      <c r="AL303" s="1643"/>
      <c r="AM303" s="1643"/>
    </row>
    <row r="304" spans="1:39" ht="15.75" customHeight="1" x14ac:dyDescent="0.3">
      <c r="A304" s="1643"/>
      <c r="B304" s="1643"/>
      <c r="C304" s="1643"/>
      <c r="D304" s="1643"/>
      <c r="E304" s="1643"/>
      <c r="F304" s="1643"/>
      <c r="G304" s="1643"/>
      <c r="H304" s="1643"/>
      <c r="I304" s="1643"/>
      <c r="J304" s="1643"/>
      <c r="K304" s="1643"/>
      <c r="L304" s="1643"/>
      <c r="M304" s="1643"/>
      <c r="N304" s="1643"/>
      <c r="O304" s="1643"/>
      <c r="P304" s="1643"/>
      <c r="Q304" s="1643"/>
      <c r="R304" s="1643"/>
      <c r="S304" s="1643"/>
      <c r="T304" s="1643"/>
      <c r="U304" s="1643"/>
      <c r="V304" s="1643"/>
      <c r="W304" s="1643"/>
      <c r="X304" s="1643"/>
      <c r="Y304" s="1643"/>
      <c r="Z304" s="1643"/>
      <c r="AA304" s="1643"/>
      <c r="AB304" s="1643"/>
      <c r="AC304" s="1643"/>
      <c r="AD304" s="1643"/>
      <c r="AE304" s="1643"/>
      <c r="AF304" s="1643"/>
      <c r="AG304" s="1643"/>
      <c r="AH304" s="1643"/>
      <c r="AI304" s="1643"/>
      <c r="AJ304" s="1643"/>
      <c r="AK304" s="1643"/>
      <c r="AL304" s="1643"/>
      <c r="AM304" s="1643"/>
    </row>
    <row r="305" spans="1:39" ht="15.75" customHeight="1" x14ac:dyDescent="0.3">
      <c r="A305" s="1643"/>
      <c r="B305" s="1643"/>
      <c r="C305" s="1643"/>
      <c r="D305" s="1643"/>
      <c r="E305" s="1643"/>
      <c r="F305" s="1643"/>
      <c r="G305" s="1643"/>
      <c r="H305" s="1643"/>
      <c r="I305" s="1643"/>
      <c r="J305" s="1643"/>
      <c r="K305" s="1643"/>
      <c r="L305" s="1643"/>
      <c r="M305" s="1643"/>
      <c r="N305" s="1643"/>
      <c r="O305" s="1643"/>
      <c r="P305" s="1643"/>
      <c r="Q305" s="1643"/>
      <c r="R305" s="1643"/>
      <c r="S305" s="1643"/>
      <c r="T305" s="1643"/>
      <c r="U305" s="1643"/>
      <c r="V305" s="1643"/>
      <c r="W305" s="1643"/>
      <c r="X305" s="1643"/>
      <c r="Y305" s="1643"/>
      <c r="Z305" s="1643"/>
      <c r="AA305" s="1643"/>
      <c r="AB305" s="1643"/>
      <c r="AC305" s="1643"/>
      <c r="AD305" s="1643"/>
      <c r="AE305" s="1643"/>
      <c r="AF305" s="1643"/>
      <c r="AG305" s="1643"/>
      <c r="AH305" s="1643"/>
      <c r="AI305" s="1643"/>
      <c r="AJ305" s="1643"/>
      <c r="AK305" s="1643"/>
      <c r="AL305" s="1643"/>
      <c r="AM305" s="1643"/>
    </row>
    <row r="306" spans="1:39" ht="15.75" customHeight="1" x14ac:dyDescent="0.3">
      <c r="A306" s="1643"/>
      <c r="B306" s="1643"/>
      <c r="C306" s="1643"/>
      <c r="D306" s="1643"/>
      <c r="E306" s="1643"/>
      <c r="F306" s="1643"/>
      <c r="G306" s="1643"/>
      <c r="H306" s="1643"/>
      <c r="I306" s="1643"/>
      <c r="J306" s="1643"/>
      <c r="K306" s="1643"/>
      <c r="L306" s="1643"/>
      <c r="M306" s="1643"/>
      <c r="N306" s="1643"/>
      <c r="O306" s="1643"/>
      <c r="P306" s="1643"/>
      <c r="Q306" s="1643"/>
      <c r="R306" s="1643"/>
      <c r="S306" s="1643"/>
      <c r="T306" s="1643"/>
      <c r="U306" s="1643"/>
      <c r="V306" s="1643"/>
      <c r="W306" s="1643"/>
      <c r="X306" s="1643"/>
      <c r="Y306" s="1643"/>
      <c r="Z306" s="1643"/>
      <c r="AA306" s="1643"/>
      <c r="AB306" s="1643"/>
      <c r="AC306" s="1643"/>
      <c r="AD306" s="1643"/>
      <c r="AE306" s="1643"/>
      <c r="AF306" s="1643"/>
      <c r="AG306" s="1643"/>
      <c r="AH306" s="1643"/>
      <c r="AI306" s="1643"/>
      <c r="AJ306" s="1643"/>
      <c r="AK306" s="1643"/>
      <c r="AL306" s="1643"/>
      <c r="AM306" s="1643"/>
    </row>
    <row r="307" spans="1:39" ht="15.75" customHeight="1" x14ac:dyDescent="0.3">
      <c r="A307" s="1643"/>
      <c r="B307" s="1643"/>
      <c r="C307" s="1643"/>
      <c r="D307" s="1643"/>
      <c r="E307" s="1643"/>
      <c r="F307" s="1643"/>
      <c r="G307" s="1643"/>
      <c r="H307" s="1643"/>
      <c r="I307" s="1643"/>
      <c r="J307" s="1643"/>
      <c r="K307" s="1643"/>
      <c r="L307" s="1643"/>
      <c r="M307" s="1643"/>
      <c r="N307" s="1643"/>
      <c r="O307" s="1643"/>
      <c r="P307" s="1643"/>
      <c r="Q307" s="1643"/>
      <c r="R307" s="1643"/>
      <c r="S307" s="1643"/>
      <c r="T307" s="1643"/>
      <c r="U307" s="1643"/>
      <c r="V307" s="1643"/>
      <c r="W307" s="1643"/>
      <c r="X307" s="1643"/>
      <c r="Y307" s="1643"/>
      <c r="Z307" s="1643"/>
      <c r="AA307" s="1643"/>
      <c r="AB307" s="1643"/>
      <c r="AC307" s="1643"/>
      <c r="AD307" s="1643"/>
      <c r="AE307" s="1643"/>
      <c r="AF307" s="1643"/>
      <c r="AG307" s="1643"/>
      <c r="AH307" s="1643"/>
      <c r="AI307" s="1643"/>
      <c r="AJ307" s="1643"/>
      <c r="AK307" s="1643"/>
      <c r="AL307" s="1643"/>
      <c r="AM307" s="1643"/>
    </row>
    <row r="308" spans="1:39" ht="15.75" customHeight="1" x14ac:dyDescent="0.3">
      <c r="A308" s="1643"/>
      <c r="B308" s="1643"/>
      <c r="C308" s="1643"/>
      <c r="D308" s="1643"/>
      <c r="E308" s="1643"/>
      <c r="F308" s="1643"/>
      <c r="G308" s="1643"/>
      <c r="H308" s="1643"/>
      <c r="I308" s="1643"/>
      <c r="J308" s="1643"/>
      <c r="K308" s="1643"/>
      <c r="L308" s="1643"/>
      <c r="M308" s="1643"/>
      <c r="N308" s="1643"/>
      <c r="O308" s="1643"/>
      <c r="P308" s="1643"/>
      <c r="Q308" s="1643"/>
      <c r="R308" s="1643"/>
      <c r="S308" s="1643"/>
      <c r="T308" s="1643"/>
      <c r="U308" s="1643"/>
      <c r="V308" s="1643"/>
      <c r="W308" s="1643"/>
      <c r="X308" s="1643"/>
      <c r="Y308" s="1643"/>
      <c r="Z308" s="1643"/>
      <c r="AA308" s="1643"/>
      <c r="AB308" s="1643"/>
      <c r="AC308" s="1643"/>
      <c r="AD308" s="1643"/>
      <c r="AE308" s="1643"/>
      <c r="AF308" s="1643"/>
      <c r="AG308" s="1643"/>
      <c r="AH308" s="1643"/>
      <c r="AI308" s="1643"/>
      <c r="AJ308" s="1643"/>
      <c r="AK308" s="1643"/>
      <c r="AL308" s="1643"/>
      <c r="AM308" s="1643"/>
    </row>
    <row r="309" spans="1:39" ht="15.75" customHeight="1" x14ac:dyDescent="0.3">
      <c r="A309" s="1643"/>
      <c r="B309" s="1643"/>
      <c r="C309" s="1643"/>
      <c r="D309" s="1643"/>
      <c r="E309" s="1643"/>
      <c r="F309" s="1643"/>
      <c r="G309" s="1643"/>
      <c r="H309" s="1643"/>
      <c r="I309" s="1643"/>
      <c r="J309" s="1643"/>
      <c r="K309" s="1643"/>
      <c r="L309" s="1643"/>
      <c r="M309" s="1643"/>
      <c r="N309" s="1643"/>
      <c r="O309" s="1643"/>
      <c r="P309" s="1643"/>
      <c r="Q309" s="1643"/>
      <c r="R309" s="1643"/>
      <c r="S309" s="1643"/>
      <c r="T309" s="1643"/>
      <c r="U309" s="1643"/>
      <c r="V309" s="1643"/>
      <c r="W309" s="1643"/>
      <c r="X309" s="1643"/>
      <c r="Y309" s="1643"/>
      <c r="Z309" s="1643"/>
      <c r="AA309" s="1643"/>
      <c r="AB309" s="1643"/>
      <c r="AC309" s="1643"/>
      <c r="AD309" s="1643"/>
      <c r="AE309" s="1643"/>
      <c r="AF309" s="1643"/>
      <c r="AG309" s="1643"/>
      <c r="AH309" s="1643"/>
      <c r="AI309" s="1643"/>
      <c r="AJ309" s="1643"/>
      <c r="AK309" s="1643"/>
      <c r="AL309" s="1643"/>
      <c r="AM309" s="1643"/>
    </row>
    <row r="310" spans="1:39" ht="15.75" customHeight="1" x14ac:dyDescent="0.3">
      <c r="A310" s="1643"/>
      <c r="B310" s="1643"/>
      <c r="C310" s="1643"/>
      <c r="D310" s="1643"/>
      <c r="E310" s="1643"/>
      <c r="F310" s="1643"/>
      <c r="G310" s="1643"/>
      <c r="H310" s="1643"/>
      <c r="I310" s="1643"/>
      <c r="J310" s="1643"/>
      <c r="K310" s="1643"/>
      <c r="L310" s="1643"/>
      <c r="M310" s="1643"/>
      <c r="N310" s="1643"/>
      <c r="O310" s="1643"/>
      <c r="P310" s="1643"/>
      <c r="Q310" s="1643"/>
      <c r="R310" s="1643"/>
      <c r="S310" s="1643"/>
      <c r="T310" s="1643"/>
      <c r="U310" s="1643"/>
      <c r="V310" s="1643"/>
      <c r="W310" s="1643"/>
      <c r="X310" s="1643"/>
      <c r="Y310" s="1643"/>
      <c r="Z310" s="1643"/>
      <c r="AA310" s="1643"/>
      <c r="AB310" s="1643"/>
      <c r="AC310" s="1643"/>
      <c r="AD310" s="1643"/>
      <c r="AE310" s="1643"/>
      <c r="AF310" s="1643"/>
      <c r="AG310" s="1643"/>
      <c r="AH310" s="1643"/>
      <c r="AI310" s="1643"/>
      <c r="AJ310" s="1643"/>
      <c r="AK310" s="1643"/>
      <c r="AL310" s="1643"/>
      <c r="AM310" s="1643"/>
    </row>
    <row r="311" spans="1:39" ht="15.75" customHeight="1" x14ac:dyDescent="0.3">
      <c r="A311" s="1643"/>
      <c r="B311" s="1643"/>
      <c r="C311" s="1643"/>
      <c r="D311" s="1643"/>
      <c r="E311" s="1643"/>
      <c r="F311" s="1643"/>
      <c r="G311" s="1643"/>
      <c r="H311" s="1643"/>
      <c r="I311" s="1643"/>
      <c r="J311" s="1643"/>
      <c r="K311" s="1643"/>
      <c r="L311" s="1643"/>
      <c r="M311" s="1643"/>
      <c r="N311" s="1643"/>
      <c r="O311" s="1643"/>
      <c r="P311" s="1643"/>
      <c r="Q311" s="1643"/>
      <c r="R311" s="1643"/>
      <c r="S311" s="1643"/>
      <c r="T311" s="1643"/>
      <c r="U311" s="1643"/>
      <c r="V311" s="1643"/>
      <c r="W311" s="1643"/>
      <c r="X311" s="1643"/>
      <c r="Y311" s="1643"/>
      <c r="Z311" s="1643"/>
      <c r="AA311" s="1643"/>
      <c r="AB311" s="1643"/>
      <c r="AC311" s="1643"/>
      <c r="AD311" s="1643"/>
      <c r="AE311" s="1643"/>
      <c r="AF311" s="1643"/>
      <c r="AG311" s="1643"/>
      <c r="AH311" s="1643"/>
      <c r="AI311" s="1643"/>
      <c r="AJ311" s="1643"/>
      <c r="AK311" s="1643"/>
      <c r="AL311" s="1643"/>
      <c r="AM311" s="1643"/>
    </row>
    <row r="312" spans="1:39" ht="15.75" customHeight="1" x14ac:dyDescent="0.3">
      <c r="A312" s="1643"/>
      <c r="B312" s="1643"/>
      <c r="C312" s="1643"/>
      <c r="D312" s="1643"/>
      <c r="E312" s="1643"/>
      <c r="F312" s="1643"/>
      <c r="G312" s="1643"/>
      <c r="H312" s="1643"/>
      <c r="I312" s="1643"/>
      <c r="J312" s="1643"/>
      <c r="K312" s="1643"/>
      <c r="L312" s="1643"/>
      <c r="M312" s="1643"/>
      <c r="N312" s="1643"/>
      <c r="O312" s="1643"/>
      <c r="P312" s="1643"/>
      <c r="Q312" s="1643"/>
      <c r="R312" s="1643"/>
      <c r="S312" s="1643"/>
      <c r="T312" s="1643"/>
      <c r="U312" s="1643"/>
      <c r="V312" s="1643"/>
      <c r="W312" s="1643"/>
      <c r="X312" s="1643"/>
      <c r="Y312" s="1643"/>
      <c r="Z312" s="1643"/>
      <c r="AA312" s="1643"/>
      <c r="AB312" s="1643"/>
      <c r="AC312" s="1643"/>
      <c r="AD312" s="1643"/>
      <c r="AE312" s="1643"/>
      <c r="AF312" s="1643"/>
      <c r="AG312" s="1643"/>
      <c r="AH312" s="1643"/>
      <c r="AI312" s="1643"/>
      <c r="AJ312" s="1643"/>
      <c r="AK312" s="1643"/>
      <c r="AL312" s="1643"/>
      <c r="AM312" s="1643"/>
    </row>
    <row r="313" spans="1:39" ht="15.75" customHeight="1" x14ac:dyDescent="0.3">
      <c r="A313" s="1643"/>
      <c r="B313" s="1643"/>
      <c r="C313" s="1643"/>
      <c r="D313" s="1643"/>
      <c r="E313" s="1643"/>
      <c r="F313" s="1643"/>
      <c r="G313" s="1643"/>
      <c r="H313" s="1643"/>
      <c r="I313" s="1643"/>
      <c r="J313" s="1643"/>
      <c r="K313" s="1643"/>
      <c r="L313" s="1643"/>
      <c r="M313" s="1643"/>
      <c r="N313" s="1643"/>
      <c r="O313" s="1643"/>
      <c r="P313" s="1643"/>
      <c r="Q313" s="1643"/>
      <c r="R313" s="1643"/>
      <c r="S313" s="1643"/>
      <c r="T313" s="1643"/>
      <c r="U313" s="1643"/>
      <c r="V313" s="1643"/>
      <c r="W313" s="1643"/>
      <c r="X313" s="1643"/>
      <c r="Y313" s="1643"/>
      <c r="Z313" s="1643"/>
      <c r="AA313" s="1643"/>
      <c r="AB313" s="1643"/>
      <c r="AC313" s="1643"/>
      <c r="AD313" s="1643"/>
      <c r="AE313" s="1643"/>
      <c r="AF313" s="1643"/>
      <c r="AG313" s="1643"/>
      <c r="AH313" s="1643"/>
      <c r="AI313" s="1643"/>
      <c r="AJ313" s="1643"/>
      <c r="AK313" s="1643"/>
      <c r="AL313" s="1643"/>
      <c r="AM313" s="1643"/>
    </row>
    <row r="314" spans="1:39" ht="15.75" customHeight="1" x14ac:dyDescent="0.3">
      <c r="A314" s="1643"/>
      <c r="B314" s="1643"/>
      <c r="C314" s="1643"/>
      <c r="D314" s="1643"/>
      <c r="E314" s="1643"/>
      <c r="F314" s="1643"/>
      <c r="G314" s="1643"/>
      <c r="H314" s="1643"/>
      <c r="I314" s="1643"/>
      <c r="J314" s="1643"/>
      <c r="K314" s="1643"/>
      <c r="L314" s="1643"/>
      <c r="M314" s="1643"/>
      <c r="N314" s="1643"/>
      <c r="O314" s="1643"/>
      <c r="P314" s="1643"/>
      <c r="Q314" s="1643"/>
      <c r="R314" s="1643"/>
      <c r="S314" s="1643"/>
      <c r="T314" s="1643"/>
      <c r="U314" s="1643"/>
      <c r="V314" s="1643"/>
      <c r="W314" s="1643"/>
      <c r="X314" s="1643"/>
      <c r="Y314" s="1643"/>
      <c r="Z314" s="1643"/>
      <c r="AA314" s="1643"/>
      <c r="AB314" s="1643"/>
      <c r="AC314" s="1643"/>
      <c r="AD314" s="1643"/>
      <c r="AE314" s="1643"/>
      <c r="AF314" s="1643"/>
      <c r="AG314" s="1643"/>
      <c r="AH314" s="1643"/>
      <c r="AI314" s="1643"/>
      <c r="AJ314" s="1643"/>
      <c r="AK314" s="1643"/>
      <c r="AL314" s="1643"/>
      <c r="AM314" s="1643"/>
    </row>
    <row r="315" spans="1:39" ht="15.75" customHeight="1" x14ac:dyDescent="0.3">
      <c r="A315" s="1643"/>
      <c r="B315" s="1643"/>
      <c r="C315" s="1643"/>
      <c r="D315" s="1643"/>
      <c r="E315" s="1643"/>
      <c r="F315" s="1643"/>
      <c r="G315" s="1643"/>
      <c r="H315" s="1643"/>
      <c r="I315" s="1643"/>
      <c r="J315" s="1643"/>
      <c r="K315" s="1643"/>
      <c r="L315" s="1643"/>
      <c r="M315" s="1643"/>
      <c r="N315" s="1643"/>
      <c r="O315" s="1643"/>
      <c r="P315" s="1643"/>
      <c r="Q315" s="1643"/>
      <c r="R315" s="1643"/>
      <c r="S315" s="1643"/>
      <c r="T315" s="1643"/>
      <c r="U315" s="1643"/>
      <c r="V315" s="1643"/>
      <c r="W315" s="1643"/>
      <c r="X315" s="1643"/>
      <c r="Y315" s="1643"/>
      <c r="Z315" s="1643"/>
      <c r="AA315" s="1643"/>
      <c r="AB315" s="1643"/>
      <c r="AC315" s="1643"/>
      <c r="AD315" s="1643"/>
      <c r="AE315" s="1643"/>
      <c r="AF315" s="1643"/>
      <c r="AG315" s="1643"/>
      <c r="AH315" s="1643"/>
      <c r="AI315" s="1643"/>
      <c r="AJ315" s="1643"/>
      <c r="AK315" s="1643"/>
      <c r="AL315" s="1643"/>
      <c r="AM315" s="1643"/>
    </row>
    <row r="316" spans="1:39" ht="15.75" customHeight="1" x14ac:dyDescent="0.3">
      <c r="A316" s="1643"/>
      <c r="B316" s="1643"/>
      <c r="C316" s="1643"/>
      <c r="D316" s="1643"/>
      <c r="E316" s="1643"/>
      <c r="F316" s="1643"/>
      <c r="G316" s="1643"/>
      <c r="H316" s="1643"/>
      <c r="I316" s="1643"/>
      <c r="J316" s="1643"/>
      <c r="K316" s="1643"/>
      <c r="L316" s="1643"/>
      <c r="M316" s="1643"/>
      <c r="N316" s="1643"/>
      <c r="O316" s="1643"/>
      <c r="P316" s="1643"/>
      <c r="Q316" s="1643"/>
      <c r="R316" s="1643"/>
      <c r="S316" s="1643"/>
      <c r="T316" s="1643"/>
      <c r="U316" s="1643"/>
      <c r="V316" s="1643"/>
      <c r="W316" s="1643"/>
      <c r="X316" s="1643"/>
      <c r="Y316" s="1643"/>
      <c r="Z316" s="1643"/>
      <c r="AA316" s="1643"/>
      <c r="AB316" s="1643"/>
      <c r="AC316" s="1643"/>
      <c r="AD316" s="1643"/>
      <c r="AE316" s="1643"/>
      <c r="AF316" s="1643"/>
      <c r="AG316" s="1643"/>
      <c r="AH316" s="1643"/>
      <c r="AI316" s="1643"/>
      <c r="AJ316" s="1643"/>
      <c r="AK316" s="1643"/>
      <c r="AL316" s="1643"/>
      <c r="AM316" s="1643"/>
    </row>
    <row r="317" spans="1:39" ht="15.75" customHeight="1" x14ac:dyDescent="0.3">
      <c r="A317" s="1643"/>
      <c r="B317" s="1643"/>
      <c r="C317" s="1643"/>
      <c r="D317" s="1643"/>
      <c r="E317" s="1643"/>
      <c r="F317" s="1643"/>
      <c r="G317" s="1643"/>
      <c r="H317" s="1643"/>
      <c r="I317" s="1643"/>
      <c r="J317" s="1643"/>
      <c r="K317" s="1643"/>
      <c r="L317" s="1643"/>
      <c r="M317" s="1643"/>
      <c r="N317" s="1643"/>
      <c r="O317" s="1643"/>
      <c r="P317" s="1643"/>
      <c r="Q317" s="1643"/>
      <c r="R317" s="1643"/>
      <c r="S317" s="1643"/>
      <c r="T317" s="1643"/>
      <c r="U317" s="1643"/>
      <c r="V317" s="1643"/>
      <c r="W317" s="1643"/>
      <c r="X317" s="1643"/>
      <c r="Y317" s="1643"/>
      <c r="Z317" s="1643"/>
      <c r="AA317" s="1643"/>
      <c r="AB317" s="1643"/>
      <c r="AC317" s="1643"/>
      <c r="AD317" s="1643"/>
      <c r="AE317" s="1643"/>
      <c r="AF317" s="1643"/>
      <c r="AG317" s="1643"/>
      <c r="AH317" s="1643"/>
      <c r="AI317" s="1643"/>
      <c r="AJ317" s="1643"/>
      <c r="AK317" s="1643"/>
      <c r="AL317" s="1643"/>
      <c r="AM317" s="1643"/>
    </row>
    <row r="318" spans="1:39" ht="15.75" customHeight="1" x14ac:dyDescent="0.3">
      <c r="A318" s="1643"/>
      <c r="B318" s="1643"/>
      <c r="C318" s="1643"/>
      <c r="D318" s="1643"/>
      <c r="E318" s="1643"/>
      <c r="F318" s="1643"/>
      <c r="G318" s="1643"/>
      <c r="H318" s="1643"/>
      <c r="I318" s="1643"/>
      <c r="J318" s="1643"/>
      <c r="K318" s="1643"/>
      <c r="L318" s="1643"/>
      <c r="M318" s="1643"/>
      <c r="N318" s="1643"/>
      <c r="O318" s="1643"/>
      <c r="P318" s="1643"/>
      <c r="Q318" s="1643"/>
      <c r="R318" s="1643"/>
      <c r="S318" s="1643"/>
      <c r="T318" s="1643"/>
      <c r="U318" s="1643"/>
      <c r="V318" s="1643"/>
      <c r="W318" s="1643"/>
      <c r="X318" s="1643"/>
      <c r="Y318" s="1643"/>
      <c r="Z318" s="1643"/>
      <c r="AA318" s="1643"/>
      <c r="AB318" s="1643"/>
      <c r="AC318" s="1643"/>
      <c r="AD318" s="1643"/>
      <c r="AE318" s="1643"/>
      <c r="AF318" s="1643"/>
      <c r="AG318" s="1643"/>
      <c r="AH318" s="1643"/>
      <c r="AI318" s="1643"/>
      <c r="AJ318" s="1643"/>
      <c r="AK318" s="1643"/>
      <c r="AL318" s="1643"/>
      <c r="AM318" s="1643"/>
    </row>
    <row r="319" spans="1:39" ht="15.75" customHeight="1" x14ac:dyDescent="0.3">
      <c r="A319" s="1643"/>
      <c r="B319" s="1643"/>
      <c r="C319" s="1643"/>
      <c r="D319" s="1643"/>
      <c r="E319" s="1643"/>
      <c r="F319" s="1643"/>
      <c r="G319" s="1643"/>
      <c r="H319" s="1643"/>
      <c r="I319" s="1643"/>
      <c r="J319" s="1643"/>
      <c r="K319" s="1643"/>
      <c r="L319" s="1643"/>
      <c r="M319" s="1643"/>
      <c r="N319" s="1643"/>
      <c r="O319" s="1643"/>
      <c r="P319" s="1643"/>
      <c r="Q319" s="1643"/>
      <c r="R319" s="1643"/>
      <c r="S319" s="1643"/>
      <c r="T319" s="1643"/>
      <c r="U319" s="1643"/>
      <c r="V319" s="1643"/>
      <c r="W319" s="1643"/>
      <c r="X319" s="1643"/>
      <c r="Y319" s="1643"/>
      <c r="Z319" s="1643"/>
      <c r="AA319" s="1643"/>
      <c r="AB319" s="1643"/>
      <c r="AC319" s="1643"/>
      <c r="AD319" s="1643"/>
      <c r="AE319" s="1643"/>
      <c r="AF319" s="1643"/>
      <c r="AG319" s="1643"/>
      <c r="AH319" s="1643"/>
      <c r="AI319" s="1643"/>
      <c r="AJ319" s="1643"/>
      <c r="AK319" s="1643"/>
      <c r="AL319" s="1643"/>
      <c r="AM319" s="1643"/>
    </row>
    <row r="320" spans="1:39" ht="15.75" customHeight="1" x14ac:dyDescent="0.3">
      <c r="A320" s="1643"/>
      <c r="B320" s="1643"/>
      <c r="C320" s="1643"/>
      <c r="D320" s="1643"/>
      <c r="E320" s="1643"/>
      <c r="F320" s="1643"/>
      <c r="G320" s="1643"/>
      <c r="H320" s="1643"/>
      <c r="I320" s="1643"/>
      <c r="J320" s="1643"/>
      <c r="K320" s="1643"/>
      <c r="L320" s="1643"/>
      <c r="M320" s="1643"/>
      <c r="N320" s="1643"/>
      <c r="O320" s="1643"/>
      <c r="P320" s="1643"/>
      <c r="Q320" s="1643"/>
      <c r="R320" s="1643"/>
      <c r="S320" s="1643"/>
      <c r="T320" s="1643"/>
      <c r="U320" s="1643"/>
      <c r="V320" s="1643"/>
      <c r="W320" s="1643"/>
      <c r="X320" s="1643"/>
      <c r="Y320" s="1643"/>
      <c r="Z320" s="1643"/>
      <c r="AA320" s="1643"/>
      <c r="AB320" s="1643"/>
      <c r="AC320" s="1643"/>
      <c r="AD320" s="1643"/>
      <c r="AE320" s="1643"/>
      <c r="AF320" s="1643"/>
      <c r="AG320" s="1643"/>
      <c r="AH320" s="1643"/>
      <c r="AI320" s="1643"/>
      <c r="AJ320" s="1643"/>
      <c r="AK320" s="1643"/>
      <c r="AL320" s="1643"/>
      <c r="AM320" s="1643"/>
    </row>
    <row r="321" spans="1:39" ht="15.75" customHeight="1" x14ac:dyDescent="0.3">
      <c r="A321" s="1643"/>
      <c r="B321" s="1643"/>
      <c r="C321" s="1643"/>
      <c r="D321" s="1643"/>
      <c r="E321" s="1643"/>
      <c r="F321" s="1643"/>
      <c r="G321" s="1643"/>
      <c r="H321" s="1643"/>
      <c r="I321" s="1643"/>
      <c r="J321" s="1643"/>
      <c r="K321" s="1643"/>
      <c r="L321" s="1643"/>
      <c r="M321" s="1643"/>
      <c r="N321" s="1643"/>
      <c r="O321" s="1643"/>
      <c r="P321" s="1643"/>
      <c r="Q321" s="1643"/>
      <c r="R321" s="1643"/>
      <c r="S321" s="1643"/>
      <c r="T321" s="1643"/>
      <c r="U321" s="1643"/>
      <c r="V321" s="1643"/>
      <c r="W321" s="1643"/>
      <c r="X321" s="1643"/>
      <c r="Y321" s="1643"/>
      <c r="Z321" s="1643"/>
      <c r="AA321" s="1643"/>
      <c r="AB321" s="1643"/>
      <c r="AC321" s="1643"/>
      <c r="AD321" s="1643"/>
      <c r="AE321" s="1643"/>
      <c r="AF321" s="1643"/>
      <c r="AG321" s="1643"/>
      <c r="AH321" s="1643"/>
      <c r="AI321" s="1643"/>
      <c r="AJ321" s="1643"/>
      <c r="AK321" s="1643"/>
      <c r="AL321" s="1643"/>
      <c r="AM321" s="1643"/>
    </row>
    <row r="322" spans="1:39" ht="15.75" customHeight="1" x14ac:dyDescent="0.3">
      <c r="A322" s="1643"/>
      <c r="B322" s="1643"/>
      <c r="C322" s="1643"/>
      <c r="D322" s="1643"/>
      <c r="E322" s="1643"/>
      <c r="F322" s="1643"/>
      <c r="G322" s="1643"/>
      <c r="H322" s="1643"/>
      <c r="I322" s="1643"/>
      <c r="J322" s="1643"/>
      <c r="K322" s="1643"/>
      <c r="L322" s="1643"/>
      <c r="M322" s="1643"/>
      <c r="N322" s="1643"/>
      <c r="O322" s="1643"/>
      <c r="P322" s="1643"/>
      <c r="Q322" s="1643"/>
      <c r="R322" s="1643"/>
      <c r="S322" s="1643"/>
      <c r="T322" s="1643"/>
      <c r="U322" s="1643"/>
      <c r="V322" s="1643"/>
      <c r="W322" s="1643"/>
      <c r="X322" s="1643"/>
      <c r="Y322" s="1643"/>
      <c r="Z322" s="1643"/>
      <c r="AA322" s="1643"/>
      <c r="AB322" s="1643"/>
      <c r="AC322" s="1643"/>
      <c r="AD322" s="1643"/>
      <c r="AE322" s="1643"/>
      <c r="AF322" s="1643"/>
      <c r="AG322" s="1643"/>
      <c r="AH322" s="1643"/>
      <c r="AI322" s="1643"/>
      <c r="AJ322" s="1643"/>
      <c r="AK322" s="1643"/>
      <c r="AL322" s="1643"/>
      <c r="AM322" s="1643"/>
    </row>
    <row r="323" spans="1:39" ht="15.75" customHeight="1" x14ac:dyDescent="0.3">
      <c r="A323" s="1643"/>
      <c r="B323" s="1643"/>
      <c r="C323" s="1643"/>
      <c r="D323" s="1643"/>
      <c r="E323" s="1643"/>
      <c r="F323" s="1643"/>
      <c r="G323" s="1643"/>
      <c r="H323" s="1643"/>
      <c r="I323" s="1643"/>
      <c r="J323" s="1643"/>
      <c r="K323" s="1643"/>
      <c r="L323" s="1643"/>
      <c r="M323" s="1643"/>
      <c r="N323" s="1643"/>
      <c r="O323" s="1643"/>
      <c r="P323" s="1643"/>
      <c r="Q323" s="1643"/>
      <c r="R323" s="1643"/>
      <c r="S323" s="1643"/>
      <c r="T323" s="1643"/>
      <c r="U323" s="1643"/>
      <c r="V323" s="1643"/>
      <c r="W323" s="1643"/>
      <c r="X323" s="1643"/>
      <c r="Y323" s="1643"/>
      <c r="Z323" s="1643"/>
      <c r="AA323" s="1643"/>
      <c r="AB323" s="1643"/>
      <c r="AC323" s="1643"/>
      <c r="AD323" s="1643"/>
      <c r="AE323" s="1643"/>
      <c r="AF323" s="1643"/>
      <c r="AG323" s="1643"/>
      <c r="AH323" s="1643"/>
      <c r="AI323" s="1643"/>
      <c r="AJ323" s="1643"/>
      <c r="AK323" s="1643"/>
      <c r="AL323" s="1643"/>
      <c r="AM323" s="1643"/>
    </row>
    <row r="324" spans="1:39" ht="15.75" customHeight="1" x14ac:dyDescent="0.3">
      <c r="A324" s="1643"/>
      <c r="B324" s="1643"/>
      <c r="C324" s="1643"/>
      <c r="D324" s="1643"/>
      <c r="E324" s="1643"/>
      <c r="F324" s="1643"/>
      <c r="G324" s="1643"/>
      <c r="H324" s="1643"/>
      <c r="I324" s="1643"/>
      <c r="J324" s="1643"/>
      <c r="K324" s="1643"/>
      <c r="L324" s="1643"/>
      <c r="M324" s="1643"/>
      <c r="N324" s="1643"/>
      <c r="O324" s="1643"/>
      <c r="P324" s="1643"/>
      <c r="Q324" s="1643"/>
      <c r="R324" s="1643"/>
      <c r="S324" s="1643"/>
      <c r="T324" s="1643"/>
      <c r="U324" s="1643"/>
      <c r="V324" s="1643"/>
      <c r="W324" s="1643"/>
      <c r="X324" s="1643"/>
      <c r="Y324" s="1643"/>
      <c r="Z324" s="1643"/>
      <c r="AA324" s="1643"/>
      <c r="AB324" s="1643"/>
      <c r="AC324" s="1643"/>
      <c r="AD324" s="1643"/>
      <c r="AE324" s="1643"/>
      <c r="AF324" s="1643"/>
      <c r="AG324" s="1643"/>
      <c r="AH324" s="1643"/>
      <c r="AI324" s="1643"/>
      <c r="AJ324" s="1643"/>
      <c r="AK324" s="1643"/>
      <c r="AL324" s="1643"/>
      <c r="AM324" s="1643"/>
    </row>
    <row r="325" spans="1:39" ht="15.75" customHeight="1" x14ac:dyDescent="0.3">
      <c r="A325" s="1643"/>
      <c r="B325" s="1643"/>
      <c r="C325" s="1643"/>
      <c r="D325" s="1643"/>
      <c r="E325" s="1643"/>
      <c r="F325" s="1643"/>
      <c r="G325" s="1643"/>
      <c r="H325" s="1643"/>
      <c r="I325" s="1643"/>
      <c r="J325" s="1643"/>
      <c r="K325" s="1643"/>
      <c r="L325" s="1643"/>
      <c r="M325" s="1643"/>
      <c r="N325" s="1643"/>
      <c r="O325" s="1643"/>
      <c r="P325" s="1643"/>
      <c r="Q325" s="1643"/>
      <c r="R325" s="1643"/>
      <c r="S325" s="1643"/>
      <c r="T325" s="1643"/>
      <c r="U325" s="1643"/>
      <c r="V325" s="1643"/>
      <c r="W325" s="1643"/>
      <c r="X325" s="1643"/>
      <c r="Y325" s="1643"/>
      <c r="Z325" s="1643"/>
      <c r="AA325" s="1643"/>
      <c r="AB325" s="1643"/>
      <c r="AC325" s="1643"/>
      <c r="AD325" s="1643"/>
      <c r="AE325" s="1643"/>
      <c r="AF325" s="1643"/>
      <c r="AG325" s="1643"/>
      <c r="AH325" s="1643"/>
      <c r="AI325" s="1643"/>
      <c r="AJ325" s="1643"/>
      <c r="AK325" s="1643"/>
      <c r="AL325" s="1643"/>
      <c r="AM325" s="1643"/>
    </row>
    <row r="326" spans="1:39" ht="15.75" customHeight="1" x14ac:dyDescent="0.3">
      <c r="A326" s="1643"/>
      <c r="B326" s="1643"/>
      <c r="C326" s="1643"/>
      <c r="D326" s="1643"/>
      <c r="E326" s="1643"/>
      <c r="F326" s="1643"/>
      <c r="G326" s="1643"/>
      <c r="H326" s="1643"/>
      <c r="I326" s="1643"/>
      <c r="J326" s="1643"/>
      <c r="K326" s="1643"/>
      <c r="L326" s="1643"/>
      <c r="M326" s="1643"/>
      <c r="N326" s="1643"/>
      <c r="O326" s="1643"/>
      <c r="P326" s="1643"/>
      <c r="Q326" s="1643"/>
      <c r="R326" s="1643"/>
      <c r="S326" s="1643"/>
      <c r="T326" s="1643"/>
      <c r="U326" s="1643"/>
      <c r="V326" s="1643"/>
      <c r="W326" s="1643"/>
      <c r="X326" s="1643"/>
      <c r="Y326" s="1643"/>
      <c r="Z326" s="1643"/>
      <c r="AA326" s="1643"/>
      <c r="AB326" s="1643"/>
      <c r="AC326" s="1643"/>
      <c r="AD326" s="1643"/>
      <c r="AE326" s="1643"/>
      <c r="AF326" s="1643"/>
      <c r="AG326" s="1643"/>
      <c r="AH326" s="1643"/>
      <c r="AI326" s="1643"/>
      <c r="AJ326" s="1643"/>
      <c r="AK326" s="1643"/>
      <c r="AL326" s="1643"/>
      <c r="AM326" s="1643"/>
    </row>
    <row r="327" spans="1:39" ht="15.75" customHeight="1" x14ac:dyDescent="0.3">
      <c r="A327" s="1643"/>
      <c r="B327" s="1643"/>
      <c r="C327" s="1643"/>
      <c r="D327" s="1643"/>
      <c r="E327" s="1643"/>
      <c r="F327" s="1643"/>
      <c r="G327" s="1643"/>
      <c r="H327" s="1643"/>
      <c r="I327" s="1643"/>
      <c r="J327" s="1643"/>
      <c r="K327" s="1643"/>
      <c r="L327" s="1643"/>
      <c r="M327" s="1643"/>
      <c r="N327" s="1643"/>
      <c r="O327" s="1643"/>
      <c r="P327" s="1643"/>
      <c r="Q327" s="1643"/>
      <c r="R327" s="1643"/>
      <c r="S327" s="1643"/>
      <c r="T327" s="1643"/>
      <c r="U327" s="1643"/>
      <c r="V327" s="1643"/>
      <c r="W327" s="1643"/>
      <c r="X327" s="1643"/>
      <c r="Y327" s="1643"/>
      <c r="Z327" s="1643"/>
      <c r="AA327" s="1643"/>
      <c r="AB327" s="1643"/>
      <c r="AC327" s="1643"/>
      <c r="AD327" s="1643"/>
      <c r="AE327" s="1643"/>
      <c r="AF327" s="1643"/>
      <c r="AG327" s="1643"/>
      <c r="AH327" s="1643"/>
      <c r="AI327" s="1643"/>
      <c r="AJ327" s="1643"/>
      <c r="AK327" s="1643"/>
      <c r="AL327" s="1643"/>
      <c r="AM327" s="1643"/>
    </row>
    <row r="328" spans="1:39" ht="15.75" customHeight="1" x14ac:dyDescent="0.3">
      <c r="A328" s="1643"/>
      <c r="B328" s="1643"/>
      <c r="C328" s="1643"/>
      <c r="D328" s="1643"/>
      <c r="E328" s="1643"/>
      <c r="F328" s="1643"/>
      <c r="G328" s="1643"/>
      <c r="H328" s="1643"/>
      <c r="I328" s="1643"/>
      <c r="J328" s="1643"/>
      <c r="K328" s="1643"/>
      <c r="L328" s="1643"/>
      <c r="M328" s="1643"/>
      <c r="N328" s="1643"/>
      <c r="O328" s="1643"/>
      <c r="P328" s="1643"/>
      <c r="Q328" s="1643"/>
      <c r="R328" s="1643"/>
      <c r="S328" s="1643"/>
      <c r="T328" s="1643"/>
      <c r="U328" s="1643"/>
      <c r="V328" s="1643"/>
      <c r="W328" s="1643"/>
      <c r="X328" s="1643"/>
      <c r="Y328" s="1643"/>
      <c r="Z328" s="1643"/>
      <c r="AA328" s="1643"/>
      <c r="AB328" s="1643"/>
      <c r="AC328" s="1643"/>
      <c r="AD328" s="1643"/>
      <c r="AE328" s="1643"/>
      <c r="AF328" s="1643"/>
      <c r="AG328" s="1643"/>
      <c r="AH328" s="1643"/>
      <c r="AI328" s="1643"/>
      <c r="AJ328" s="1643"/>
      <c r="AK328" s="1643"/>
      <c r="AL328" s="1643"/>
      <c r="AM328" s="1643"/>
    </row>
    <row r="329" spans="1:39" ht="15.75" customHeight="1" x14ac:dyDescent="0.3">
      <c r="A329" s="1643"/>
      <c r="B329" s="1643"/>
      <c r="C329" s="1643"/>
      <c r="D329" s="1643"/>
      <c r="E329" s="1643"/>
      <c r="F329" s="1643"/>
      <c r="G329" s="1643"/>
      <c r="H329" s="1643"/>
      <c r="I329" s="1643"/>
      <c r="J329" s="1643"/>
      <c r="K329" s="1643"/>
      <c r="L329" s="1643"/>
      <c r="M329" s="1643"/>
      <c r="N329" s="1643"/>
      <c r="O329" s="1643"/>
      <c r="P329" s="1643"/>
      <c r="Q329" s="1643"/>
      <c r="R329" s="1643"/>
      <c r="S329" s="1643"/>
      <c r="T329" s="1643"/>
      <c r="U329" s="1643"/>
      <c r="V329" s="1643"/>
      <c r="W329" s="1643"/>
      <c r="X329" s="1643"/>
      <c r="Y329" s="1643"/>
      <c r="Z329" s="1643"/>
      <c r="AA329" s="1643"/>
      <c r="AB329" s="1643"/>
      <c r="AC329" s="1643"/>
      <c r="AD329" s="1643"/>
      <c r="AE329" s="1643"/>
      <c r="AF329" s="1643"/>
      <c r="AG329" s="1643"/>
      <c r="AH329" s="1643"/>
      <c r="AI329" s="1643"/>
      <c r="AJ329" s="1643"/>
      <c r="AK329" s="1643"/>
      <c r="AL329" s="1643"/>
      <c r="AM329" s="1643"/>
    </row>
    <row r="330" spans="1:39" ht="15.75" customHeight="1" x14ac:dyDescent="0.3">
      <c r="A330" s="1643"/>
      <c r="B330" s="1643"/>
      <c r="C330" s="1643"/>
      <c r="D330" s="1643"/>
      <c r="E330" s="1643"/>
      <c r="F330" s="1643"/>
      <c r="G330" s="1643"/>
      <c r="H330" s="1643"/>
      <c r="I330" s="1643"/>
      <c r="J330" s="1643"/>
      <c r="K330" s="1643"/>
      <c r="L330" s="1643"/>
      <c r="M330" s="1643"/>
      <c r="N330" s="1643"/>
      <c r="O330" s="1643"/>
      <c r="P330" s="1643"/>
      <c r="Q330" s="1643"/>
      <c r="R330" s="1643"/>
      <c r="S330" s="1643"/>
      <c r="T330" s="1643"/>
      <c r="U330" s="1643"/>
      <c r="V330" s="1643"/>
      <c r="W330" s="1643"/>
      <c r="X330" s="1643"/>
      <c r="Y330" s="1643"/>
      <c r="Z330" s="1643"/>
      <c r="AA330" s="1643"/>
      <c r="AB330" s="1643"/>
      <c r="AC330" s="1643"/>
      <c r="AD330" s="1643"/>
      <c r="AE330" s="1643"/>
      <c r="AF330" s="1643"/>
      <c r="AG330" s="1643"/>
      <c r="AH330" s="1643"/>
      <c r="AI330" s="1643"/>
      <c r="AJ330" s="1643"/>
      <c r="AK330" s="1643"/>
      <c r="AL330" s="1643"/>
      <c r="AM330" s="1643"/>
    </row>
    <row r="331" spans="1:39" ht="15.75" customHeight="1" x14ac:dyDescent="0.3">
      <c r="A331" s="1643"/>
      <c r="B331" s="1643"/>
      <c r="C331" s="1643"/>
      <c r="D331" s="1643"/>
      <c r="E331" s="1643"/>
      <c r="F331" s="1643"/>
      <c r="G331" s="1643"/>
      <c r="H331" s="1643"/>
      <c r="I331" s="1643"/>
      <c r="J331" s="1643"/>
      <c r="K331" s="1643"/>
      <c r="L331" s="1643"/>
      <c r="M331" s="1643"/>
      <c r="N331" s="1643"/>
      <c r="O331" s="1643"/>
      <c r="P331" s="1643"/>
      <c r="Q331" s="1643"/>
      <c r="R331" s="1643"/>
      <c r="S331" s="1643"/>
      <c r="T331" s="1643"/>
      <c r="U331" s="1643"/>
      <c r="V331" s="1643"/>
      <c r="W331" s="1643"/>
      <c r="X331" s="1643"/>
      <c r="Y331" s="1643"/>
      <c r="Z331" s="1643"/>
      <c r="AA331" s="1643"/>
      <c r="AB331" s="1643"/>
      <c r="AC331" s="1643"/>
      <c r="AD331" s="1643"/>
      <c r="AE331" s="1643"/>
      <c r="AF331" s="1643"/>
      <c r="AG331" s="1643"/>
      <c r="AH331" s="1643"/>
      <c r="AI331" s="1643"/>
      <c r="AJ331" s="1643"/>
      <c r="AK331" s="1643"/>
      <c r="AL331" s="1643"/>
      <c r="AM331" s="1643"/>
    </row>
    <row r="332" spans="1:39" ht="15.75" customHeight="1" x14ac:dyDescent="0.3">
      <c r="A332" s="1643"/>
      <c r="B332" s="1643"/>
      <c r="C332" s="1643"/>
      <c r="D332" s="1643"/>
      <c r="E332" s="1643"/>
      <c r="F332" s="1643"/>
      <c r="G332" s="1643"/>
      <c r="H332" s="1643"/>
      <c r="I332" s="1643"/>
      <c r="J332" s="1643"/>
      <c r="K332" s="1643"/>
      <c r="L332" s="1643"/>
      <c r="M332" s="1643"/>
      <c r="N332" s="1643"/>
      <c r="O332" s="1643"/>
      <c r="P332" s="1643"/>
      <c r="Q332" s="1643"/>
      <c r="R332" s="1643"/>
      <c r="S332" s="1643"/>
      <c r="T332" s="1643"/>
      <c r="U332" s="1643"/>
      <c r="V332" s="1643"/>
      <c r="W332" s="1643"/>
      <c r="X332" s="1643"/>
      <c r="Y332" s="1643"/>
      <c r="Z332" s="1643"/>
      <c r="AA332" s="1643"/>
      <c r="AB332" s="1643"/>
      <c r="AC332" s="1643"/>
      <c r="AD332" s="1643"/>
      <c r="AE332" s="1643"/>
      <c r="AF332" s="1643"/>
      <c r="AG332" s="1643"/>
      <c r="AH332" s="1643"/>
      <c r="AI332" s="1643"/>
      <c r="AJ332" s="1643"/>
      <c r="AK332" s="1643"/>
      <c r="AL332" s="1643"/>
      <c r="AM332" s="1643"/>
    </row>
    <row r="333" spans="1:39" ht="15.75" customHeight="1" x14ac:dyDescent="0.3">
      <c r="A333" s="1643"/>
      <c r="B333" s="1643"/>
      <c r="C333" s="1643"/>
      <c r="D333" s="1643"/>
      <c r="E333" s="1643"/>
      <c r="F333" s="1643"/>
      <c r="G333" s="1643"/>
      <c r="H333" s="1643"/>
      <c r="I333" s="1643"/>
      <c r="J333" s="1643"/>
      <c r="K333" s="1643"/>
      <c r="L333" s="1643"/>
      <c r="M333" s="1643"/>
      <c r="N333" s="1643"/>
      <c r="O333" s="1643"/>
      <c r="P333" s="1643"/>
      <c r="Q333" s="1643"/>
      <c r="R333" s="1643"/>
      <c r="S333" s="1643"/>
      <c r="T333" s="1643"/>
      <c r="U333" s="1643"/>
      <c r="V333" s="1643"/>
      <c r="W333" s="1643"/>
      <c r="X333" s="1643"/>
      <c r="Y333" s="1643"/>
      <c r="Z333" s="1643"/>
      <c r="AA333" s="1643"/>
      <c r="AB333" s="1643"/>
      <c r="AC333" s="1643"/>
      <c r="AD333" s="1643"/>
      <c r="AE333" s="1643"/>
      <c r="AF333" s="1643"/>
      <c r="AG333" s="1643"/>
      <c r="AH333" s="1643"/>
      <c r="AI333" s="1643"/>
      <c r="AJ333" s="1643"/>
      <c r="AK333" s="1643"/>
      <c r="AL333" s="1643"/>
      <c r="AM333" s="1643"/>
    </row>
    <row r="334" spans="1:39" ht="15.75" customHeight="1" x14ac:dyDescent="0.3">
      <c r="A334" s="1643"/>
      <c r="B334" s="1643"/>
      <c r="C334" s="1643"/>
      <c r="D334" s="1643"/>
      <c r="E334" s="1643"/>
      <c r="F334" s="1643"/>
      <c r="G334" s="1643"/>
      <c r="H334" s="1643"/>
      <c r="I334" s="1643"/>
      <c r="J334" s="1643"/>
      <c r="K334" s="1643"/>
      <c r="L334" s="1643"/>
      <c r="M334" s="1643"/>
      <c r="N334" s="1643"/>
      <c r="O334" s="1643"/>
      <c r="P334" s="1643"/>
      <c r="Q334" s="1643"/>
      <c r="R334" s="1643"/>
      <c r="S334" s="1643"/>
      <c r="T334" s="1643"/>
      <c r="U334" s="1643"/>
      <c r="V334" s="1643"/>
      <c r="W334" s="1643"/>
      <c r="X334" s="1643"/>
      <c r="Y334" s="1643"/>
      <c r="Z334" s="1643"/>
      <c r="AA334" s="1643"/>
      <c r="AB334" s="1643"/>
      <c r="AC334" s="1643"/>
      <c r="AD334" s="1643"/>
      <c r="AE334" s="1643"/>
      <c r="AF334" s="1643"/>
      <c r="AG334" s="1643"/>
      <c r="AH334" s="1643"/>
      <c r="AI334" s="1643"/>
      <c r="AJ334" s="1643"/>
      <c r="AK334" s="1643"/>
      <c r="AL334" s="1643"/>
      <c r="AM334" s="1643"/>
    </row>
    <row r="335" spans="1:39" ht="15.75" customHeight="1" x14ac:dyDescent="0.3">
      <c r="A335" s="1643"/>
      <c r="B335" s="1643"/>
      <c r="C335" s="1643"/>
      <c r="D335" s="1643"/>
      <c r="E335" s="1643"/>
      <c r="F335" s="1643"/>
      <c r="G335" s="1643"/>
      <c r="H335" s="1643"/>
      <c r="I335" s="1643"/>
      <c r="J335" s="1643"/>
      <c r="K335" s="1643"/>
      <c r="L335" s="1643"/>
      <c r="M335" s="1643"/>
      <c r="N335" s="1643"/>
      <c r="O335" s="1643"/>
      <c r="P335" s="1643"/>
      <c r="Q335" s="1643"/>
      <c r="R335" s="1643"/>
      <c r="S335" s="1643"/>
      <c r="T335" s="1643"/>
      <c r="U335" s="1643"/>
      <c r="V335" s="1643"/>
      <c r="W335" s="1643"/>
      <c r="X335" s="1643"/>
      <c r="Y335" s="1643"/>
      <c r="Z335" s="1643"/>
      <c r="AA335" s="1643"/>
      <c r="AB335" s="1643"/>
      <c r="AC335" s="1643"/>
      <c r="AD335" s="1643"/>
      <c r="AE335" s="1643"/>
      <c r="AF335" s="1643"/>
      <c r="AG335" s="1643"/>
      <c r="AH335" s="1643"/>
      <c r="AI335" s="1643"/>
      <c r="AJ335" s="1643"/>
      <c r="AK335" s="1643"/>
      <c r="AL335" s="1643"/>
      <c r="AM335" s="1643"/>
    </row>
    <row r="336" spans="1:39" ht="15.75" customHeight="1" x14ac:dyDescent="0.3">
      <c r="A336" s="1643"/>
      <c r="B336" s="1643"/>
      <c r="C336" s="1643"/>
      <c r="D336" s="1643"/>
      <c r="E336" s="1643"/>
      <c r="F336" s="1643"/>
      <c r="G336" s="1643"/>
      <c r="H336" s="1643"/>
      <c r="I336" s="1643"/>
      <c r="J336" s="1643"/>
      <c r="K336" s="1643"/>
      <c r="L336" s="1643"/>
      <c r="M336" s="1643"/>
      <c r="N336" s="1643"/>
      <c r="O336" s="1643"/>
      <c r="P336" s="1643"/>
      <c r="Q336" s="1643"/>
      <c r="R336" s="1643"/>
      <c r="S336" s="1643"/>
      <c r="T336" s="1643"/>
      <c r="U336" s="1643"/>
      <c r="V336" s="1643"/>
      <c r="W336" s="1643"/>
      <c r="X336" s="1643"/>
      <c r="Y336" s="1643"/>
      <c r="Z336" s="1643"/>
      <c r="AA336" s="1643"/>
      <c r="AB336" s="1643"/>
      <c r="AC336" s="1643"/>
      <c r="AD336" s="1643"/>
      <c r="AE336" s="1643"/>
      <c r="AF336" s="1643"/>
      <c r="AG336" s="1643"/>
      <c r="AH336" s="1643"/>
      <c r="AI336" s="1643"/>
      <c r="AJ336" s="1643"/>
      <c r="AK336" s="1643"/>
      <c r="AL336" s="1643"/>
      <c r="AM336" s="1643"/>
    </row>
    <row r="337" spans="1:39" ht="15.75" customHeight="1" x14ac:dyDescent="0.3">
      <c r="A337" s="1643"/>
      <c r="B337" s="1643"/>
      <c r="C337" s="1643"/>
      <c r="D337" s="1643"/>
      <c r="E337" s="1643"/>
      <c r="F337" s="1643"/>
      <c r="G337" s="1643"/>
      <c r="H337" s="1643"/>
      <c r="I337" s="1643"/>
      <c r="J337" s="1643"/>
      <c r="K337" s="1643"/>
      <c r="L337" s="1643"/>
      <c r="M337" s="1643"/>
      <c r="N337" s="1643"/>
      <c r="O337" s="1643"/>
      <c r="P337" s="1643"/>
      <c r="Q337" s="1643"/>
      <c r="R337" s="1643"/>
      <c r="S337" s="1643"/>
      <c r="T337" s="1643"/>
      <c r="U337" s="1643"/>
      <c r="V337" s="1643"/>
      <c r="W337" s="1643"/>
      <c r="X337" s="1643"/>
      <c r="Y337" s="1643"/>
      <c r="Z337" s="1643"/>
      <c r="AA337" s="1643"/>
      <c r="AB337" s="1643"/>
      <c r="AC337" s="1643"/>
      <c r="AD337" s="1643"/>
      <c r="AE337" s="1643"/>
      <c r="AF337" s="1643"/>
      <c r="AG337" s="1643"/>
      <c r="AH337" s="1643"/>
      <c r="AI337" s="1643"/>
      <c r="AJ337" s="1643"/>
      <c r="AK337" s="1643"/>
      <c r="AL337" s="1643"/>
      <c r="AM337" s="1643"/>
    </row>
    <row r="338" spans="1:39" ht="15.75" customHeight="1" x14ac:dyDescent="0.3">
      <c r="A338" s="1643"/>
      <c r="B338" s="1643"/>
      <c r="C338" s="1643"/>
      <c r="D338" s="1643"/>
      <c r="E338" s="1643"/>
      <c r="F338" s="1643"/>
      <c r="G338" s="1643"/>
      <c r="H338" s="1643"/>
      <c r="I338" s="1643"/>
      <c r="J338" s="1643"/>
      <c r="K338" s="1643"/>
      <c r="L338" s="1643"/>
      <c r="M338" s="1643"/>
      <c r="N338" s="1643"/>
      <c r="O338" s="1643"/>
      <c r="P338" s="1643"/>
      <c r="Q338" s="1643"/>
      <c r="R338" s="1643"/>
      <c r="S338" s="1643"/>
      <c r="T338" s="1643"/>
      <c r="U338" s="1643"/>
      <c r="V338" s="1643"/>
      <c r="W338" s="1643"/>
      <c r="X338" s="1643"/>
      <c r="Y338" s="1643"/>
      <c r="Z338" s="1643"/>
      <c r="AA338" s="1643"/>
      <c r="AB338" s="1643"/>
      <c r="AC338" s="1643"/>
      <c r="AD338" s="1643"/>
      <c r="AE338" s="1643"/>
      <c r="AF338" s="1643"/>
      <c r="AG338" s="1643"/>
      <c r="AH338" s="1643"/>
      <c r="AI338" s="1643"/>
      <c r="AJ338" s="1643"/>
      <c r="AK338" s="1643"/>
      <c r="AL338" s="1643"/>
      <c r="AM338" s="1643"/>
    </row>
    <row r="339" spans="1:39" ht="15.75" customHeight="1" x14ac:dyDescent="0.3">
      <c r="A339" s="1643"/>
      <c r="B339" s="1643"/>
      <c r="C339" s="1643"/>
      <c r="D339" s="1643"/>
      <c r="E339" s="1643"/>
      <c r="F339" s="1643"/>
      <c r="G339" s="1643"/>
      <c r="H339" s="1643"/>
      <c r="I339" s="1643"/>
      <c r="J339" s="1643"/>
      <c r="K339" s="1643"/>
      <c r="L339" s="1643"/>
      <c r="M339" s="1643"/>
      <c r="N339" s="1643"/>
      <c r="O339" s="1643"/>
      <c r="P339" s="1643"/>
      <c r="Q339" s="1643"/>
      <c r="R339" s="1643"/>
      <c r="S339" s="1643"/>
      <c r="T339" s="1643"/>
      <c r="U339" s="1643"/>
      <c r="V339" s="1643"/>
      <c r="W339" s="1643"/>
      <c r="X339" s="1643"/>
      <c r="Y339" s="1643"/>
      <c r="Z339" s="1643"/>
      <c r="AA339" s="1643"/>
      <c r="AB339" s="1643"/>
      <c r="AC339" s="1643"/>
      <c r="AD339" s="1643"/>
      <c r="AE339" s="1643"/>
      <c r="AF339" s="1643"/>
      <c r="AG339" s="1643"/>
      <c r="AH339" s="1643"/>
      <c r="AI339" s="1643"/>
      <c r="AJ339" s="1643"/>
      <c r="AK339" s="1643"/>
      <c r="AL339" s="1643"/>
      <c r="AM339" s="1643"/>
    </row>
    <row r="340" spans="1:39" ht="15.75" customHeight="1" x14ac:dyDescent="0.3">
      <c r="A340" s="1643"/>
      <c r="B340" s="1643"/>
      <c r="C340" s="1643"/>
      <c r="D340" s="1643"/>
      <c r="E340" s="1643"/>
      <c r="F340" s="1643"/>
      <c r="G340" s="1643"/>
      <c r="H340" s="1643"/>
      <c r="I340" s="1643"/>
      <c r="J340" s="1643"/>
      <c r="K340" s="1643"/>
      <c r="L340" s="1643"/>
      <c r="M340" s="1643"/>
      <c r="N340" s="1643"/>
      <c r="O340" s="1643"/>
      <c r="P340" s="1643"/>
      <c r="Q340" s="1643"/>
      <c r="R340" s="1643"/>
      <c r="S340" s="1643"/>
      <c r="T340" s="1643"/>
      <c r="U340" s="1643"/>
      <c r="V340" s="1643"/>
      <c r="W340" s="1643"/>
      <c r="X340" s="1643"/>
      <c r="Y340" s="1643"/>
      <c r="Z340" s="1643"/>
      <c r="AA340" s="1643"/>
      <c r="AB340" s="1643"/>
      <c r="AC340" s="1643"/>
      <c r="AD340" s="1643"/>
      <c r="AE340" s="1643"/>
      <c r="AF340" s="1643"/>
      <c r="AG340" s="1643"/>
      <c r="AH340" s="1643"/>
      <c r="AI340" s="1643"/>
      <c r="AJ340" s="1643"/>
      <c r="AK340" s="1643"/>
      <c r="AL340" s="1643"/>
      <c r="AM340" s="1643"/>
    </row>
    <row r="341" spans="1:39" ht="15.75" customHeight="1" x14ac:dyDescent="0.3">
      <c r="A341" s="1643"/>
      <c r="B341" s="1643"/>
      <c r="C341" s="1643"/>
      <c r="D341" s="1643"/>
      <c r="E341" s="1643"/>
      <c r="F341" s="1643"/>
      <c r="G341" s="1643"/>
      <c r="H341" s="1643"/>
      <c r="I341" s="1643"/>
      <c r="J341" s="1643"/>
      <c r="K341" s="1643"/>
      <c r="L341" s="1643"/>
      <c r="M341" s="1643"/>
      <c r="N341" s="1643"/>
      <c r="O341" s="1643"/>
      <c r="P341" s="1643"/>
      <c r="Q341" s="1643"/>
      <c r="R341" s="1643"/>
      <c r="S341" s="1643"/>
      <c r="T341" s="1643"/>
      <c r="U341" s="1643"/>
      <c r="V341" s="1643"/>
      <c r="W341" s="1643"/>
      <c r="X341" s="1643"/>
      <c r="Y341" s="1643"/>
      <c r="Z341" s="1643"/>
      <c r="AA341" s="1643"/>
      <c r="AB341" s="1643"/>
      <c r="AC341" s="1643"/>
      <c r="AD341" s="1643"/>
      <c r="AE341" s="1643"/>
      <c r="AF341" s="1643"/>
      <c r="AG341" s="1643"/>
      <c r="AH341" s="1643"/>
      <c r="AI341" s="1643"/>
      <c r="AJ341" s="1643"/>
      <c r="AK341" s="1643"/>
      <c r="AL341" s="1643"/>
      <c r="AM341" s="1643"/>
    </row>
    <row r="342" spans="1:39" ht="15.75" customHeight="1" x14ac:dyDescent="0.3">
      <c r="A342" s="1643"/>
      <c r="B342" s="1643"/>
      <c r="C342" s="1643"/>
      <c r="D342" s="1643"/>
      <c r="E342" s="1643"/>
      <c r="F342" s="1643"/>
      <c r="G342" s="1643"/>
      <c r="H342" s="1643"/>
      <c r="I342" s="1643"/>
      <c r="J342" s="1643"/>
      <c r="K342" s="1643"/>
      <c r="L342" s="1643"/>
      <c r="M342" s="1643"/>
      <c r="N342" s="1643"/>
      <c r="O342" s="1643"/>
      <c r="P342" s="1643"/>
      <c r="Q342" s="1643"/>
      <c r="R342" s="1643"/>
      <c r="S342" s="1643"/>
      <c r="T342" s="1643"/>
      <c r="U342" s="1643"/>
      <c r="V342" s="1643"/>
      <c r="W342" s="1643"/>
      <c r="X342" s="1643"/>
      <c r="Y342" s="1643"/>
      <c r="Z342" s="1643"/>
      <c r="AA342" s="1643"/>
      <c r="AB342" s="1643"/>
      <c r="AC342" s="1643"/>
      <c r="AD342" s="1643"/>
      <c r="AE342" s="1643"/>
      <c r="AF342" s="1643"/>
      <c r="AG342" s="1643"/>
      <c r="AH342" s="1643"/>
      <c r="AI342" s="1643"/>
      <c r="AJ342" s="1643"/>
      <c r="AK342" s="1643"/>
      <c r="AL342" s="1643"/>
      <c r="AM342" s="1643"/>
    </row>
    <row r="343" spans="1:39" ht="15.75" customHeight="1" x14ac:dyDescent="0.3">
      <c r="A343" s="1643"/>
      <c r="B343" s="1643"/>
      <c r="C343" s="1643"/>
      <c r="D343" s="1643"/>
      <c r="E343" s="1643"/>
      <c r="F343" s="1643"/>
      <c r="G343" s="1643"/>
      <c r="H343" s="1643"/>
      <c r="I343" s="1643"/>
      <c r="J343" s="1643"/>
      <c r="K343" s="1643"/>
      <c r="L343" s="1643"/>
      <c r="M343" s="1643"/>
      <c r="N343" s="1643"/>
      <c r="O343" s="1643"/>
      <c r="P343" s="1643"/>
      <c r="Q343" s="1643"/>
      <c r="R343" s="1643"/>
      <c r="S343" s="1643"/>
      <c r="T343" s="1643"/>
      <c r="U343" s="1643"/>
      <c r="V343" s="1643"/>
      <c r="W343" s="1643"/>
      <c r="X343" s="1643"/>
      <c r="Y343" s="1643"/>
      <c r="Z343" s="1643"/>
      <c r="AA343" s="1643"/>
      <c r="AB343" s="1643"/>
      <c r="AC343" s="1643"/>
      <c r="AD343" s="1643"/>
      <c r="AE343" s="1643"/>
      <c r="AF343" s="1643"/>
      <c r="AG343" s="1643"/>
      <c r="AH343" s="1643"/>
      <c r="AI343" s="1643"/>
      <c r="AJ343" s="1643"/>
      <c r="AK343" s="1643"/>
      <c r="AL343" s="1643"/>
      <c r="AM343" s="1643"/>
    </row>
    <row r="344" spans="1:39" ht="15.75" customHeight="1" x14ac:dyDescent="0.3">
      <c r="A344" s="1643"/>
      <c r="B344" s="1643"/>
      <c r="C344" s="1643"/>
      <c r="D344" s="1643"/>
      <c r="E344" s="1643"/>
      <c r="F344" s="1643"/>
      <c r="G344" s="1643"/>
      <c r="H344" s="1643"/>
      <c r="I344" s="1643"/>
      <c r="J344" s="1643"/>
      <c r="K344" s="1643"/>
      <c r="L344" s="1643"/>
      <c r="M344" s="1643"/>
      <c r="N344" s="1643"/>
      <c r="O344" s="1643"/>
      <c r="P344" s="1643"/>
      <c r="Q344" s="1643"/>
      <c r="R344" s="1643"/>
      <c r="S344" s="1643"/>
      <c r="T344" s="1643"/>
      <c r="U344" s="1643"/>
      <c r="V344" s="1643"/>
      <c r="W344" s="1643"/>
      <c r="X344" s="1643"/>
      <c r="Y344" s="1643"/>
      <c r="Z344" s="1643"/>
      <c r="AA344" s="1643"/>
      <c r="AB344" s="1643"/>
      <c r="AC344" s="1643"/>
      <c r="AD344" s="1643"/>
      <c r="AE344" s="1643"/>
      <c r="AF344" s="1643"/>
      <c r="AG344" s="1643"/>
      <c r="AH344" s="1643"/>
      <c r="AI344" s="1643"/>
      <c r="AJ344" s="1643"/>
      <c r="AK344" s="1643"/>
      <c r="AL344" s="1643"/>
      <c r="AM344" s="1643"/>
    </row>
    <row r="345" spans="1:39" ht="15.75" customHeight="1" x14ac:dyDescent="0.3">
      <c r="A345" s="1643"/>
      <c r="B345" s="1643"/>
      <c r="C345" s="1643"/>
      <c r="D345" s="1643"/>
      <c r="E345" s="1643"/>
      <c r="F345" s="1643"/>
      <c r="G345" s="1643"/>
      <c r="H345" s="1643"/>
      <c r="I345" s="1643"/>
      <c r="J345" s="1643"/>
      <c r="K345" s="1643"/>
      <c r="L345" s="1643"/>
      <c r="M345" s="1643"/>
      <c r="N345" s="1643"/>
      <c r="O345" s="1643"/>
      <c r="P345" s="1643"/>
      <c r="Q345" s="1643"/>
      <c r="R345" s="1643"/>
      <c r="S345" s="1643"/>
      <c r="T345" s="1643"/>
      <c r="U345" s="1643"/>
      <c r="V345" s="1643"/>
      <c r="W345" s="1643"/>
      <c r="X345" s="1643"/>
      <c r="Y345" s="1643"/>
      <c r="Z345" s="1643"/>
      <c r="AA345" s="1643"/>
      <c r="AB345" s="1643"/>
      <c r="AC345" s="1643"/>
      <c r="AD345" s="1643"/>
      <c r="AE345" s="1643"/>
      <c r="AF345" s="1643"/>
      <c r="AG345" s="1643"/>
      <c r="AH345" s="1643"/>
      <c r="AI345" s="1643"/>
      <c r="AJ345" s="1643"/>
      <c r="AK345" s="1643"/>
      <c r="AL345" s="1643"/>
      <c r="AM345" s="1643"/>
    </row>
    <row r="346" spans="1:39" ht="15.75" customHeight="1" x14ac:dyDescent="0.3">
      <c r="A346" s="1643"/>
      <c r="B346" s="1643"/>
      <c r="C346" s="1643"/>
      <c r="D346" s="1643"/>
      <c r="E346" s="1643"/>
      <c r="F346" s="1643"/>
      <c r="G346" s="1643"/>
      <c r="H346" s="1643"/>
      <c r="I346" s="1643"/>
      <c r="J346" s="1643"/>
      <c r="K346" s="1643"/>
      <c r="L346" s="1643"/>
      <c r="M346" s="1643"/>
      <c r="N346" s="1643"/>
      <c r="O346" s="1643"/>
      <c r="P346" s="1643"/>
      <c r="Q346" s="1643"/>
      <c r="R346" s="1643"/>
      <c r="S346" s="1643"/>
      <c r="T346" s="1643"/>
      <c r="U346" s="1643"/>
      <c r="V346" s="1643"/>
      <c r="W346" s="1643"/>
      <c r="X346" s="1643"/>
      <c r="Y346" s="1643"/>
      <c r="Z346" s="1643"/>
      <c r="AA346" s="1643"/>
      <c r="AB346" s="1643"/>
      <c r="AC346" s="1643"/>
      <c r="AD346" s="1643"/>
      <c r="AE346" s="1643"/>
      <c r="AF346" s="1643"/>
      <c r="AG346" s="1643"/>
      <c r="AH346" s="1643"/>
      <c r="AI346" s="1643"/>
      <c r="AJ346" s="1643"/>
      <c r="AK346" s="1643"/>
      <c r="AL346" s="1643"/>
      <c r="AM346" s="1643"/>
    </row>
    <row r="347" spans="1:39" ht="15.75" customHeight="1" x14ac:dyDescent="0.3">
      <c r="A347" s="1643"/>
      <c r="B347" s="1643"/>
      <c r="C347" s="1643"/>
      <c r="D347" s="1643"/>
      <c r="E347" s="1643"/>
      <c r="F347" s="1643"/>
      <c r="G347" s="1643"/>
      <c r="H347" s="1643"/>
      <c r="I347" s="1643"/>
      <c r="J347" s="1643"/>
      <c r="K347" s="1643"/>
      <c r="L347" s="1643"/>
      <c r="M347" s="1643"/>
      <c r="N347" s="1643"/>
      <c r="O347" s="1643"/>
      <c r="P347" s="1643"/>
      <c r="Q347" s="1643"/>
      <c r="R347" s="1643"/>
      <c r="S347" s="1643"/>
      <c r="T347" s="1643"/>
      <c r="U347" s="1643"/>
      <c r="V347" s="1643"/>
      <c r="W347" s="1643"/>
      <c r="X347" s="1643"/>
      <c r="Y347" s="1643"/>
      <c r="Z347" s="1643"/>
      <c r="AA347" s="1643"/>
      <c r="AB347" s="1643"/>
      <c r="AC347" s="1643"/>
      <c r="AD347" s="1643"/>
      <c r="AE347" s="1643"/>
      <c r="AF347" s="1643"/>
      <c r="AG347" s="1643"/>
      <c r="AH347" s="1643"/>
      <c r="AI347" s="1643"/>
      <c r="AJ347" s="1643"/>
      <c r="AK347" s="1643"/>
      <c r="AL347" s="1643"/>
      <c r="AM347" s="1643"/>
    </row>
    <row r="348" spans="1:39" ht="15.75" customHeight="1" x14ac:dyDescent="0.3">
      <c r="A348" s="1643"/>
      <c r="B348" s="1643"/>
      <c r="C348" s="1643"/>
      <c r="D348" s="1643"/>
      <c r="E348" s="1643"/>
      <c r="F348" s="1643"/>
      <c r="G348" s="1643"/>
      <c r="H348" s="1643"/>
      <c r="I348" s="1643"/>
      <c r="J348" s="1643"/>
      <c r="K348" s="1643"/>
      <c r="L348" s="1643"/>
      <c r="M348" s="1643"/>
      <c r="N348" s="1643"/>
      <c r="O348" s="1643"/>
      <c r="P348" s="1643"/>
      <c r="Q348" s="1643"/>
      <c r="R348" s="1643"/>
      <c r="S348" s="1643"/>
      <c r="T348" s="1643"/>
      <c r="U348" s="1643"/>
      <c r="V348" s="1643"/>
      <c r="W348" s="1643"/>
      <c r="X348" s="1643"/>
      <c r="Y348" s="1643"/>
      <c r="Z348" s="1643"/>
      <c r="AA348" s="1643"/>
      <c r="AB348" s="1643"/>
      <c r="AC348" s="1643"/>
      <c r="AD348" s="1643"/>
      <c r="AE348" s="1643"/>
      <c r="AF348" s="1643"/>
      <c r="AG348" s="1643"/>
      <c r="AH348" s="1643"/>
      <c r="AI348" s="1643"/>
      <c r="AJ348" s="1643"/>
      <c r="AK348" s="1643"/>
      <c r="AL348" s="1643"/>
      <c r="AM348" s="1643"/>
    </row>
    <row r="349" spans="1:39" ht="15.75" customHeight="1" x14ac:dyDescent="0.3">
      <c r="A349" s="1643"/>
      <c r="B349" s="1643"/>
      <c r="C349" s="1643"/>
      <c r="D349" s="1643"/>
      <c r="E349" s="1643"/>
      <c r="F349" s="1643"/>
      <c r="G349" s="1643"/>
      <c r="H349" s="1643"/>
      <c r="I349" s="1643"/>
      <c r="J349" s="1643"/>
      <c r="K349" s="1643"/>
      <c r="L349" s="1643"/>
      <c r="M349" s="1643"/>
      <c r="N349" s="1643"/>
      <c r="O349" s="1643"/>
      <c r="P349" s="1643"/>
      <c r="Q349" s="1643"/>
      <c r="R349" s="1643"/>
      <c r="S349" s="1643"/>
      <c r="T349" s="1643"/>
      <c r="U349" s="1643"/>
      <c r="V349" s="1643"/>
      <c r="W349" s="1643"/>
      <c r="X349" s="1643"/>
      <c r="Y349" s="1643"/>
      <c r="Z349" s="1643"/>
      <c r="AA349" s="1643"/>
      <c r="AB349" s="1643"/>
      <c r="AC349" s="1643"/>
      <c r="AD349" s="1643"/>
      <c r="AE349" s="1643"/>
      <c r="AF349" s="1643"/>
      <c r="AG349" s="1643"/>
      <c r="AH349" s="1643"/>
      <c r="AI349" s="1643"/>
      <c r="AJ349" s="1643"/>
      <c r="AK349" s="1643"/>
      <c r="AL349" s="1643"/>
      <c r="AM349" s="1643"/>
    </row>
    <row r="350" spans="1:39" ht="15.75" customHeight="1" x14ac:dyDescent="0.3">
      <c r="A350" s="1643"/>
      <c r="B350" s="1643"/>
      <c r="C350" s="1643"/>
      <c r="D350" s="1643"/>
      <c r="E350" s="1643"/>
      <c r="F350" s="1643"/>
      <c r="G350" s="1643"/>
      <c r="H350" s="1643"/>
      <c r="I350" s="1643"/>
      <c r="J350" s="1643"/>
      <c r="K350" s="1643"/>
      <c r="L350" s="1643"/>
      <c r="M350" s="1643"/>
      <c r="N350" s="1643"/>
      <c r="O350" s="1643"/>
      <c r="P350" s="1643"/>
      <c r="Q350" s="1643"/>
      <c r="R350" s="1643"/>
      <c r="S350" s="1643"/>
      <c r="T350" s="1643"/>
      <c r="U350" s="1643"/>
      <c r="V350" s="1643"/>
      <c r="W350" s="1643"/>
      <c r="X350" s="1643"/>
      <c r="Y350" s="1643"/>
      <c r="Z350" s="1643"/>
      <c r="AA350" s="1643"/>
      <c r="AB350" s="1643"/>
      <c r="AC350" s="1643"/>
      <c r="AD350" s="1643"/>
      <c r="AE350" s="1643"/>
      <c r="AF350" s="1643"/>
      <c r="AG350" s="1643"/>
      <c r="AH350" s="1643"/>
      <c r="AI350" s="1643"/>
      <c r="AJ350" s="1643"/>
      <c r="AK350" s="1643"/>
      <c r="AL350" s="1643"/>
      <c r="AM350" s="1643"/>
    </row>
    <row r="351" spans="1:39" ht="15.75" customHeight="1" x14ac:dyDescent="0.3">
      <c r="A351" s="1643"/>
      <c r="B351" s="1643"/>
      <c r="C351" s="1643"/>
      <c r="D351" s="1643"/>
      <c r="E351" s="1643"/>
      <c r="F351" s="1643"/>
      <c r="G351" s="1643"/>
      <c r="H351" s="1643"/>
      <c r="I351" s="1643"/>
      <c r="J351" s="1643"/>
      <c r="K351" s="1643"/>
      <c r="L351" s="1643"/>
      <c r="M351" s="1643"/>
      <c r="N351" s="1643"/>
      <c r="O351" s="1643"/>
      <c r="P351" s="1643"/>
      <c r="Q351" s="1643"/>
      <c r="R351" s="1643"/>
      <c r="S351" s="1643"/>
      <c r="T351" s="1643"/>
      <c r="U351" s="1643"/>
      <c r="V351" s="1643"/>
      <c r="W351" s="1643"/>
      <c r="X351" s="1643"/>
      <c r="Y351" s="1643"/>
      <c r="Z351" s="1643"/>
      <c r="AA351" s="1643"/>
      <c r="AB351" s="1643"/>
      <c r="AC351" s="1643"/>
      <c r="AD351" s="1643"/>
      <c r="AE351" s="1643"/>
      <c r="AF351" s="1643"/>
      <c r="AG351" s="1643"/>
      <c r="AH351" s="1643"/>
      <c r="AI351" s="1643"/>
      <c r="AJ351" s="1643"/>
      <c r="AK351" s="1643"/>
      <c r="AL351" s="1643"/>
      <c r="AM351" s="1643"/>
    </row>
    <row r="352" spans="1:39" ht="15.75" customHeight="1" x14ac:dyDescent="0.3">
      <c r="A352" s="1643"/>
      <c r="B352" s="1643"/>
      <c r="C352" s="1643"/>
      <c r="D352" s="1643"/>
      <c r="E352" s="1643"/>
      <c r="F352" s="1643"/>
      <c r="G352" s="1643"/>
      <c r="H352" s="1643"/>
      <c r="I352" s="1643"/>
      <c r="J352" s="1643"/>
      <c r="K352" s="1643"/>
      <c r="L352" s="1643"/>
      <c r="M352" s="1643"/>
      <c r="N352" s="1643"/>
      <c r="O352" s="1643"/>
      <c r="P352" s="1643"/>
      <c r="Q352" s="1643"/>
      <c r="R352" s="1643"/>
      <c r="S352" s="1643"/>
      <c r="T352" s="1643"/>
      <c r="U352" s="1643"/>
      <c r="V352" s="1643"/>
      <c r="W352" s="1643"/>
      <c r="X352" s="1643"/>
      <c r="Y352" s="1643"/>
      <c r="Z352" s="1643"/>
      <c r="AA352" s="1643"/>
      <c r="AB352" s="1643"/>
      <c r="AC352" s="1643"/>
      <c r="AD352" s="1643"/>
      <c r="AE352" s="1643"/>
      <c r="AF352" s="1643"/>
      <c r="AG352" s="1643"/>
      <c r="AH352" s="1643"/>
      <c r="AI352" s="1643"/>
      <c r="AJ352" s="1643"/>
      <c r="AK352" s="1643"/>
      <c r="AL352" s="1643"/>
      <c r="AM352" s="1643"/>
    </row>
    <row r="353" spans="1:39" ht="15.75" customHeight="1" x14ac:dyDescent="0.3">
      <c r="A353" s="1643"/>
      <c r="B353" s="1643"/>
      <c r="C353" s="1643"/>
      <c r="D353" s="1643"/>
      <c r="E353" s="1643"/>
      <c r="F353" s="1643"/>
      <c r="G353" s="1643"/>
      <c r="H353" s="1643"/>
      <c r="I353" s="1643"/>
      <c r="J353" s="1643"/>
      <c r="K353" s="1643"/>
      <c r="L353" s="1643"/>
      <c r="M353" s="1643"/>
      <c r="N353" s="1643"/>
      <c r="O353" s="1643"/>
      <c r="P353" s="1643"/>
      <c r="Q353" s="1643"/>
      <c r="R353" s="1643"/>
      <c r="S353" s="1643"/>
      <c r="T353" s="1643"/>
      <c r="U353" s="1643"/>
      <c r="V353" s="1643"/>
      <c r="W353" s="1643"/>
      <c r="X353" s="1643"/>
      <c r="Y353" s="1643"/>
      <c r="Z353" s="1643"/>
      <c r="AA353" s="1643"/>
      <c r="AB353" s="1643"/>
      <c r="AC353" s="1643"/>
      <c r="AD353" s="1643"/>
      <c r="AE353" s="1643"/>
      <c r="AF353" s="1643"/>
      <c r="AG353" s="1643"/>
      <c r="AH353" s="1643"/>
      <c r="AI353" s="1643"/>
      <c r="AJ353" s="1643"/>
      <c r="AK353" s="1643"/>
      <c r="AL353" s="1643"/>
      <c r="AM353" s="1643"/>
    </row>
    <row r="354" spans="1:39" ht="15.75" customHeight="1" x14ac:dyDescent="0.3">
      <c r="A354" s="1643"/>
      <c r="B354" s="1643"/>
      <c r="C354" s="1643"/>
      <c r="D354" s="1643"/>
      <c r="E354" s="1643"/>
      <c r="F354" s="1643"/>
      <c r="G354" s="1643"/>
      <c r="H354" s="1643"/>
      <c r="I354" s="1643"/>
      <c r="J354" s="1643"/>
      <c r="K354" s="1643"/>
      <c r="L354" s="1643"/>
      <c r="M354" s="1643"/>
      <c r="N354" s="1643"/>
      <c r="O354" s="1643"/>
      <c r="P354" s="1643"/>
      <c r="Q354" s="1643"/>
      <c r="R354" s="1643"/>
      <c r="S354" s="1643"/>
      <c r="T354" s="1643"/>
      <c r="U354" s="1643"/>
      <c r="V354" s="1643"/>
      <c r="W354" s="1643"/>
      <c r="X354" s="1643"/>
      <c r="Y354" s="1643"/>
      <c r="Z354" s="1643"/>
      <c r="AA354" s="1643"/>
      <c r="AB354" s="1643"/>
      <c r="AC354" s="1643"/>
      <c r="AD354" s="1643"/>
      <c r="AE354" s="1643"/>
      <c r="AF354" s="1643"/>
      <c r="AG354" s="1643"/>
      <c r="AH354" s="1643"/>
      <c r="AI354" s="1643"/>
      <c r="AJ354" s="1643"/>
      <c r="AK354" s="1643"/>
      <c r="AL354" s="1643"/>
      <c r="AM354" s="1643"/>
    </row>
    <row r="355" spans="1:39" ht="15.75" customHeight="1" x14ac:dyDescent="0.3">
      <c r="A355" s="1643"/>
      <c r="B355" s="1643"/>
      <c r="C355" s="1643"/>
      <c r="D355" s="1643"/>
      <c r="E355" s="1643"/>
      <c r="F355" s="1643"/>
      <c r="G355" s="1643"/>
      <c r="H355" s="1643"/>
      <c r="I355" s="1643"/>
      <c r="J355" s="1643"/>
      <c r="K355" s="1643"/>
      <c r="L355" s="1643"/>
      <c r="M355" s="1643"/>
      <c r="N355" s="1643"/>
      <c r="O355" s="1643"/>
      <c r="P355" s="1643"/>
      <c r="Q355" s="1643"/>
      <c r="R355" s="1643"/>
      <c r="S355" s="1643"/>
      <c r="T355" s="1643"/>
      <c r="U355" s="1643"/>
      <c r="V355" s="1643"/>
      <c r="W355" s="1643"/>
      <c r="X355" s="1643"/>
      <c r="Y355" s="1643"/>
      <c r="Z355" s="1643"/>
      <c r="AA355" s="1643"/>
      <c r="AB355" s="1643"/>
      <c r="AC355" s="1643"/>
      <c r="AD355" s="1643"/>
      <c r="AE355" s="1643"/>
      <c r="AF355" s="1643"/>
      <c r="AG355" s="1643"/>
      <c r="AH355" s="1643"/>
      <c r="AI355" s="1643"/>
      <c r="AJ355" s="1643"/>
      <c r="AK355" s="1643"/>
      <c r="AL355" s="1643"/>
      <c r="AM355" s="1643"/>
    </row>
    <row r="356" spans="1:39" ht="15.75" customHeight="1" x14ac:dyDescent="0.3">
      <c r="A356" s="1643"/>
      <c r="B356" s="1643"/>
      <c r="C356" s="1643"/>
      <c r="D356" s="1643"/>
      <c r="E356" s="1643"/>
      <c r="F356" s="1643"/>
      <c r="G356" s="1643"/>
      <c r="H356" s="1643"/>
      <c r="I356" s="1643"/>
      <c r="J356" s="1643"/>
      <c r="K356" s="1643"/>
      <c r="L356" s="1643"/>
      <c r="M356" s="1643"/>
      <c r="N356" s="1643"/>
      <c r="O356" s="1643"/>
      <c r="P356" s="1643"/>
      <c r="Q356" s="1643"/>
      <c r="R356" s="1643"/>
      <c r="S356" s="1643"/>
      <c r="T356" s="1643"/>
      <c r="U356" s="1643"/>
      <c r="V356" s="1643"/>
      <c r="W356" s="1643"/>
      <c r="X356" s="1643"/>
      <c r="Y356" s="1643"/>
      <c r="Z356" s="1643"/>
      <c r="AA356" s="1643"/>
      <c r="AB356" s="1643"/>
      <c r="AC356" s="1643"/>
      <c r="AD356" s="1643"/>
      <c r="AE356" s="1643"/>
      <c r="AF356" s="1643"/>
      <c r="AG356" s="1643"/>
      <c r="AH356" s="1643"/>
      <c r="AI356" s="1643"/>
      <c r="AJ356" s="1643"/>
      <c r="AK356" s="1643"/>
      <c r="AL356" s="1643"/>
      <c r="AM356" s="1643"/>
    </row>
    <row r="357" spans="1:39" ht="15.75" customHeight="1" x14ac:dyDescent="0.3">
      <c r="A357" s="1643"/>
      <c r="B357" s="1643"/>
      <c r="C357" s="1643"/>
      <c r="D357" s="1643"/>
      <c r="E357" s="1643"/>
      <c r="F357" s="1643"/>
      <c r="G357" s="1643"/>
      <c r="H357" s="1643"/>
      <c r="I357" s="1643"/>
      <c r="J357" s="1643"/>
      <c r="K357" s="1643"/>
      <c r="L357" s="1643"/>
      <c r="M357" s="1643"/>
      <c r="N357" s="1643"/>
      <c r="O357" s="1643"/>
      <c r="P357" s="1643"/>
      <c r="Q357" s="1643"/>
      <c r="R357" s="1643"/>
      <c r="S357" s="1643"/>
      <c r="T357" s="1643"/>
      <c r="U357" s="1643"/>
      <c r="V357" s="1643"/>
      <c r="W357" s="1643"/>
      <c r="X357" s="1643"/>
      <c r="Y357" s="1643"/>
      <c r="Z357" s="1643"/>
      <c r="AA357" s="1643"/>
      <c r="AB357" s="1643"/>
      <c r="AC357" s="1643"/>
      <c r="AD357" s="1643"/>
      <c r="AE357" s="1643"/>
      <c r="AF357" s="1643"/>
      <c r="AG357" s="1643"/>
      <c r="AH357" s="1643"/>
      <c r="AI357" s="1643"/>
      <c r="AJ357" s="1643"/>
      <c r="AK357" s="1643"/>
      <c r="AL357" s="1643"/>
      <c r="AM357" s="1643"/>
    </row>
    <row r="358" spans="1:39" ht="15.75" customHeight="1" x14ac:dyDescent="0.3">
      <c r="A358" s="1643"/>
      <c r="B358" s="1643"/>
      <c r="C358" s="1643"/>
      <c r="D358" s="1643"/>
      <c r="E358" s="1643"/>
      <c r="F358" s="1643"/>
      <c r="G358" s="1643"/>
      <c r="H358" s="1643"/>
      <c r="I358" s="1643"/>
      <c r="J358" s="1643"/>
      <c r="K358" s="1643"/>
      <c r="L358" s="1643"/>
      <c r="M358" s="1643"/>
      <c r="N358" s="1643"/>
      <c r="O358" s="1643"/>
      <c r="P358" s="1643"/>
      <c r="Q358" s="1643"/>
      <c r="R358" s="1643"/>
      <c r="S358" s="1643"/>
      <c r="T358" s="1643"/>
      <c r="U358" s="1643"/>
      <c r="V358" s="1643"/>
      <c r="W358" s="1643"/>
      <c r="X358" s="1643"/>
      <c r="Y358" s="1643"/>
      <c r="Z358" s="1643"/>
      <c r="AA358" s="1643"/>
      <c r="AB358" s="1643"/>
      <c r="AC358" s="1643"/>
      <c r="AD358" s="1643"/>
      <c r="AE358" s="1643"/>
      <c r="AF358" s="1643"/>
      <c r="AG358" s="1643"/>
      <c r="AH358" s="1643"/>
      <c r="AI358" s="1643"/>
      <c r="AJ358" s="1643"/>
      <c r="AK358" s="1643"/>
      <c r="AL358" s="1643"/>
      <c r="AM358" s="1643"/>
    </row>
    <row r="359" spans="1:39" ht="15.75" customHeight="1" x14ac:dyDescent="0.3">
      <c r="A359" s="1643"/>
      <c r="B359" s="1643"/>
      <c r="C359" s="1643"/>
      <c r="D359" s="1643"/>
      <c r="E359" s="1643"/>
      <c r="F359" s="1643"/>
      <c r="G359" s="1643"/>
      <c r="H359" s="1643"/>
      <c r="I359" s="1643"/>
      <c r="J359" s="1643"/>
      <c r="K359" s="1643"/>
      <c r="L359" s="1643"/>
      <c r="M359" s="1643"/>
      <c r="N359" s="1643"/>
      <c r="O359" s="1643"/>
      <c r="P359" s="1643"/>
      <c r="Q359" s="1643"/>
      <c r="R359" s="1643"/>
      <c r="S359" s="1643"/>
      <c r="T359" s="1643"/>
      <c r="U359" s="1643"/>
      <c r="V359" s="1643"/>
      <c r="W359" s="1643"/>
      <c r="X359" s="1643"/>
      <c r="Y359" s="1643"/>
      <c r="Z359" s="1643"/>
      <c r="AA359" s="1643"/>
      <c r="AB359" s="1643"/>
      <c r="AC359" s="1643"/>
      <c r="AD359" s="1643"/>
      <c r="AE359" s="1643"/>
      <c r="AF359" s="1643"/>
      <c r="AG359" s="1643"/>
      <c r="AH359" s="1643"/>
      <c r="AI359" s="1643"/>
      <c r="AJ359" s="1643"/>
      <c r="AK359" s="1643"/>
      <c r="AL359" s="1643"/>
      <c r="AM359" s="1643"/>
    </row>
    <row r="360" spans="1:39" ht="15.75" customHeight="1" x14ac:dyDescent="0.3">
      <c r="A360" s="1643"/>
      <c r="B360" s="1643"/>
      <c r="C360" s="1643"/>
      <c r="D360" s="1643"/>
      <c r="E360" s="1643"/>
      <c r="F360" s="1643"/>
      <c r="G360" s="1643"/>
      <c r="H360" s="1643"/>
      <c r="I360" s="1643"/>
      <c r="J360" s="1643"/>
      <c r="K360" s="1643"/>
      <c r="L360" s="1643"/>
      <c r="M360" s="1643"/>
      <c r="N360" s="1643"/>
      <c r="O360" s="1643"/>
      <c r="P360" s="1643"/>
      <c r="Q360" s="1643"/>
      <c r="R360" s="1643"/>
      <c r="S360" s="1643"/>
      <c r="T360" s="1643"/>
      <c r="U360" s="1643"/>
      <c r="V360" s="1643"/>
      <c r="W360" s="1643"/>
      <c r="X360" s="1643"/>
      <c r="Y360" s="1643"/>
      <c r="Z360" s="1643"/>
      <c r="AA360" s="1643"/>
      <c r="AB360" s="1643"/>
      <c r="AC360" s="1643"/>
      <c r="AD360" s="1643"/>
      <c r="AE360" s="1643"/>
      <c r="AF360" s="1643"/>
      <c r="AG360" s="1643"/>
      <c r="AH360" s="1643"/>
      <c r="AI360" s="1643"/>
      <c r="AJ360" s="1643"/>
      <c r="AK360" s="1643"/>
      <c r="AL360" s="1643"/>
      <c r="AM360" s="1643"/>
    </row>
    <row r="361" spans="1:39" ht="15.75" customHeight="1" x14ac:dyDescent="0.3">
      <c r="A361" s="1643"/>
      <c r="B361" s="1643"/>
      <c r="C361" s="1643"/>
      <c r="D361" s="1643"/>
      <c r="E361" s="1643"/>
      <c r="F361" s="1643"/>
      <c r="G361" s="1643"/>
      <c r="H361" s="1643"/>
      <c r="I361" s="1643"/>
      <c r="J361" s="1643"/>
      <c r="K361" s="1643"/>
      <c r="L361" s="1643"/>
      <c r="M361" s="1643"/>
      <c r="N361" s="1643"/>
      <c r="O361" s="1643"/>
      <c r="P361" s="1643"/>
      <c r="Q361" s="1643"/>
      <c r="R361" s="1643"/>
      <c r="S361" s="1643"/>
      <c r="T361" s="1643"/>
      <c r="U361" s="1643"/>
      <c r="V361" s="1643"/>
      <c r="W361" s="1643"/>
      <c r="X361" s="1643"/>
      <c r="Y361" s="1643"/>
      <c r="Z361" s="1643"/>
      <c r="AA361" s="1643"/>
      <c r="AB361" s="1643"/>
      <c r="AC361" s="1643"/>
      <c r="AD361" s="1643"/>
      <c r="AE361" s="1643"/>
      <c r="AF361" s="1643"/>
      <c r="AG361" s="1643"/>
      <c r="AH361" s="1643"/>
      <c r="AI361" s="1643"/>
      <c r="AJ361" s="1643"/>
      <c r="AK361" s="1643"/>
      <c r="AL361" s="1643"/>
      <c r="AM361" s="1643"/>
    </row>
    <row r="362" spans="1:39" ht="15.75" customHeight="1" x14ac:dyDescent="0.3">
      <c r="A362" s="1643"/>
      <c r="B362" s="1643"/>
      <c r="C362" s="1643"/>
      <c r="D362" s="1643"/>
      <c r="E362" s="1643"/>
      <c r="F362" s="1643"/>
      <c r="G362" s="1643"/>
      <c r="H362" s="1643"/>
      <c r="I362" s="1643"/>
      <c r="J362" s="1643"/>
      <c r="K362" s="1643"/>
      <c r="L362" s="1643"/>
      <c r="M362" s="1643"/>
      <c r="N362" s="1643"/>
      <c r="O362" s="1643"/>
      <c r="P362" s="1643"/>
      <c r="Q362" s="1643"/>
      <c r="R362" s="1643"/>
      <c r="S362" s="1643"/>
      <c r="T362" s="1643"/>
      <c r="U362" s="1643"/>
      <c r="V362" s="1643"/>
      <c r="W362" s="1643"/>
      <c r="X362" s="1643"/>
      <c r="Y362" s="1643"/>
      <c r="Z362" s="1643"/>
      <c r="AA362" s="1643"/>
      <c r="AB362" s="1643"/>
      <c r="AC362" s="1643"/>
      <c r="AD362" s="1643"/>
      <c r="AE362" s="1643"/>
      <c r="AF362" s="1643"/>
      <c r="AG362" s="1643"/>
      <c r="AH362" s="1643"/>
      <c r="AI362" s="1643"/>
      <c r="AJ362" s="1643"/>
      <c r="AK362" s="1643"/>
      <c r="AL362" s="1643"/>
      <c r="AM362" s="1643"/>
    </row>
    <row r="363" spans="1:39" ht="15.75" customHeight="1" x14ac:dyDescent="0.3">
      <c r="A363" s="1643"/>
      <c r="B363" s="1643"/>
      <c r="C363" s="1643"/>
      <c r="D363" s="1643"/>
      <c r="E363" s="1643"/>
      <c r="F363" s="1643"/>
      <c r="G363" s="1643"/>
      <c r="H363" s="1643"/>
      <c r="I363" s="1643"/>
      <c r="J363" s="1643"/>
      <c r="K363" s="1643"/>
      <c r="L363" s="1643"/>
      <c r="M363" s="1643"/>
      <c r="N363" s="1643"/>
      <c r="O363" s="1643"/>
      <c r="P363" s="1643"/>
      <c r="Q363" s="1643"/>
      <c r="R363" s="1643"/>
      <c r="S363" s="1643"/>
      <c r="T363" s="1643"/>
      <c r="U363" s="1643"/>
      <c r="V363" s="1643"/>
      <c r="W363" s="1643"/>
      <c r="X363" s="1643"/>
      <c r="Y363" s="1643"/>
      <c r="Z363" s="1643"/>
      <c r="AA363" s="1643"/>
      <c r="AB363" s="1643"/>
      <c r="AC363" s="1643"/>
      <c r="AD363" s="1643"/>
      <c r="AE363" s="1643"/>
      <c r="AF363" s="1643"/>
      <c r="AG363" s="1643"/>
      <c r="AH363" s="1643"/>
      <c r="AI363" s="1643"/>
      <c r="AJ363" s="1643"/>
      <c r="AK363" s="1643"/>
      <c r="AL363" s="1643"/>
      <c r="AM363" s="1643"/>
    </row>
    <row r="364" spans="1:39" ht="15.75" customHeight="1" x14ac:dyDescent="0.3">
      <c r="A364" s="1643"/>
      <c r="B364" s="1643"/>
      <c r="C364" s="1643"/>
      <c r="D364" s="1643"/>
      <c r="E364" s="1643"/>
      <c r="F364" s="1643"/>
      <c r="G364" s="1643"/>
      <c r="H364" s="1643"/>
      <c r="I364" s="1643"/>
      <c r="J364" s="1643"/>
      <c r="K364" s="1643"/>
      <c r="L364" s="1643"/>
      <c r="M364" s="1643"/>
      <c r="N364" s="1643"/>
      <c r="O364" s="1643"/>
      <c r="P364" s="1643"/>
      <c r="Q364" s="1643"/>
      <c r="R364" s="1643"/>
      <c r="S364" s="1643"/>
      <c r="T364" s="1643"/>
      <c r="U364" s="1643"/>
      <c r="V364" s="1643"/>
      <c r="W364" s="1643"/>
      <c r="X364" s="1643"/>
      <c r="Y364" s="1643"/>
      <c r="Z364" s="1643"/>
      <c r="AA364" s="1643"/>
      <c r="AB364" s="1643"/>
      <c r="AC364" s="1643"/>
      <c r="AD364" s="1643"/>
      <c r="AE364" s="1643"/>
      <c r="AF364" s="1643"/>
      <c r="AG364" s="1643"/>
      <c r="AH364" s="1643"/>
      <c r="AI364" s="1643"/>
      <c r="AJ364" s="1643"/>
      <c r="AK364" s="1643"/>
      <c r="AL364" s="1643"/>
      <c r="AM364" s="1643"/>
    </row>
    <row r="365" spans="1:39" ht="15.75" customHeight="1" x14ac:dyDescent="0.3">
      <c r="A365" s="1643"/>
      <c r="B365" s="1643"/>
      <c r="C365" s="1643"/>
      <c r="D365" s="1643"/>
      <c r="E365" s="1643"/>
      <c r="F365" s="1643"/>
      <c r="G365" s="1643"/>
      <c r="H365" s="1643"/>
      <c r="I365" s="1643"/>
      <c r="J365" s="1643"/>
      <c r="K365" s="1643"/>
      <c r="L365" s="1643"/>
      <c r="M365" s="1643"/>
      <c r="N365" s="1643"/>
      <c r="O365" s="1643"/>
      <c r="P365" s="1643"/>
      <c r="Q365" s="1643"/>
      <c r="R365" s="1643"/>
      <c r="S365" s="1643"/>
      <c r="T365" s="1643"/>
      <c r="U365" s="1643"/>
      <c r="V365" s="1643"/>
      <c r="W365" s="1643"/>
      <c r="X365" s="1643"/>
      <c r="Y365" s="1643"/>
      <c r="Z365" s="1643"/>
      <c r="AA365" s="1643"/>
      <c r="AB365" s="1643"/>
      <c r="AC365" s="1643"/>
      <c r="AD365" s="1643"/>
      <c r="AE365" s="1643"/>
      <c r="AF365" s="1643"/>
      <c r="AG365" s="1643"/>
      <c r="AH365" s="1643"/>
      <c r="AI365" s="1643"/>
      <c r="AJ365" s="1643"/>
      <c r="AK365" s="1643"/>
      <c r="AL365" s="1643"/>
      <c r="AM365" s="1643"/>
    </row>
    <row r="366" spans="1:39" ht="15.75" customHeight="1" x14ac:dyDescent="0.3">
      <c r="A366" s="1643"/>
      <c r="B366" s="1643"/>
      <c r="C366" s="1643"/>
      <c r="D366" s="1643"/>
      <c r="E366" s="1643"/>
      <c r="F366" s="1643"/>
      <c r="G366" s="1643"/>
      <c r="H366" s="1643"/>
      <c r="I366" s="1643"/>
      <c r="J366" s="1643"/>
      <c r="K366" s="1643"/>
      <c r="L366" s="1643"/>
      <c r="M366" s="1643"/>
      <c r="N366" s="1643"/>
      <c r="O366" s="1643"/>
      <c r="P366" s="1643"/>
      <c r="Q366" s="1643"/>
      <c r="R366" s="1643"/>
      <c r="S366" s="1643"/>
      <c r="T366" s="1643"/>
      <c r="U366" s="1643"/>
      <c r="V366" s="1643"/>
      <c r="W366" s="1643"/>
      <c r="X366" s="1643"/>
      <c r="Y366" s="1643"/>
      <c r="Z366" s="1643"/>
      <c r="AA366" s="1643"/>
      <c r="AB366" s="1643"/>
      <c r="AC366" s="1643"/>
      <c r="AD366" s="1643"/>
      <c r="AE366" s="1643"/>
      <c r="AF366" s="1643"/>
      <c r="AG366" s="1643"/>
      <c r="AH366" s="1643"/>
      <c r="AI366" s="1643"/>
      <c r="AJ366" s="1643"/>
      <c r="AK366" s="1643"/>
      <c r="AL366" s="1643"/>
      <c r="AM366" s="1643"/>
    </row>
    <row r="367" spans="1:39" ht="15.75" customHeight="1" x14ac:dyDescent="0.3">
      <c r="A367" s="1643"/>
      <c r="B367" s="1643"/>
      <c r="C367" s="1643"/>
      <c r="D367" s="1643"/>
      <c r="E367" s="1643"/>
      <c r="F367" s="1643"/>
      <c r="G367" s="1643"/>
      <c r="H367" s="1643"/>
      <c r="I367" s="1643"/>
      <c r="J367" s="1643"/>
      <c r="K367" s="1643"/>
      <c r="L367" s="1643"/>
      <c r="M367" s="1643"/>
      <c r="N367" s="1643"/>
      <c r="O367" s="1643"/>
      <c r="P367" s="1643"/>
      <c r="Q367" s="1643"/>
      <c r="R367" s="1643"/>
      <c r="S367" s="1643"/>
      <c r="T367" s="1643"/>
      <c r="U367" s="1643"/>
      <c r="V367" s="1643"/>
      <c r="W367" s="1643"/>
      <c r="X367" s="1643"/>
      <c r="Y367" s="1643"/>
      <c r="Z367" s="1643"/>
      <c r="AA367" s="1643"/>
      <c r="AB367" s="1643"/>
      <c r="AC367" s="1643"/>
      <c r="AD367" s="1643"/>
      <c r="AE367" s="1643"/>
      <c r="AF367" s="1643"/>
      <c r="AG367" s="1643"/>
      <c r="AH367" s="1643"/>
      <c r="AI367" s="1643"/>
      <c r="AJ367" s="1643"/>
      <c r="AK367" s="1643"/>
      <c r="AL367" s="1643"/>
      <c r="AM367" s="1643"/>
    </row>
    <row r="368" spans="1:39" ht="15.75" customHeight="1" x14ac:dyDescent="0.3">
      <c r="A368" s="1643"/>
      <c r="B368" s="1643"/>
      <c r="C368" s="1643"/>
      <c r="D368" s="1643"/>
      <c r="E368" s="1643"/>
      <c r="F368" s="1643"/>
      <c r="G368" s="1643"/>
      <c r="H368" s="1643"/>
      <c r="I368" s="1643"/>
      <c r="J368" s="1643"/>
      <c r="K368" s="1643"/>
      <c r="L368" s="1643"/>
      <c r="M368" s="1643"/>
      <c r="N368" s="1643"/>
      <c r="O368" s="1643"/>
      <c r="P368" s="1643"/>
      <c r="Q368" s="1643"/>
      <c r="R368" s="1643"/>
      <c r="S368" s="1643"/>
      <c r="T368" s="1643"/>
      <c r="U368" s="1643"/>
      <c r="V368" s="1643"/>
      <c r="W368" s="1643"/>
      <c r="X368" s="1643"/>
      <c r="Y368" s="1643"/>
      <c r="Z368" s="1643"/>
      <c r="AA368" s="1643"/>
      <c r="AB368" s="1643"/>
      <c r="AC368" s="1643"/>
      <c r="AD368" s="1643"/>
      <c r="AE368" s="1643"/>
      <c r="AF368" s="1643"/>
      <c r="AG368" s="1643"/>
      <c r="AH368" s="1643"/>
      <c r="AI368" s="1643"/>
      <c r="AJ368" s="1643"/>
      <c r="AK368" s="1643"/>
      <c r="AL368" s="1643"/>
      <c r="AM368" s="1643"/>
    </row>
    <row r="369" spans="1:39" ht="15.75" customHeight="1" x14ac:dyDescent="0.3">
      <c r="A369" s="1643"/>
      <c r="B369" s="1643"/>
      <c r="C369" s="1643"/>
      <c r="D369" s="1643"/>
      <c r="E369" s="1643"/>
      <c r="F369" s="1643"/>
      <c r="G369" s="1643"/>
      <c r="H369" s="1643"/>
      <c r="I369" s="1643"/>
      <c r="J369" s="1643"/>
      <c r="K369" s="1643"/>
      <c r="L369" s="1643"/>
      <c r="M369" s="1643"/>
      <c r="N369" s="1643"/>
      <c r="O369" s="1643"/>
      <c r="P369" s="1643"/>
      <c r="Q369" s="1643"/>
      <c r="R369" s="1643"/>
      <c r="S369" s="1643"/>
      <c r="T369" s="1643"/>
      <c r="U369" s="1643"/>
      <c r="V369" s="1643"/>
      <c r="W369" s="1643"/>
      <c r="X369" s="1643"/>
      <c r="Y369" s="1643"/>
      <c r="Z369" s="1643"/>
      <c r="AA369" s="1643"/>
      <c r="AB369" s="1643"/>
      <c r="AC369" s="1643"/>
      <c r="AD369" s="1643"/>
      <c r="AE369" s="1643"/>
      <c r="AF369" s="1643"/>
      <c r="AG369" s="1643"/>
      <c r="AH369" s="1643"/>
      <c r="AI369" s="1643"/>
      <c r="AJ369" s="1643"/>
      <c r="AK369" s="1643"/>
      <c r="AL369" s="1643"/>
      <c r="AM369" s="1643"/>
    </row>
    <row r="370" spans="1:39" ht="15.75" customHeight="1" x14ac:dyDescent="0.3">
      <c r="A370" s="1643"/>
      <c r="B370" s="1643"/>
      <c r="C370" s="1643"/>
      <c r="D370" s="1643"/>
      <c r="E370" s="1643"/>
      <c r="F370" s="1643"/>
      <c r="G370" s="1643"/>
      <c r="H370" s="1643"/>
      <c r="I370" s="1643"/>
      <c r="J370" s="1643"/>
      <c r="K370" s="1643"/>
      <c r="L370" s="1643"/>
      <c r="M370" s="1643"/>
      <c r="N370" s="1643"/>
      <c r="O370" s="1643"/>
      <c r="P370" s="1643"/>
      <c r="Q370" s="1643"/>
      <c r="R370" s="1643"/>
      <c r="S370" s="1643"/>
      <c r="T370" s="1643"/>
      <c r="U370" s="1643"/>
      <c r="V370" s="1643"/>
      <c r="W370" s="1643"/>
      <c r="X370" s="1643"/>
      <c r="Y370" s="1643"/>
      <c r="Z370" s="1643"/>
      <c r="AA370" s="1643"/>
      <c r="AB370" s="1643"/>
      <c r="AC370" s="1643"/>
      <c r="AD370" s="1643"/>
      <c r="AE370" s="1643"/>
      <c r="AF370" s="1643"/>
      <c r="AG370" s="1643"/>
      <c r="AH370" s="1643"/>
      <c r="AI370" s="1643"/>
      <c r="AJ370" s="1643"/>
      <c r="AK370" s="1643"/>
      <c r="AL370" s="1643"/>
      <c r="AM370" s="1643"/>
    </row>
    <row r="371" spans="1:39" ht="15.75" customHeight="1" x14ac:dyDescent="0.3">
      <c r="A371" s="1643"/>
      <c r="B371" s="1643"/>
      <c r="C371" s="1643"/>
      <c r="D371" s="1643"/>
      <c r="E371" s="1643"/>
      <c r="F371" s="1643"/>
      <c r="G371" s="1643"/>
      <c r="H371" s="1643"/>
      <c r="I371" s="1643"/>
      <c r="J371" s="1643"/>
      <c r="K371" s="1643"/>
      <c r="L371" s="1643"/>
      <c r="M371" s="1643"/>
      <c r="N371" s="1643"/>
      <c r="O371" s="1643"/>
      <c r="P371" s="1643"/>
      <c r="Q371" s="1643"/>
      <c r="R371" s="1643"/>
      <c r="S371" s="1643"/>
      <c r="T371" s="1643"/>
      <c r="U371" s="1643"/>
      <c r="V371" s="1643"/>
      <c r="W371" s="1643"/>
      <c r="X371" s="1643"/>
      <c r="Y371" s="1643"/>
      <c r="Z371" s="1643"/>
      <c r="AA371" s="1643"/>
      <c r="AB371" s="1643"/>
      <c r="AC371" s="1643"/>
      <c r="AD371" s="1643"/>
      <c r="AE371" s="1643"/>
      <c r="AF371" s="1643"/>
      <c r="AG371" s="1643"/>
      <c r="AH371" s="1643"/>
      <c r="AI371" s="1643"/>
      <c r="AJ371" s="1643"/>
      <c r="AK371" s="1643"/>
      <c r="AL371" s="1643"/>
      <c r="AM371" s="1643"/>
    </row>
    <row r="372" spans="1:39" ht="15.75" customHeight="1" x14ac:dyDescent="0.3">
      <c r="A372" s="1643"/>
      <c r="B372" s="1643"/>
      <c r="C372" s="1643"/>
      <c r="D372" s="1643"/>
      <c r="E372" s="1643"/>
      <c r="F372" s="1643"/>
      <c r="G372" s="1643"/>
      <c r="H372" s="1643"/>
      <c r="I372" s="1643"/>
      <c r="J372" s="1643"/>
      <c r="K372" s="1643"/>
      <c r="L372" s="1643"/>
      <c r="M372" s="1643"/>
      <c r="N372" s="1643"/>
      <c r="O372" s="1643"/>
      <c r="P372" s="1643"/>
      <c r="Q372" s="1643"/>
      <c r="R372" s="1643"/>
      <c r="S372" s="1643"/>
      <c r="T372" s="1643"/>
      <c r="U372" s="1643"/>
      <c r="V372" s="1643"/>
      <c r="W372" s="1643"/>
      <c r="X372" s="1643"/>
      <c r="Y372" s="1643"/>
      <c r="Z372" s="1643"/>
      <c r="AA372" s="1643"/>
      <c r="AB372" s="1643"/>
      <c r="AC372" s="1643"/>
      <c r="AD372" s="1643"/>
      <c r="AE372" s="1643"/>
      <c r="AF372" s="1643"/>
      <c r="AG372" s="1643"/>
      <c r="AH372" s="1643"/>
      <c r="AI372" s="1643"/>
      <c r="AJ372" s="1643"/>
      <c r="AK372" s="1643"/>
      <c r="AL372" s="1643"/>
      <c r="AM372" s="1643"/>
    </row>
    <row r="373" spans="1:39" ht="15.75" customHeight="1" x14ac:dyDescent="0.3">
      <c r="A373" s="1643"/>
      <c r="B373" s="1643"/>
      <c r="C373" s="1643"/>
      <c r="D373" s="1643"/>
      <c r="E373" s="1643"/>
      <c r="F373" s="1643"/>
      <c r="G373" s="1643"/>
      <c r="H373" s="1643"/>
      <c r="I373" s="1643"/>
      <c r="J373" s="1643"/>
      <c r="K373" s="1643"/>
      <c r="L373" s="1643"/>
      <c r="M373" s="1643"/>
      <c r="N373" s="1643"/>
      <c r="O373" s="1643"/>
      <c r="P373" s="1643"/>
      <c r="Q373" s="1643"/>
      <c r="R373" s="1643"/>
      <c r="S373" s="1643"/>
      <c r="T373" s="1643"/>
      <c r="U373" s="1643"/>
      <c r="V373" s="1643"/>
      <c r="W373" s="1643"/>
      <c r="X373" s="1643"/>
      <c r="Y373" s="1643"/>
      <c r="Z373" s="1643"/>
      <c r="AA373" s="1643"/>
      <c r="AB373" s="1643"/>
      <c r="AC373" s="1643"/>
      <c r="AD373" s="1643"/>
      <c r="AE373" s="1643"/>
      <c r="AF373" s="1643"/>
      <c r="AG373" s="1643"/>
      <c r="AH373" s="1643"/>
      <c r="AI373" s="1643"/>
      <c r="AJ373" s="1643"/>
      <c r="AK373" s="1643"/>
      <c r="AL373" s="1643"/>
      <c r="AM373" s="1643"/>
    </row>
    <row r="374" spans="1:39" ht="15.75" customHeight="1" x14ac:dyDescent="0.3">
      <c r="A374" s="1643"/>
      <c r="B374" s="1643"/>
      <c r="C374" s="1643"/>
      <c r="D374" s="1643"/>
      <c r="E374" s="1643"/>
      <c r="F374" s="1643"/>
      <c r="G374" s="1643"/>
      <c r="H374" s="1643"/>
      <c r="I374" s="1643"/>
      <c r="J374" s="1643"/>
      <c r="K374" s="1643"/>
      <c r="L374" s="1643"/>
      <c r="M374" s="1643"/>
      <c r="N374" s="1643"/>
      <c r="O374" s="1643"/>
      <c r="P374" s="1643"/>
      <c r="Q374" s="1643"/>
      <c r="R374" s="1643"/>
      <c r="S374" s="1643"/>
      <c r="T374" s="1643"/>
      <c r="U374" s="1643"/>
      <c r="V374" s="1643"/>
      <c r="W374" s="1643"/>
      <c r="X374" s="1643"/>
      <c r="Y374" s="1643"/>
      <c r="Z374" s="1643"/>
      <c r="AA374" s="1643"/>
      <c r="AB374" s="1643"/>
      <c r="AC374" s="1643"/>
      <c r="AD374" s="1643"/>
      <c r="AE374" s="1643"/>
      <c r="AF374" s="1643"/>
      <c r="AG374" s="1643"/>
      <c r="AH374" s="1643"/>
      <c r="AI374" s="1643"/>
      <c r="AJ374" s="1643"/>
      <c r="AK374" s="1643"/>
      <c r="AL374" s="1643"/>
      <c r="AM374" s="1643"/>
    </row>
    <row r="375" spans="1:39" ht="15.75" customHeight="1" x14ac:dyDescent="0.3">
      <c r="A375" s="1643"/>
      <c r="B375" s="1643"/>
      <c r="C375" s="1643"/>
      <c r="D375" s="1643"/>
      <c r="E375" s="1643"/>
      <c r="F375" s="1643"/>
      <c r="G375" s="1643"/>
      <c r="H375" s="1643"/>
      <c r="I375" s="1643"/>
      <c r="J375" s="1643"/>
      <c r="K375" s="1643"/>
      <c r="L375" s="1643"/>
      <c r="M375" s="1643"/>
      <c r="N375" s="1643"/>
      <c r="O375" s="1643"/>
      <c r="P375" s="1643"/>
      <c r="Q375" s="1643"/>
      <c r="R375" s="1643"/>
      <c r="S375" s="1643"/>
      <c r="T375" s="1643"/>
      <c r="U375" s="1643"/>
      <c r="V375" s="1643"/>
      <c r="W375" s="1643"/>
      <c r="X375" s="1643"/>
      <c r="Y375" s="1643"/>
      <c r="Z375" s="1643"/>
      <c r="AA375" s="1643"/>
      <c r="AB375" s="1643"/>
      <c r="AC375" s="1643"/>
      <c r="AD375" s="1643"/>
      <c r="AE375" s="1643"/>
      <c r="AF375" s="1643"/>
      <c r="AG375" s="1643"/>
      <c r="AH375" s="1643"/>
      <c r="AI375" s="1643"/>
      <c r="AJ375" s="1643"/>
      <c r="AK375" s="1643"/>
      <c r="AL375" s="1643"/>
      <c r="AM375" s="1643"/>
    </row>
    <row r="376" spans="1:39" ht="15.75" customHeight="1" x14ac:dyDescent="0.3">
      <c r="A376" s="1643"/>
      <c r="B376" s="1643"/>
      <c r="C376" s="1643"/>
      <c r="D376" s="1643"/>
      <c r="E376" s="1643"/>
      <c r="F376" s="1643"/>
      <c r="G376" s="1643"/>
      <c r="H376" s="1643"/>
      <c r="I376" s="1643"/>
      <c r="J376" s="1643"/>
      <c r="K376" s="1643"/>
      <c r="L376" s="1643"/>
      <c r="M376" s="1643"/>
      <c r="N376" s="1643"/>
      <c r="O376" s="1643"/>
      <c r="P376" s="1643"/>
      <c r="Q376" s="1643"/>
      <c r="R376" s="1643"/>
      <c r="S376" s="1643"/>
      <c r="T376" s="1643"/>
      <c r="U376" s="1643"/>
      <c r="V376" s="1643"/>
      <c r="W376" s="1643"/>
      <c r="X376" s="1643"/>
      <c r="Y376" s="1643"/>
      <c r="Z376" s="1643"/>
      <c r="AA376" s="1643"/>
      <c r="AB376" s="1643"/>
      <c r="AC376" s="1643"/>
      <c r="AD376" s="1643"/>
      <c r="AE376" s="1643"/>
      <c r="AF376" s="1643"/>
      <c r="AG376" s="1643"/>
      <c r="AH376" s="1643"/>
      <c r="AI376" s="1643"/>
      <c r="AJ376" s="1643"/>
      <c r="AK376" s="1643"/>
      <c r="AL376" s="1643"/>
      <c r="AM376" s="1643"/>
    </row>
    <row r="377" spans="1:39" ht="15.75" customHeight="1" x14ac:dyDescent="0.3">
      <c r="A377" s="1643"/>
      <c r="B377" s="1643"/>
      <c r="C377" s="1643"/>
      <c r="D377" s="1643"/>
      <c r="E377" s="1643"/>
      <c r="F377" s="1643"/>
      <c r="G377" s="1643"/>
      <c r="H377" s="1643"/>
      <c r="I377" s="1643"/>
      <c r="J377" s="1643"/>
      <c r="K377" s="1643"/>
      <c r="L377" s="1643"/>
      <c r="M377" s="1643"/>
      <c r="N377" s="1643"/>
      <c r="O377" s="1643"/>
      <c r="P377" s="1643"/>
      <c r="Q377" s="1643"/>
      <c r="R377" s="1643"/>
      <c r="S377" s="1643"/>
      <c r="T377" s="1643"/>
      <c r="U377" s="1643"/>
      <c r="V377" s="1643"/>
      <c r="W377" s="1643"/>
      <c r="X377" s="1643"/>
      <c r="Y377" s="1643"/>
      <c r="Z377" s="1643"/>
      <c r="AA377" s="1643"/>
      <c r="AB377" s="1643"/>
      <c r="AC377" s="1643"/>
      <c r="AD377" s="1643"/>
      <c r="AE377" s="1643"/>
      <c r="AF377" s="1643"/>
      <c r="AG377" s="1643"/>
      <c r="AH377" s="1643"/>
      <c r="AI377" s="1643"/>
      <c r="AJ377" s="1643"/>
      <c r="AK377" s="1643"/>
      <c r="AL377" s="1643"/>
      <c r="AM377" s="1643"/>
    </row>
    <row r="378" spans="1:39" ht="15.75" customHeight="1" x14ac:dyDescent="0.3">
      <c r="A378" s="1643"/>
      <c r="B378" s="1643"/>
      <c r="C378" s="1643"/>
      <c r="D378" s="1643"/>
      <c r="E378" s="1643"/>
      <c r="F378" s="1643"/>
      <c r="G378" s="1643"/>
      <c r="H378" s="1643"/>
      <c r="I378" s="1643"/>
      <c r="J378" s="1643"/>
      <c r="K378" s="1643"/>
      <c r="L378" s="1643"/>
      <c r="M378" s="1643"/>
      <c r="N378" s="1643"/>
      <c r="O378" s="1643"/>
      <c r="P378" s="1643"/>
      <c r="Q378" s="1643"/>
      <c r="R378" s="1643"/>
      <c r="S378" s="1643"/>
      <c r="T378" s="1643"/>
      <c r="U378" s="1643"/>
      <c r="V378" s="1643"/>
      <c r="W378" s="1643"/>
      <c r="X378" s="1643"/>
      <c r="Y378" s="1643"/>
      <c r="Z378" s="1643"/>
      <c r="AA378" s="1643"/>
      <c r="AB378" s="1643"/>
      <c r="AC378" s="1643"/>
      <c r="AD378" s="1643"/>
      <c r="AE378" s="1643"/>
      <c r="AF378" s="1643"/>
      <c r="AG378" s="1643"/>
      <c r="AH378" s="1643"/>
      <c r="AI378" s="1643"/>
      <c r="AJ378" s="1643"/>
      <c r="AK378" s="1643"/>
      <c r="AL378" s="1643"/>
      <c r="AM378" s="1643"/>
    </row>
    <row r="379" spans="1:39" ht="15.75" customHeight="1" x14ac:dyDescent="0.3">
      <c r="A379" s="1643"/>
      <c r="B379" s="1643"/>
      <c r="C379" s="1643"/>
      <c r="D379" s="1643"/>
      <c r="E379" s="1643"/>
      <c r="F379" s="1643"/>
      <c r="G379" s="1643"/>
      <c r="H379" s="1643"/>
      <c r="I379" s="1643"/>
      <c r="J379" s="1643"/>
      <c r="K379" s="1643"/>
      <c r="L379" s="1643"/>
      <c r="M379" s="1643"/>
      <c r="N379" s="1643"/>
      <c r="O379" s="1643"/>
      <c r="P379" s="1643"/>
      <c r="Q379" s="1643"/>
      <c r="R379" s="1643"/>
      <c r="S379" s="1643"/>
      <c r="T379" s="1643"/>
      <c r="U379" s="1643"/>
      <c r="V379" s="1643"/>
      <c r="W379" s="1643"/>
      <c r="X379" s="1643"/>
      <c r="Y379" s="1643"/>
      <c r="Z379" s="1643"/>
      <c r="AA379" s="1643"/>
      <c r="AB379" s="1643"/>
      <c r="AC379" s="1643"/>
      <c r="AD379" s="1643"/>
      <c r="AE379" s="1643"/>
      <c r="AF379" s="1643"/>
      <c r="AG379" s="1643"/>
      <c r="AH379" s="1643"/>
      <c r="AI379" s="1643"/>
      <c r="AJ379" s="1643"/>
      <c r="AK379" s="1643"/>
      <c r="AL379" s="1643"/>
      <c r="AM379" s="1643"/>
    </row>
    <row r="380" spans="1:39" ht="15.75" customHeight="1" x14ac:dyDescent="0.3">
      <c r="A380" s="1643"/>
      <c r="B380" s="1643"/>
      <c r="C380" s="1643"/>
      <c r="D380" s="1643"/>
      <c r="E380" s="1643"/>
      <c r="F380" s="1643"/>
      <c r="G380" s="1643"/>
      <c r="H380" s="1643"/>
      <c r="I380" s="1643"/>
      <c r="J380" s="1643"/>
      <c r="K380" s="1643"/>
      <c r="L380" s="1643"/>
      <c r="M380" s="1643"/>
      <c r="N380" s="1643"/>
      <c r="O380" s="1643"/>
      <c r="P380" s="1643"/>
      <c r="Q380" s="1643"/>
      <c r="R380" s="1643"/>
      <c r="S380" s="1643"/>
      <c r="T380" s="1643"/>
      <c r="U380" s="1643"/>
      <c r="V380" s="1643"/>
      <c r="W380" s="1643"/>
      <c r="X380" s="1643"/>
      <c r="Y380" s="1643"/>
      <c r="Z380" s="1643"/>
      <c r="AA380" s="1643"/>
      <c r="AB380" s="1643"/>
      <c r="AC380" s="1643"/>
      <c r="AD380" s="1643"/>
      <c r="AE380" s="1643"/>
      <c r="AF380" s="1643"/>
      <c r="AG380" s="1643"/>
      <c r="AH380" s="1643"/>
      <c r="AI380" s="1643"/>
      <c r="AJ380" s="1643"/>
      <c r="AK380" s="1643"/>
      <c r="AL380" s="1643"/>
      <c r="AM380" s="1643"/>
    </row>
    <row r="381" spans="1:39" ht="15.75" customHeight="1" x14ac:dyDescent="0.3">
      <c r="A381" s="1643"/>
      <c r="B381" s="1643"/>
      <c r="C381" s="1643"/>
      <c r="D381" s="1643"/>
      <c r="E381" s="1643"/>
      <c r="F381" s="1643"/>
      <c r="G381" s="1643"/>
      <c r="H381" s="1643"/>
      <c r="I381" s="1643"/>
      <c r="J381" s="1643"/>
      <c r="K381" s="1643"/>
      <c r="L381" s="1643"/>
      <c r="M381" s="1643"/>
      <c r="N381" s="1643"/>
      <c r="O381" s="1643"/>
      <c r="P381" s="1643"/>
      <c r="Q381" s="1643"/>
      <c r="R381" s="1643"/>
      <c r="S381" s="1643"/>
      <c r="T381" s="1643"/>
      <c r="U381" s="1643"/>
      <c r="V381" s="1643"/>
      <c r="W381" s="1643"/>
      <c r="X381" s="1643"/>
      <c r="Y381" s="1643"/>
      <c r="Z381" s="1643"/>
      <c r="AA381" s="1643"/>
      <c r="AB381" s="1643"/>
      <c r="AC381" s="1643"/>
      <c r="AD381" s="1643"/>
      <c r="AE381" s="1643"/>
      <c r="AF381" s="1643"/>
      <c r="AG381" s="1643"/>
      <c r="AH381" s="1643"/>
      <c r="AI381" s="1643"/>
      <c r="AJ381" s="1643"/>
      <c r="AK381" s="1643"/>
      <c r="AL381" s="1643"/>
      <c r="AM381" s="1643"/>
    </row>
    <row r="382" spans="1:39" ht="15.75" customHeight="1" x14ac:dyDescent="0.3">
      <c r="A382" s="1643"/>
      <c r="B382" s="1643"/>
      <c r="C382" s="1643"/>
      <c r="D382" s="1643"/>
      <c r="E382" s="1643"/>
      <c r="F382" s="1643"/>
      <c r="G382" s="1643"/>
      <c r="H382" s="1643"/>
      <c r="I382" s="1643"/>
      <c r="J382" s="1643"/>
      <c r="K382" s="1643"/>
      <c r="L382" s="1643"/>
      <c r="M382" s="1643"/>
      <c r="N382" s="1643"/>
      <c r="O382" s="1643"/>
      <c r="P382" s="1643"/>
      <c r="Q382" s="1643"/>
      <c r="R382" s="1643"/>
      <c r="S382" s="1643"/>
      <c r="T382" s="1643"/>
      <c r="U382" s="1643"/>
      <c r="V382" s="1643"/>
      <c r="W382" s="1643"/>
      <c r="X382" s="1643"/>
      <c r="Y382" s="1643"/>
      <c r="Z382" s="1643"/>
      <c r="AA382" s="1643"/>
      <c r="AB382" s="1643"/>
      <c r="AC382" s="1643"/>
      <c r="AD382" s="1643"/>
      <c r="AE382" s="1643"/>
      <c r="AF382" s="1643"/>
      <c r="AG382" s="1643"/>
      <c r="AH382" s="1643"/>
      <c r="AI382" s="1643"/>
      <c r="AJ382" s="1643"/>
      <c r="AK382" s="1643"/>
      <c r="AL382" s="1643"/>
      <c r="AM382" s="1643"/>
    </row>
    <row r="383" spans="1:39" ht="15.75" customHeight="1" x14ac:dyDescent="0.3">
      <c r="A383" s="1643"/>
      <c r="B383" s="1643"/>
      <c r="C383" s="1643"/>
      <c r="D383" s="1643"/>
      <c r="E383" s="1643"/>
      <c r="F383" s="1643"/>
      <c r="G383" s="1643"/>
      <c r="H383" s="1643"/>
      <c r="I383" s="1643"/>
      <c r="J383" s="1643"/>
      <c r="K383" s="1643"/>
      <c r="L383" s="1643"/>
      <c r="M383" s="1643"/>
      <c r="N383" s="1643"/>
      <c r="O383" s="1643"/>
      <c r="P383" s="1643"/>
      <c r="Q383" s="1643"/>
      <c r="R383" s="1643"/>
      <c r="S383" s="1643"/>
      <c r="T383" s="1643"/>
      <c r="U383" s="1643"/>
      <c r="V383" s="1643"/>
      <c r="W383" s="1643"/>
      <c r="X383" s="1643"/>
      <c r="Y383" s="1643"/>
      <c r="Z383" s="1643"/>
      <c r="AA383" s="1643"/>
      <c r="AB383" s="1643"/>
      <c r="AC383" s="1643"/>
      <c r="AD383" s="1643"/>
      <c r="AE383" s="1643"/>
      <c r="AF383" s="1643"/>
      <c r="AG383" s="1643"/>
      <c r="AH383" s="1643"/>
      <c r="AI383" s="1643"/>
      <c r="AJ383" s="1643"/>
      <c r="AK383" s="1643"/>
      <c r="AL383" s="1643"/>
      <c r="AM383" s="1643"/>
    </row>
    <row r="384" spans="1:39" ht="15.75" customHeight="1" x14ac:dyDescent="0.3">
      <c r="A384" s="1643"/>
      <c r="B384" s="1643"/>
      <c r="C384" s="1643"/>
      <c r="D384" s="1643"/>
      <c r="E384" s="1643"/>
      <c r="F384" s="1643"/>
      <c r="G384" s="1643"/>
      <c r="H384" s="1643"/>
      <c r="I384" s="1643"/>
      <c r="J384" s="1643"/>
      <c r="K384" s="1643"/>
      <c r="L384" s="1643"/>
      <c r="M384" s="1643"/>
      <c r="N384" s="1643"/>
      <c r="O384" s="1643"/>
      <c r="P384" s="1643"/>
      <c r="Q384" s="1643"/>
      <c r="R384" s="1643"/>
      <c r="S384" s="1643"/>
      <c r="T384" s="1643"/>
      <c r="U384" s="1643"/>
      <c r="V384" s="1643"/>
      <c r="W384" s="1643"/>
      <c r="X384" s="1643"/>
      <c r="Y384" s="1643"/>
      <c r="Z384" s="1643"/>
      <c r="AA384" s="1643"/>
      <c r="AB384" s="1643"/>
      <c r="AC384" s="1643"/>
      <c r="AD384" s="1643"/>
      <c r="AE384" s="1643"/>
      <c r="AF384" s="1643"/>
      <c r="AG384" s="1643"/>
      <c r="AH384" s="1643"/>
      <c r="AI384" s="1643"/>
      <c r="AJ384" s="1643"/>
      <c r="AK384" s="1643"/>
      <c r="AL384" s="1643"/>
      <c r="AM384" s="1643"/>
    </row>
    <row r="385" spans="1:39" ht="15.75" customHeight="1" x14ac:dyDescent="0.3">
      <c r="A385" s="1643"/>
      <c r="B385" s="1643"/>
      <c r="C385" s="1643"/>
      <c r="D385" s="1643"/>
      <c r="E385" s="1643"/>
      <c r="F385" s="1643"/>
      <c r="G385" s="1643"/>
      <c r="H385" s="1643"/>
      <c r="I385" s="1643"/>
      <c r="J385" s="1643"/>
      <c r="K385" s="1643"/>
      <c r="L385" s="1643"/>
      <c r="M385" s="1643"/>
      <c r="N385" s="1643"/>
      <c r="O385" s="1643"/>
      <c r="P385" s="1643"/>
      <c r="Q385" s="1643"/>
      <c r="R385" s="1643"/>
      <c r="S385" s="1643"/>
      <c r="T385" s="1643"/>
      <c r="U385" s="1643"/>
      <c r="V385" s="1643"/>
      <c r="W385" s="1643"/>
      <c r="X385" s="1643"/>
      <c r="Y385" s="1643"/>
      <c r="Z385" s="1643"/>
      <c r="AA385" s="1643"/>
      <c r="AB385" s="1643"/>
      <c r="AC385" s="1643"/>
      <c r="AD385" s="1643"/>
      <c r="AE385" s="1643"/>
      <c r="AF385" s="1643"/>
      <c r="AG385" s="1643"/>
      <c r="AH385" s="1643"/>
      <c r="AI385" s="1643"/>
      <c r="AJ385" s="1643"/>
      <c r="AK385" s="1643"/>
      <c r="AL385" s="1643"/>
      <c r="AM385" s="1643"/>
    </row>
    <row r="386" spans="1:39" ht="15.75" customHeight="1" x14ac:dyDescent="0.3">
      <c r="A386" s="1643"/>
      <c r="B386" s="1643"/>
      <c r="C386" s="1643"/>
      <c r="D386" s="1643"/>
      <c r="E386" s="1643"/>
      <c r="F386" s="1643"/>
      <c r="G386" s="1643"/>
      <c r="H386" s="1643"/>
      <c r="I386" s="1643"/>
      <c r="J386" s="1643"/>
      <c r="K386" s="1643"/>
      <c r="L386" s="1643"/>
      <c r="M386" s="1643"/>
      <c r="N386" s="1643"/>
      <c r="O386" s="1643"/>
      <c r="P386" s="1643"/>
      <c r="Q386" s="1643"/>
      <c r="R386" s="1643"/>
      <c r="S386" s="1643"/>
      <c r="T386" s="1643"/>
      <c r="U386" s="1643"/>
      <c r="V386" s="1643"/>
      <c r="W386" s="1643"/>
      <c r="X386" s="1643"/>
      <c r="Y386" s="1643"/>
      <c r="Z386" s="1643"/>
      <c r="AA386" s="1643"/>
      <c r="AB386" s="1643"/>
      <c r="AC386" s="1643"/>
      <c r="AD386" s="1643"/>
      <c r="AE386" s="1643"/>
      <c r="AF386" s="1643"/>
      <c r="AG386" s="1643"/>
      <c r="AH386" s="1643"/>
      <c r="AI386" s="1643"/>
      <c r="AJ386" s="1643"/>
      <c r="AK386" s="1643"/>
      <c r="AL386" s="1643"/>
      <c r="AM386" s="1643"/>
    </row>
    <row r="387" spans="1:39" ht="15.75" customHeight="1" x14ac:dyDescent="0.3">
      <c r="A387" s="1643"/>
      <c r="B387" s="1643"/>
      <c r="C387" s="1643"/>
      <c r="D387" s="1643"/>
      <c r="E387" s="1643"/>
      <c r="F387" s="1643"/>
      <c r="G387" s="1643"/>
      <c r="H387" s="1643"/>
      <c r="I387" s="1643"/>
      <c r="J387" s="1643"/>
      <c r="K387" s="1643"/>
      <c r="L387" s="1643"/>
      <c r="M387" s="1643"/>
      <c r="N387" s="1643"/>
      <c r="O387" s="1643"/>
      <c r="P387" s="1643"/>
      <c r="Q387" s="1643"/>
      <c r="R387" s="1643"/>
      <c r="S387" s="1643"/>
      <c r="T387" s="1643"/>
      <c r="U387" s="1643"/>
      <c r="V387" s="1643"/>
      <c r="W387" s="1643"/>
      <c r="X387" s="1643"/>
      <c r="Y387" s="1643"/>
      <c r="Z387" s="1643"/>
      <c r="AA387" s="1643"/>
      <c r="AB387" s="1643"/>
      <c r="AC387" s="1643"/>
      <c r="AD387" s="1643"/>
      <c r="AE387" s="1643"/>
      <c r="AF387" s="1643"/>
      <c r="AG387" s="1643"/>
      <c r="AH387" s="1643"/>
      <c r="AI387" s="1643"/>
      <c r="AJ387" s="1643"/>
      <c r="AK387" s="1643"/>
      <c r="AL387" s="1643"/>
      <c r="AM387" s="1643"/>
    </row>
    <row r="388" spans="1:39" ht="15.75" customHeight="1" x14ac:dyDescent="0.3">
      <c r="A388" s="1643"/>
      <c r="B388" s="1643"/>
      <c r="C388" s="1643"/>
      <c r="D388" s="1643"/>
      <c r="E388" s="1643"/>
      <c r="F388" s="1643"/>
      <c r="G388" s="1643"/>
      <c r="H388" s="1643"/>
      <c r="I388" s="1643"/>
      <c r="J388" s="1643"/>
      <c r="K388" s="1643"/>
      <c r="L388" s="1643"/>
      <c r="M388" s="1643"/>
      <c r="N388" s="1643"/>
      <c r="O388" s="1643"/>
      <c r="P388" s="1643"/>
      <c r="Q388" s="1643"/>
      <c r="R388" s="1643"/>
      <c r="S388" s="1643"/>
      <c r="T388" s="1643"/>
      <c r="U388" s="1643"/>
      <c r="V388" s="1643"/>
      <c r="W388" s="1643"/>
      <c r="X388" s="1643"/>
      <c r="Y388" s="1643"/>
      <c r="Z388" s="1643"/>
      <c r="AA388" s="1643"/>
      <c r="AB388" s="1643"/>
      <c r="AC388" s="1643"/>
      <c r="AD388" s="1643"/>
      <c r="AE388" s="1643"/>
      <c r="AF388" s="1643"/>
      <c r="AG388" s="1643"/>
      <c r="AH388" s="1643"/>
      <c r="AI388" s="1643"/>
      <c r="AJ388" s="1643"/>
      <c r="AK388" s="1643"/>
      <c r="AL388" s="1643"/>
      <c r="AM388" s="1643"/>
    </row>
    <row r="389" spans="1:39" ht="15.75" customHeight="1" x14ac:dyDescent="0.3">
      <c r="A389" s="1643"/>
      <c r="B389" s="1643"/>
      <c r="C389" s="1643"/>
      <c r="D389" s="1643"/>
      <c r="E389" s="1643"/>
      <c r="F389" s="1643"/>
      <c r="G389" s="1643"/>
      <c r="H389" s="1643"/>
      <c r="I389" s="1643"/>
      <c r="J389" s="1643"/>
      <c r="K389" s="1643"/>
      <c r="L389" s="1643"/>
      <c r="M389" s="1643"/>
      <c r="N389" s="1643"/>
      <c r="O389" s="1643"/>
      <c r="P389" s="1643"/>
      <c r="Q389" s="1643"/>
      <c r="R389" s="1643"/>
      <c r="S389" s="1643"/>
      <c r="T389" s="1643"/>
      <c r="U389" s="1643"/>
      <c r="V389" s="1643"/>
      <c r="W389" s="1643"/>
      <c r="X389" s="1643"/>
      <c r="Y389" s="1643"/>
      <c r="Z389" s="1643"/>
      <c r="AA389" s="1643"/>
      <c r="AB389" s="1643"/>
      <c r="AC389" s="1643"/>
      <c r="AD389" s="1643"/>
      <c r="AE389" s="1643"/>
      <c r="AF389" s="1643"/>
      <c r="AG389" s="1643"/>
      <c r="AH389" s="1643"/>
      <c r="AI389" s="1643"/>
      <c r="AJ389" s="1643"/>
      <c r="AK389" s="1643"/>
      <c r="AL389" s="1643"/>
      <c r="AM389" s="1643"/>
    </row>
    <row r="390" spans="1:39" ht="15.75" customHeight="1" x14ac:dyDescent="0.3">
      <c r="A390" s="1643"/>
      <c r="B390" s="1643"/>
      <c r="C390" s="1643"/>
      <c r="D390" s="1643"/>
      <c r="E390" s="1643"/>
      <c r="F390" s="1643"/>
      <c r="G390" s="1643"/>
      <c r="H390" s="1643"/>
      <c r="I390" s="1643"/>
      <c r="J390" s="1643"/>
      <c r="K390" s="1643"/>
      <c r="L390" s="1643"/>
      <c r="M390" s="1643"/>
      <c r="N390" s="1643"/>
      <c r="O390" s="1643"/>
      <c r="P390" s="1643"/>
      <c r="Q390" s="1643"/>
      <c r="R390" s="1643"/>
      <c r="S390" s="1643"/>
      <c r="T390" s="1643"/>
      <c r="U390" s="1643"/>
      <c r="V390" s="1643"/>
      <c r="W390" s="1643"/>
      <c r="X390" s="1643"/>
      <c r="Y390" s="1643"/>
      <c r="Z390" s="1643"/>
      <c r="AA390" s="1643"/>
      <c r="AB390" s="1643"/>
      <c r="AC390" s="1643"/>
      <c r="AD390" s="1643"/>
      <c r="AE390" s="1643"/>
      <c r="AF390" s="1643"/>
      <c r="AG390" s="1643"/>
      <c r="AH390" s="1643"/>
      <c r="AI390" s="1643"/>
      <c r="AJ390" s="1643"/>
      <c r="AK390" s="1643"/>
      <c r="AL390" s="1643"/>
      <c r="AM390" s="1643"/>
    </row>
    <row r="391" spans="1:39" ht="15.75" customHeight="1" x14ac:dyDescent="0.3">
      <c r="A391" s="1643"/>
      <c r="B391" s="1643"/>
      <c r="C391" s="1643"/>
      <c r="D391" s="1643"/>
      <c r="E391" s="1643"/>
      <c r="F391" s="1643"/>
      <c r="G391" s="1643"/>
      <c r="H391" s="1643"/>
      <c r="I391" s="1643"/>
      <c r="J391" s="1643"/>
      <c r="K391" s="1643"/>
      <c r="L391" s="1643"/>
      <c r="M391" s="1643"/>
      <c r="N391" s="1643"/>
      <c r="O391" s="1643"/>
      <c r="P391" s="1643"/>
      <c r="Q391" s="1643"/>
      <c r="R391" s="1643"/>
      <c r="S391" s="1643"/>
      <c r="T391" s="1643"/>
      <c r="U391" s="1643"/>
      <c r="V391" s="1643"/>
      <c r="W391" s="1643"/>
      <c r="X391" s="1643"/>
      <c r="Y391" s="1643"/>
      <c r="Z391" s="1643"/>
      <c r="AA391" s="1643"/>
      <c r="AB391" s="1643"/>
      <c r="AC391" s="1643"/>
      <c r="AD391" s="1643"/>
      <c r="AE391" s="1643"/>
      <c r="AF391" s="1643"/>
      <c r="AG391" s="1643"/>
      <c r="AH391" s="1643"/>
      <c r="AI391" s="1643"/>
      <c r="AJ391" s="1643"/>
      <c r="AK391" s="1643"/>
      <c r="AL391" s="1643"/>
      <c r="AM391" s="1643"/>
    </row>
    <row r="392" spans="1:39" ht="15.75" customHeight="1" x14ac:dyDescent="0.3">
      <c r="A392" s="1643"/>
      <c r="B392" s="1643"/>
      <c r="C392" s="1643"/>
      <c r="D392" s="1643"/>
      <c r="E392" s="1643"/>
      <c r="F392" s="1643"/>
      <c r="G392" s="1643"/>
      <c r="H392" s="1643"/>
      <c r="I392" s="1643"/>
      <c r="J392" s="1643"/>
      <c r="K392" s="1643"/>
      <c r="L392" s="1643"/>
      <c r="M392" s="1643"/>
      <c r="N392" s="1643"/>
      <c r="O392" s="1643"/>
      <c r="P392" s="1643"/>
      <c r="Q392" s="1643"/>
      <c r="R392" s="1643"/>
      <c r="S392" s="1643"/>
      <c r="T392" s="1643"/>
      <c r="U392" s="1643"/>
      <c r="V392" s="1643"/>
      <c r="W392" s="1643"/>
      <c r="X392" s="1643"/>
      <c r="Y392" s="1643"/>
      <c r="Z392" s="1643"/>
      <c r="AA392" s="1643"/>
      <c r="AB392" s="1643"/>
      <c r="AC392" s="1643"/>
      <c r="AD392" s="1643"/>
      <c r="AE392" s="1643"/>
      <c r="AF392" s="1643"/>
      <c r="AG392" s="1643"/>
      <c r="AH392" s="1643"/>
      <c r="AI392" s="1643"/>
      <c r="AJ392" s="1643"/>
      <c r="AK392" s="1643"/>
      <c r="AL392" s="1643"/>
      <c r="AM392" s="1643"/>
    </row>
    <row r="393" spans="1:39" ht="15.75" customHeight="1" x14ac:dyDescent="0.3">
      <c r="A393" s="1643"/>
      <c r="B393" s="1643"/>
      <c r="C393" s="1643"/>
      <c r="D393" s="1643"/>
      <c r="E393" s="1643"/>
      <c r="F393" s="1643"/>
      <c r="G393" s="1643"/>
      <c r="H393" s="1643"/>
      <c r="I393" s="1643"/>
      <c r="J393" s="1643"/>
      <c r="K393" s="1643"/>
      <c r="L393" s="1643"/>
      <c r="M393" s="1643"/>
      <c r="N393" s="1643"/>
      <c r="O393" s="1643"/>
      <c r="P393" s="1643"/>
      <c r="Q393" s="1643"/>
      <c r="R393" s="1643"/>
      <c r="S393" s="1643"/>
      <c r="T393" s="1643"/>
      <c r="U393" s="1643"/>
      <c r="V393" s="1643"/>
      <c r="W393" s="1643"/>
      <c r="X393" s="1643"/>
      <c r="Y393" s="1643"/>
      <c r="Z393" s="1643"/>
      <c r="AA393" s="1643"/>
      <c r="AB393" s="1643"/>
      <c r="AC393" s="1643"/>
      <c r="AD393" s="1643"/>
      <c r="AE393" s="1643"/>
      <c r="AF393" s="1643"/>
      <c r="AG393" s="1643"/>
      <c r="AH393" s="1643"/>
      <c r="AI393" s="1643"/>
      <c r="AJ393" s="1643"/>
      <c r="AK393" s="1643"/>
      <c r="AL393" s="1643"/>
      <c r="AM393" s="1643"/>
    </row>
    <row r="394" spans="1:39" ht="15.75" customHeight="1" x14ac:dyDescent="0.3">
      <c r="A394" s="1643"/>
      <c r="B394" s="1643"/>
      <c r="C394" s="1643"/>
      <c r="D394" s="1643"/>
      <c r="E394" s="1643"/>
      <c r="F394" s="1643"/>
      <c r="G394" s="1643"/>
      <c r="H394" s="1643"/>
      <c r="I394" s="1643"/>
      <c r="J394" s="1643"/>
      <c r="K394" s="1643"/>
      <c r="L394" s="1643"/>
      <c r="M394" s="1643"/>
      <c r="N394" s="1643"/>
      <c r="O394" s="1643"/>
      <c r="P394" s="1643"/>
      <c r="Q394" s="1643"/>
      <c r="R394" s="1643"/>
      <c r="S394" s="1643"/>
      <c r="T394" s="1643"/>
      <c r="U394" s="1643"/>
      <c r="V394" s="1643"/>
      <c r="W394" s="1643"/>
      <c r="X394" s="1643"/>
      <c r="Y394" s="1643"/>
      <c r="Z394" s="1643"/>
      <c r="AA394" s="1643"/>
      <c r="AB394" s="1643"/>
      <c r="AC394" s="1643"/>
      <c r="AD394" s="1643"/>
      <c r="AE394" s="1643"/>
      <c r="AF394" s="1643"/>
      <c r="AG394" s="1643"/>
      <c r="AH394" s="1643"/>
      <c r="AI394" s="1643"/>
      <c r="AJ394" s="1643"/>
      <c r="AK394" s="1643"/>
      <c r="AL394" s="1643"/>
      <c r="AM394" s="1643"/>
    </row>
    <row r="395" spans="1:39" ht="15.75" customHeight="1" x14ac:dyDescent="0.3">
      <c r="A395" s="1643"/>
      <c r="B395" s="1643"/>
      <c r="C395" s="1643"/>
      <c r="D395" s="1643"/>
      <c r="E395" s="1643"/>
      <c r="F395" s="1643"/>
      <c r="G395" s="1643"/>
      <c r="H395" s="1643"/>
      <c r="I395" s="1643"/>
      <c r="J395" s="1643"/>
      <c r="K395" s="1643"/>
      <c r="L395" s="1643"/>
      <c r="M395" s="1643"/>
      <c r="N395" s="1643"/>
      <c r="O395" s="1643"/>
      <c r="P395" s="1643"/>
      <c r="Q395" s="1643"/>
      <c r="R395" s="1643"/>
      <c r="S395" s="1643"/>
      <c r="T395" s="1643"/>
      <c r="U395" s="1643"/>
      <c r="V395" s="1643"/>
      <c r="W395" s="1643"/>
      <c r="X395" s="1643"/>
      <c r="Y395" s="1643"/>
      <c r="Z395" s="1643"/>
      <c r="AA395" s="1643"/>
      <c r="AB395" s="1643"/>
      <c r="AC395" s="1643"/>
      <c r="AD395" s="1643"/>
      <c r="AE395" s="1643"/>
      <c r="AF395" s="1643"/>
      <c r="AG395" s="1643"/>
      <c r="AH395" s="1643"/>
      <c r="AI395" s="1643"/>
      <c r="AJ395" s="1643"/>
      <c r="AK395" s="1643"/>
      <c r="AL395" s="1643"/>
      <c r="AM395" s="1643"/>
    </row>
    <row r="396" spans="1:39" ht="15.75" customHeight="1" x14ac:dyDescent="0.3">
      <c r="A396" s="1643"/>
      <c r="B396" s="1643"/>
      <c r="C396" s="1643"/>
      <c r="D396" s="1643"/>
      <c r="E396" s="1643"/>
      <c r="F396" s="1643"/>
      <c r="G396" s="1643"/>
      <c r="H396" s="1643"/>
      <c r="I396" s="1643"/>
      <c r="J396" s="1643"/>
      <c r="K396" s="1643"/>
      <c r="L396" s="1643"/>
      <c r="M396" s="1643"/>
      <c r="N396" s="1643"/>
      <c r="O396" s="1643"/>
      <c r="P396" s="1643"/>
      <c r="Q396" s="1643"/>
      <c r="R396" s="1643"/>
      <c r="S396" s="1643"/>
      <c r="T396" s="1643"/>
      <c r="U396" s="1643"/>
      <c r="V396" s="1643"/>
      <c r="W396" s="1643"/>
      <c r="X396" s="1643"/>
      <c r="Y396" s="1643"/>
      <c r="Z396" s="1643"/>
      <c r="AA396" s="1643"/>
      <c r="AB396" s="1643"/>
      <c r="AC396" s="1643"/>
      <c r="AD396" s="1643"/>
      <c r="AE396" s="1643"/>
      <c r="AF396" s="1643"/>
      <c r="AG396" s="1643"/>
      <c r="AH396" s="1643"/>
      <c r="AI396" s="1643"/>
      <c r="AJ396" s="1643"/>
      <c r="AK396" s="1643"/>
      <c r="AL396" s="1643"/>
      <c r="AM396" s="1643"/>
    </row>
    <row r="397" spans="1:39" ht="15.75" customHeight="1" x14ac:dyDescent="0.3">
      <c r="A397" s="1643"/>
      <c r="B397" s="1643"/>
      <c r="C397" s="1643"/>
      <c r="D397" s="1643"/>
      <c r="E397" s="1643"/>
      <c r="F397" s="1643"/>
      <c r="G397" s="1643"/>
      <c r="H397" s="1643"/>
      <c r="I397" s="1643"/>
      <c r="J397" s="1643"/>
      <c r="K397" s="1643"/>
      <c r="L397" s="1643"/>
      <c r="M397" s="1643"/>
      <c r="N397" s="1643"/>
      <c r="O397" s="1643"/>
      <c r="P397" s="1643"/>
      <c r="Q397" s="1643"/>
      <c r="R397" s="1643"/>
      <c r="S397" s="1643"/>
      <c r="T397" s="1643"/>
      <c r="U397" s="1643"/>
      <c r="V397" s="1643"/>
      <c r="W397" s="1643"/>
      <c r="X397" s="1643"/>
      <c r="Y397" s="1643"/>
      <c r="Z397" s="1643"/>
      <c r="AA397" s="1643"/>
      <c r="AB397" s="1643"/>
      <c r="AC397" s="1643"/>
      <c r="AD397" s="1643"/>
      <c r="AE397" s="1643"/>
      <c r="AF397" s="1643"/>
      <c r="AG397" s="1643"/>
      <c r="AH397" s="1643"/>
      <c r="AI397" s="1643"/>
      <c r="AJ397" s="1643"/>
      <c r="AK397" s="1643"/>
      <c r="AL397" s="1643"/>
      <c r="AM397" s="1643"/>
    </row>
    <row r="398" spans="1:39" ht="15.75" customHeight="1" x14ac:dyDescent="0.3">
      <c r="A398" s="1643"/>
      <c r="B398" s="1643"/>
      <c r="C398" s="1643"/>
      <c r="D398" s="1643"/>
      <c r="E398" s="1643"/>
      <c r="F398" s="1643"/>
      <c r="G398" s="1643"/>
      <c r="H398" s="1643"/>
      <c r="I398" s="1643"/>
      <c r="J398" s="1643"/>
      <c r="K398" s="1643"/>
      <c r="L398" s="1643"/>
      <c r="M398" s="1643"/>
      <c r="N398" s="1643"/>
      <c r="O398" s="1643"/>
      <c r="P398" s="1643"/>
      <c r="Q398" s="1643"/>
      <c r="R398" s="1643"/>
      <c r="S398" s="1643"/>
      <c r="T398" s="1643"/>
      <c r="U398" s="1643"/>
      <c r="V398" s="1643"/>
      <c r="W398" s="1643"/>
      <c r="X398" s="1643"/>
      <c r="Y398" s="1643"/>
      <c r="Z398" s="1643"/>
      <c r="AA398" s="1643"/>
      <c r="AB398" s="1643"/>
      <c r="AC398" s="1643"/>
      <c r="AD398" s="1643"/>
      <c r="AE398" s="1643"/>
      <c r="AF398" s="1643"/>
      <c r="AG398" s="1643"/>
      <c r="AH398" s="1643"/>
      <c r="AI398" s="1643"/>
      <c r="AJ398" s="1643"/>
      <c r="AK398" s="1643"/>
      <c r="AL398" s="1643"/>
      <c r="AM398" s="1643"/>
    </row>
    <row r="399" spans="1:39" ht="15.75" customHeight="1" x14ac:dyDescent="0.3">
      <c r="A399" s="1643"/>
      <c r="B399" s="1643"/>
      <c r="C399" s="1643"/>
      <c r="D399" s="1643"/>
      <c r="E399" s="1643"/>
      <c r="F399" s="1643"/>
      <c r="G399" s="1643"/>
      <c r="H399" s="1643"/>
      <c r="I399" s="1643"/>
      <c r="J399" s="1643"/>
      <c r="K399" s="1643"/>
      <c r="L399" s="1643"/>
      <c r="M399" s="1643"/>
      <c r="N399" s="1643"/>
      <c r="O399" s="1643"/>
      <c r="P399" s="1643"/>
      <c r="Q399" s="1643"/>
      <c r="R399" s="1643"/>
      <c r="S399" s="1643"/>
      <c r="T399" s="1643"/>
      <c r="U399" s="1643"/>
      <c r="V399" s="1643"/>
      <c r="W399" s="1643"/>
      <c r="X399" s="1643"/>
      <c r="Y399" s="1643"/>
      <c r="Z399" s="1643"/>
      <c r="AA399" s="1643"/>
      <c r="AB399" s="1643"/>
      <c r="AC399" s="1643"/>
      <c r="AD399" s="1643"/>
      <c r="AE399" s="1643"/>
      <c r="AF399" s="1643"/>
      <c r="AG399" s="1643"/>
      <c r="AH399" s="1643"/>
      <c r="AI399" s="1643"/>
      <c r="AJ399" s="1643"/>
      <c r="AK399" s="1643"/>
      <c r="AL399" s="1643"/>
      <c r="AM399" s="1643"/>
    </row>
    <row r="400" spans="1:39" ht="15.75" customHeight="1" x14ac:dyDescent="0.3">
      <c r="A400" s="1643"/>
      <c r="B400" s="1643"/>
      <c r="C400" s="1643"/>
      <c r="D400" s="1643"/>
      <c r="E400" s="1643"/>
      <c r="F400" s="1643"/>
      <c r="G400" s="1643"/>
      <c r="H400" s="1643"/>
      <c r="I400" s="1643"/>
      <c r="J400" s="1643"/>
      <c r="K400" s="1643"/>
      <c r="L400" s="1643"/>
      <c r="M400" s="1643"/>
      <c r="N400" s="1643"/>
      <c r="O400" s="1643"/>
      <c r="P400" s="1643"/>
      <c r="Q400" s="1643"/>
      <c r="R400" s="1643"/>
      <c r="S400" s="1643"/>
      <c r="T400" s="1643"/>
      <c r="U400" s="1643"/>
      <c r="V400" s="1643"/>
      <c r="W400" s="1643"/>
      <c r="X400" s="1643"/>
      <c r="Y400" s="1643"/>
      <c r="Z400" s="1643"/>
      <c r="AA400" s="1643"/>
      <c r="AB400" s="1643"/>
      <c r="AC400" s="1643"/>
      <c r="AD400" s="1643"/>
      <c r="AE400" s="1643"/>
      <c r="AF400" s="1643"/>
      <c r="AG400" s="1643"/>
      <c r="AH400" s="1643"/>
      <c r="AI400" s="1643"/>
      <c r="AJ400" s="1643"/>
      <c r="AK400" s="1643"/>
      <c r="AL400" s="1643"/>
      <c r="AM400" s="1643"/>
    </row>
    <row r="401" spans="1:39" ht="15.75" customHeight="1" x14ac:dyDescent="0.3">
      <c r="A401" s="1643"/>
      <c r="B401" s="1643"/>
      <c r="C401" s="1643"/>
      <c r="D401" s="1643"/>
      <c r="E401" s="1643"/>
      <c r="F401" s="1643"/>
      <c r="G401" s="1643"/>
      <c r="H401" s="1643"/>
      <c r="I401" s="1643"/>
      <c r="J401" s="1643"/>
      <c r="K401" s="1643"/>
      <c r="L401" s="1643"/>
      <c r="M401" s="1643"/>
      <c r="N401" s="1643"/>
      <c r="O401" s="1643"/>
      <c r="P401" s="1643"/>
      <c r="Q401" s="1643"/>
      <c r="R401" s="1643"/>
      <c r="S401" s="1643"/>
      <c r="T401" s="1643"/>
      <c r="U401" s="1643"/>
      <c r="V401" s="1643"/>
      <c r="W401" s="1643"/>
      <c r="X401" s="1643"/>
      <c r="Y401" s="1643"/>
      <c r="Z401" s="1643"/>
      <c r="AA401" s="1643"/>
      <c r="AB401" s="1643"/>
      <c r="AC401" s="1643"/>
      <c r="AD401" s="1643"/>
      <c r="AE401" s="1643"/>
      <c r="AF401" s="1643"/>
      <c r="AG401" s="1643"/>
      <c r="AH401" s="1643"/>
      <c r="AI401" s="1643"/>
      <c r="AJ401" s="1643"/>
      <c r="AK401" s="1643"/>
      <c r="AL401" s="1643"/>
      <c r="AM401" s="1643"/>
    </row>
    <row r="402" spans="1:39" ht="15.75" customHeight="1" x14ac:dyDescent="0.3">
      <c r="A402" s="1643"/>
      <c r="B402" s="1643"/>
      <c r="C402" s="1643"/>
      <c r="D402" s="1643"/>
      <c r="E402" s="1643"/>
      <c r="F402" s="1643"/>
      <c r="G402" s="1643"/>
      <c r="H402" s="1643"/>
      <c r="I402" s="1643"/>
      <c r="J402" s="1643"/>
      <c r="K402" s="1643"/>
      <c r="L402" s="1643"/>
      <c r="M402" s="1643"/>
      <c r="N402" s="1643"/>
      <c r="O402" s="1643"/>
      <c r="P402" s="1643"/>
      <c r="Q402" s="1643"/>
      <c r="R402" s="1643"/>
      <c r="S402" s="1643"/>
      <c r="T402" s="1643"/>
      <c r="U402" s="1643"/>
      <c r="V402" s="1643"/>
      <c r="W402" s="1643"/>
      <c r="X402" s="1643"/>
      <c r="Y402" s="1643"/>
      <c r="Z402" s="1643"/>
      <c r="AA402" s="1643"/>
      <c r="AB402" s="1643"/>
      <c r="AC402" s="1643"/>
      <c r="AD402" s="1643"/>
      <c r="AE402" s="1643"/>
      <c r="AF402" s="1643"/>
      <c r="AG402" s="1643"/>
      <c r="AH402" s="1643"/>
      <c r="AI402" s="1643"/>
      <c r="AJ402" s="1643"/>
      <c r="AK402" s="1643"/>
      <c r="AL402" s="1643"/>
      <c r="AM402" s="1643"/>
    </row>
    <row r="403" spans="1:39" ht="15.75" customHeight="1" x14ac:dyDescent="0.3">
      <c r="A403" s="1643"/>
      <c r="B403" s="1643"/>
      <c r="C403" s="1643"/>
      <c r="D403" s="1643"/>
      <c r="E403" s="1643"/>
      <c r="F403" s="1643"/>
      <c r="G403" s="1643"/>
      <c r="H403" s="1643"/>
      <c r="I403" s="1643"/>
      <c r="J403" s="1643"/>
      <c r="K403" s="1643"/>
      <c r="L403" s="1643"/>
      <c r="M403" s="1643"/>
      <c r="N403" s="1643"/>
      <c r="O403" s="1643"/>
      <c r="P403" s="1643"/>
      <c r="Q403" s="1643"/>
      <c r="R403" s="1643"/>
      <c r="S403" s="1643"/>
      <c r="T403" s="1643"/>
      <c r="U403" s="1643"/>
      <c r="V403" s="1643"/>
      <c r="W403" s="1643"/>
      <c r="X403" s="1643"/>
      <c r="Y403" s="1643"/>
      <c r="Z403" s="1643"/>
      <c r="AA403" s="1643"/>
      <c r="AB403" s="1643"/>
      <c r="AC403" s="1643"/>
      <c r="AD403" s="1643"/>
      <c r="AE403" s="1643"/>
      <c r="AF403" s="1643"/>
      <c r="AG403" s="1643"/>
      <c r="AH403" s="1643"/>
      <c r="AI403" s="1643"/>
      <c r="AJ403" s="1643"/>
      <c r="AK403" s="1643"/>
      <c r="AL403" s="1643"/>
      <c r="AM403" s="1643"/>
    </row>
    <row r="404" spans="1:39" ht="15.75" customHeight="1" x14ac:dyDescent="0.3">
      <c r="A404" s="1643"/>
      <c r="B404" s="1643"/>
      <c r="C404" s="1643"/>
      <c r="D404" s="1643"/>
      <c r="E404" s="1643"/>
      <c r="F404" s="1643"/>
      <c r="G404" s="1643"/>
      <c r="H404" s="1643"/>
      <c r="I404" s="1643"/>
      <c r="J404" s="1643"/>
      <c r="K404" s="1643"/>
      <c r="L404" s="1643"/>
      <c r="M404" s="1643"/>
      <c r="N404" s="1643"/>
      <c r="O404" s="1643"/>
      <c r="P404" s="1643"/>
      <c r="Q404" s="1643"/>
      <c r="R404" s="1643"/>
      <c r="S404" s="1643"/>
      <c r="T404" s="1643"/>
      <c r="U404" s="1643"/>
      <c r="V404" s="1643"/>
      <c r="W404" s="1643"/>
      <c r="X404" s="1643"/>
      <c r="Y404" s="1643"/>
      <c r="Z404" s="1643"/>
      <c r="AA404" s="1643"/>
      <c r="AB404" s="1643"/>
      <c r="AC404" s="1643"/>
      <c r="AD404" s="1643"/>
      <c r="AE404" s="1643"/>
      <c r="AF404" s="1643"/>
      <c r="AG404" s="1643"/>
      <c r="AH404" s="1643"/>
      <c r="AI404" s="1643"/>
      <c r="AJ404" s="1643"/>
      <c r="AK404" s="1643"/>
      <c r="AL404" s="1643"/>
      <c r="AM404" s="1643"/>
    </row>
    <row r="405" spans="1:39" ht="15.75" customHeight="1" x14ac:dyDescent="0.3">
      <c r="A405" s="1643"/>
      <c r="B405" s="1643"/>
      <c r="C405" s="1643"/>
      <c r="D405" s="1643"/>
      <c r="E405" s="1643"/>
      <c r="F405" s="1643"/>
      <c r="G405" s="1643"/>
      <c r="H405" s="1643"/>
      <c r="I405" s="1643"/>
      <c r="J405" s="1643"/>
      <c r="K405" s="1643"/>
      <c r="L405" s="1643"/>
      <c r="M405" s="1643"/>
      <c r="N405" s="1643"/>
      <c r="O405" s="1643"/>
      <c r="P405" s="1643"/>
      <c r="Q405" s="1643"/>
      <c r="R405" s="1643"/>
      <c r="S405" s="1643"/>
      <c r="T405" s="1643"/>
      <c r="U405" s="1643"/>
      <c r="V405" s="1643"/>
      <c r="W405" s="1643"/>
      <c r="X405" s="1643"/>
      <c r="Y405" s="1643"/>
      <c r="Z405" s="1643"/>
      <c r="AA405" s="1643"/>
      <c r="AB405" s="1643"/>
      <c r="AC405" s="1643"/>
      <c r="AD405" s="1643"/>
      <c r="AE405" s="1643"/>
      <c r="AF405" s="1643"/>
      <c r="AG405" s="1643"/>
      <c r="AH405" s="1643"/>
      <c r="AI405" s="1643"/>
      <c r="AJ405" s="1643"/>
      <c r="AK405" s="1643"/>
      <c r="AL405" s="1643"/>
      <c r="AM405" s="1643"/>
    </row>
    <row r="406" spans="1:39" ht="15.75" customHeight="1" x14ac:dyDescent="0.3">
      <c r="A406" s="1643"/>
      <c r="B406" s="1643"/>
      <c r="C406" s="1643"/>
      <c r="D406" s="1643"/>
      <c r="E406" s="1643"/>
      <c r="F406" s="1643"/>
      <c r="G406" s="1643"/>
      <c r="H406" s="1643"/>
      <c r="I406" s="1643"/>
      <c r="J406" s="1643"/>
      <c r="K406" s="1643"/>
      <c r="L406" s="1643"/>
      <c r="M406" s="1643"/>
      <c r="N406" s="1643"/>
      <c r="O406" s="1643"/>
      <c r="P406" s="1643"/>
      <c r="Q406" s="1643"/>
      <c r="R406" s="1643"/>
      <c r="S406" s="1643"/>
      <c r="T406" s="1643"/>
      <c r="U406" s="1643"/>
      <c r="V406" s="1643"/>
      <c r="W406" s="1643"/>
      <c r="X406" s="1643"/>
      <c r="Y406" s="1643"/>
      <c r="Z406" s="1643"/>
      <c r="AA406" s="1643"/>
      <c r="AB406" s="1643"/>
      <c r="AC406" s="1643"/>
      <c r="AD406" s="1643"/>
      <c r="AE406" s="1643"/>
      <c r="AF406" s="1643"/>
      <c r="AG406" s="1643"/>
      <c r="AH406" s="1643"/>
      <c r="AI406" s="1643"/>
      <c r="AJ406" s="1643"/>
      <c r="AK406" s="1643"/>
      <c r="AL406" s="1643"/>
      <c r="AM406" s="1643"/>
    </row>
    <row r="407" spans="1:39" ht="15.75" customHeight="1" x14ac:dyDescent="0.3">
      <c r="A407" s="1643"/>
      <c r="B407" s="1643"/>
      <c r="C407" s="1643"/>
      <c r="D407" s="1643"/>
      <c r="E407" s="1643"/>
      <c r="F407" s="1643"/>
      <c r="G407" s="1643"/>
      <c r="H407" s="1643"/>
      <c r="I407" s="1643"/>
      <c r="J407" s="1643"/>
      <c r="K407" s="1643"/>
      <c r="L407" s="1643"/>
      <c r="M407" s="1643"/>
      <c r="N407" s="1643"/>
      <c r="O407" s="1643"/>
      <c r="P407" s="1643"/>
      <c r="Q407" s="1643"/>
      <c r="R407" s="1643"/>
      <c r="S407" s="1643"/>
      <c r="T407" s="1643"/>
      <c r="U407" s="1643"/>
      <c r="V407" s="1643"/>
      <c r="W407" s="1643"/>
      <c r="X407" s="1643"/>
      <c r="Y407" s="1643"/>
      <c r="Z407" s="1643"/>
      <c r="AA407" s="1643"/>
      <c r="AB407" s="1643"/>
      <c r="AC407" s="1643"/>
      <c r="AD407" s="1643"/>
      <c r="AE407" s="1643"/>
      <c r="AF407" s="1643"/>
      <c r="AG407" s="1643"/>
      <c r="AH407" s="1643"/>
      <c r="AI407" s="1643"/>
      <c r="AJ407" s="1643"/>
      <c r="AK407" s="1643"/>
      <c r="AL407" s="1643"/>
      <c r="AM407" s="1643"/>
    </row>
    <row r="408" spans="1:39" ht="15.75" customHeight="1" x14ac:dyDescent="0.3">
      <c r="A408" s="1643"/>
      <c r="B408" s="1643"/>
      <c r="C408" s="1643"/>
      <c r="D408" s="1643"/>
      <c r="E408" s="1643"/>
      <c r="F408" s="1643"/>
      <c r="G408" s="1643"/>
      <c r="H408" s="1643"/>
      <c r="I408" s="1643"/>
      <c r="J408" s="1643"/>
      <c r="K408" s="1643"/>
      <c r="L408" s="1643"/>
      <c r="M408" s="1643"/>
      <c r="N408" s="1643"/>
      <c r="O408" s="1643"/>
      <c r="P408" s="1643"/>
      <c r="Q408" s="1643"/>
      <c r="R408" s="1643"/>
      <c r="S408" s="1643"/>
      <c r="T408" s="1643"/>
      <c r="U408" s="1643"/>
      <c r="V408" s="1643"/>
      <c r="W408" s="1643"/>
      <c r="X408" s="1643"/>
      <c r="Y408" s="1643"/>
      <c r="Z408" s="1643"/>
      <c r="AA408" s="1643"/>
      <c r="AB408" s="1643"/>
      <c r="AC408" s="1643"/>
      <c r="AD408" s="1643"/>
      <c r="AE408" s="1643"/>
      <c r="AF408" s="1643"/>
      <c r="AG408" s="1643"/>
      <c r="AH408" s="1643"/>
      <c r="AI408" s="1643"/>
      <c r="AJ408" s="1643"/>
      <c r="AK408" s="1643"/>
      <c r="AL408" s="1643"/>
      <c r="AM408" s="1643"/>
    </row>
    <row r="409" spans="1:39" ht="15.75" customHeight="1" x14ac:dyDescent="0.3">
      <c r="A409" s="1643"/>
      <c r="B409" s="1643"/>
      <c r="C409" s="1643"/>
      <c r="D409" s="1643"/>
      <c r="E409" s="1643"/>
      <c r="F409" s="1643"/>
      <c r="G409" s="1643"/>
      <c r="H409" s="1643"/>
      <c r="I409" s="1643"/>
      <c r="J409" s="1643"/>
      <c r="K409" s="1643"/>
      <c r="L409" s="1643"/>
      <c r="M409" s="1643"/>
      <c r="N409" s="1643"/>
      <c r="O409" s="1643"/>
      <c r="P409" s="1643"/>
      <c r="Q409" s="1643"/>
      <c r="R409" s="1643"/>
      <c r="S409" s="1643"/>
      <c r="T409" s="1643"/>
      <c r="U409" s="1643"/>
      <c r="V409" s="1643"/>
      <c r="W409" s="1643"/>
      <c r="X409" s="1643"/>
      <c r="Y409" s="1643"/>
      <c r="Z409" s="1643"/>
      <c r="AA409" s="1643"/>
      <c r="AB409" s="1643"/>
      <c r="AC409" s="1643"/>
      <c r="AD409" s="1643"/>
      <c r="AE409" s="1643"/>
      <c r="AF409" s="1643"/>
      <c r="AG409" s="1643"/>
      <c r="AH409" s="1643"/>
      <c r="AI409" s="1643"/>
      <c r="AJ409" s="1643"/>
      <c r="AK409" s="1643"/>
      <c r="AL409" s="1643"/>
      <c r="AM409" s="1643"/>
    </row>
    <row r="410" spans="1:39" ht="15.75" customHeight="1" x14ac:dyDescent="0.3">
      <c r="A410" s="1643"/>
      <c r="B410" s="1643"/>
      <c r="C410" s="1643"/>
      <c r="D410" s="1643"/>
      <c r="E410" s="1643"/>
      <c r="F410" s="1643"/>
      <c r="G410" s="1643"/>
      <c r="H410" s="1643"/>
      <c r="I410" s="1643"/>
      <c r="J410" s="1643"/>
      <c r="K410" s="1643"/>
      <c r="L410" s="1643"/>
      <c r="M410" s="1643"/>
      <c r="N410" s="1643"/>
      <c r="O410" s="1643"/>
      <c r="P410" s="1643"/>
      <c r="Q410" s="1643"/>
      <c r="R410" s="1643"/>
      <c r="S410" s="1643"/>
      <c r="T410" s="1643"/>
      <c r="U410" s="1643"/>
      <c r="V410" s="1643"/>
      <c r="W410" s="1643"/>
      <c r="X410" s="1643"/>
      <c r="Y410" s="1643"/>
      <c r="Z410" s="1643"/>
      <c r="AA410" s="1643"/>
      <c r="AB410" s="1643"/>
      <c r="AC410" s="1643"/>
      <c r="AD410" s="1643"/>
      <c r="AE410" s="1643"/>
      <c r="AF410" s="1643"/>
      <c r="AG410" s="1643"/>
      <c r="AH410" s="1643"/>
      <c r="AI410" s="1643"/>
      <c r="AJ410" s="1643"/>
      <c r="AK410" s="1643"/>
      <c r="AL410" s="1643"/>
      <c r="AM410" s="1643"/>
    </row>
    <row r="411" spans="1:39" ht="15.75" customHeight="1" x14ac:dyDescent="0.3">
      <c r="A411" s="1643"/>
      <c r="B411" s="1643"/>
      <c r="C411" s="1643"/>
      <c r="D411" s="1643"/>
      <c r="E411" s="1643"/>
      <c r="F411" s="1643"/>
      <c r="G411" s="1643"/>
      <c r="H411" s="1643"/>
      <c r="I411" s="1643"/>
      <c r="J411" s="1643"/>
      <c r="K411" s="1643"/>
      <c r="L411" s="1643"/>
      <c r="M411" s="1643"/>
      <c r="N411" s="1643"/>
      <c r="O411" s="1643"/>
      <c r="P411" s="1643"/>
      <c r="Q411" s="1643"/>
      <c r="R411" s="1643"/>
      <c r="S411" s="1643"/>
      <c r="T411" s="1643"/>
      <c r="U411" s="1643"/>
      <c r="V411" s="1643"/>
      <c r="W411" s="1643"/>
      <c r="X411" s="1643"/>
      <c r="Y411" s="1643"/>
      <c r="Z411" s="1643"/>
      <c r="AA411" s="1643"/>
      <c r="AB411" s="1643"/>
      <c r="AC411" s="1643"/>
      <c r="AD411" s="1643"/>
      <c r="AE411" s="1643"/>
      <c r="AF411" s="1643"/>
      <c r="AG411" s="1643"/>
      <c r="AH411" s="1643"/>
      <c r="AI411" s="1643"/>
      <c r="AJ411" s="1643"/>
      <c r="AK411" s="1643"/>
      <c r="AL411" s="1643"/>
      <c r="AM411" s="1643"/>
    </row>
    <row r="412" spans="1:39" ht="15.75" customHeight="1" x14ac:dyDescent="0.3">
      <c r="A412" s="1643"/>
      <c r="B412" s="1643"/>
      <c r="C412" s="1643"/>
      <c r="D412" s="1643"/>
      <c r="E412" s="1643"/>
      <c r="F412" s="1643"/>
      <c r="G412" s="1643"/>
      <c r="H412" s="1643"/>
      <c r="I412" s="1643"/>
      <c r="J412" s="1643"/>
      <c r="K412" s="1643"/>
      <c r="L412" s="1643"/>
      <c r="M412" s="1643"/>
      <c r="N412" s="1643"/>
      <c r="O412" s="1643"/>
      <c r="P412" s="1643"/>
      <c r="Q412" s="1643"/>
      <c r="R412" s="1643"/>
      <c r="S412" s="1643"/>
      <c r="T412" s="1643"/>
      <c r="U412" s="1643"/>
      <c r="V412" s="1643"/>
      <c r="W412" s="1643"/>
      <c r="X412" s="1643"/>
      <c r="Y412" s="1643"/>
      <c r="Z412" s="1643"/>
      <c r="AA412" s="1643"/>
      <c r="AB412" s="1643"/>
      <c r="AC412" s="1643"/>
      <c r="AD412" s="1643"/>
      <c r="AE412" s="1643"/>
      <c r="AF412" s="1643"/>
      <c r="AG412" s="1643"/>
      <c r="AH412" s="1643"/>
      <c r="AI412" s="1643"/>
      <c r="AJ412" s="1643"/>
      <c r="AK412" s="1643"/>
      <c r="AL412" s="1643"/>
      <c r="AM412" s="1643"/>
    </row>
    <row r="413" spans="1:39" ht="15.75" customHeight="1" x14ac:dyDescent="0.3">
      <c r="A413" s="1643"/>
      <c r="B413" s="1643"/>
      <c r="C413" s="1643"/>
      <c r="D413" s="1643"/>
      <c r="E413" s="1643"/>
      <c r="F413" s="1643"/>
      <c r="G413" s="1643"/>
      <c r="H413" s="1643"/>
      <c r="I413" s="1643"/>
      <c r="J413" s="1643"/>
      <c r="K413" s="1643"/>
      <c r="L413" s="1643"/>
      <c r="M413" s="1643"/>
      <c r="N413" s="1643"/>
      <c r="O413" s="1643"/>
      <c r="P413" s="1643"/>
      <c r="Q413" s="1643"/>
      <c r="R413" s="1643"/>
      <c r="S413" s="1643"/>
      <c r="T413" s="1643"/>
      <c r="U413" s="1643"/>
      <c r="V413" s="1643"/>
      <c r="W413" s="1643"/>
      <c r="X413" s="1643"/>
      <c r="Y413" s="1643"/>
      <c r="Z413" s="1643"/>
      <c r="AA413" s="1643"/>
      <c r="AB413" s="1643"/>
      <c r="AC413" s="1643"/>
      <c r="AD413" s="1643"/>
      <c r="AE413" s="1643"/>
      <c r="AF413" s="1643"/>
      <c r="AG413" s="1643"/>
      <c r="AH413" s="1643"/>
      <c r="AI413" s="1643"/>
      <c r="AJ413" s="1643"/>
      <c r="AK413" s="1643"/>
      <c r="AL413" s="1643"/>
      <c r="AM413" s="1643"/>
    </row>
    <row r="414" spans="1:39" ht="15.75" customHeight="1" x14ac:dyDescent="0.3">
      <c r="A414" s="1643"/>
      <c r="B414" s="1643"/>
      <c r="C414" s="1643"/>
      <c r="D414" s="1643"/>
      <c r="E414" s="1643"/>
      <c r="F414" s="1643"/>
      <c r="G414" s="1643"/>
      <c r="H414" s="1643"/>
      <c r="I414" s="1643"/>
      <c r="J414" s="1643"/>
      <c r="K414" s="1643"/>
      <c r="L414" s="1643"/>
      <c r="M414" s="1643"/>
      <c r="N414" s="1643"/>
      <c r="O414" s="1643"/>
      <c r="P414" s="1643"/>
      <c r="Q414" s="1643"/>
      <c r="R414" s="1643"/>
      <c r="S414" s="1643"/>
      <c r="T414" s="1643"/>
      <c r="U414" s="1643"/>
      <c r="V414" s="1643"/>
      <c r="W414" s="1643"/>
      <c r="X414" s="1643"/>
      <c r="Y414" s="1643"/>
      <c r="Z414" s="1643"/>
      <c r="AA414" s="1643"/>
      <c r="AB414" s="1643"/>
      <c r="AC414" s="1643"/>
      <c r="AD414" s="1643"/>
      <c r="AE414" s="1643"/>
      <c r="AF414" s="1643"/>
      <c r="AG414" s="1643"/>
      <c r="AH414" s="1643"/>
      <c r="AI414" s="1643"/>
      <c r="AJ414" s="1643"/>
      <c r="AK414" s="1643"/>
      <c r="AL414" s="1643"/>
      <c r="AM414" s="1643"/>
    </row>
    <row r="415" spans="1:39" ht="15.75" customHeight="1" x14ac:dyDescent="0.3">
      <c r="A415" s="1643"/>
      <c r="B415" s="1643"/>
      <c r="C415" s="1643"/>
      <c r="D415" s="1643"/>
      <c r="E415" s="1643"/>
      <c r="F415" s="1643"/>
      <c r="G415" s="1643"/>
      <c r="H415" s="1643"/>
      <c r="I415" s="1643"/>
      <c r="J415" s="1643"/>
      <c r="K415" s="1643"/>
      <c r="L415" s="1643"/>
      <c r="M415" s="1643"/>
      <c r="N415" s="1643"/>
      <c r="O415" s="1643"/>
      <c r="P415" s="1643"/>
      <c r="Q415" s="1643"/>
      <c r="R415" s="1643"/>
      <c r="S415" s="1643"/>
      <c r="T415" s="1643"/>
      <c r="U415" s="1643"/>
      <c r="V415" s="1643"/>
      <c r="W415" s="1643"/>
      <c r="X415" s="1643"/>
      <c r="Y415" s="1643"/>
      <c r="Z415" s="1643"/>
      <c r="AA415" s="1643"/>
      <c r="AB415" s="1643"/>
      <c r="AC415" s="1643"/>
      <c r="AD415" s="1643"/>
      <c r="AE415" s="1643"/>
      <c r="AF415" s="1643"/>
      <c r="AG415" s="1643"/>
      <c r="AH415" s="1643"/>
      <c r="AI415" s="1643"/>
      <c r="AJ415" s="1643"/>
      <c r="AK415" s="1643"/>
      <c r="AL415" s="1643"/>
      <c r="AM415" s="1643"/>
    </row>
    <row r="416" spans="1:39" ht="15.75" customHeight="1" x14ac:dyDescent="0.3">
      <c r="A416" s="1643"/>
      <c r="B416" s="1643"/>
      <c r="C416" s="1643"/>
      <c r="D416" s="1643"/>
      <c r="E416" s="1643"/>
      <c r="F416" s="1643"/>
      <c r="G416" s="1643"/>
      <c r="H416" s="1643"/>
      <c r="I416" s="1643"/>
      <c r="J416" s="1643"/>
      <c r="K416" s="1643"/>
      <c r="L416" s="1643"/>
      <c r="M416" s="1643"/>
      <c r="N416" s="1643"/>
      <c r="O416" s="1643"/>
      <c r="P416" s="1643"/>
      <c r="Q416" s="1643"/>
      <c r="R416" s="1643"/>
      <c r="S416" s="1643"/>
      <c r="T416" s="1643"/>
      <c r="U416" s="1643"/>
      <c r="V416" s="1643"/>
      <c r="W416" s="1643"/>
      <c r="X416" s="1643"/>
      <c r="Y416" s="1643"/>
      <c r="Z416" s="1643"/>
      <c r="AA416" s="1643"/>
      <c r="AB416" s="1643"/>
      <c r="AC416" s="1643"/>
      <c r="AD416" s="1643"/>
      <c r="AE416" s="1643"/>
      <c r="AF416" s="1643"/>
      <c r="AG416" s="1643"/>
      <c r="AH416" s="1643"/>
      <c r="AI416" s="1643"/>
      <c r="AJ416" s="1643"/>
      <c r="AK416" s="1643"/>
      <c r="AL416" s="1643"/>
      <c r="AM416" s="1643"/>
    </row>
    <row r="417" spans="1:39" ht="15.75" customHeight="1" x14ac:dyDescent="0.3">
      <c r="A417" s="1643"/>
      <c r="B417" s="1643"/>
      <c r="C417" s="1643"/>
      <c r="D417" s="1643"/>
      <c r="E417" s="1643"/>
      <c r="F417" s="1643"/>
      <c r="G417" s="1643"/>
      <c r="H417" s="1643"/>
      <c r="I417" s="1643"/>
      <c r="J417" s="1643"/>
      <c r="K417" s="1643"/>
      <c r="L417" s="1643"/>
      <c r="M417" s="1643"/>
      <c r="N417" s="1643"/>
      <c r="O417" s="1643"/>
      <c r="P417" s="1643"/>
      <c r="Q417" s="1643"/>
      <c r="R417" s="1643"/>
      <c r="S417" s="1643"/>
      <c r="T417" s="1643"/>
      <c r="U417" s="1643"/>
      <c r="V417" s="1643"/>
      <c r="W417" s="1643"/>
      <c r="X417" s="1643"/>
      <c r="Y417" s="1643"/>
      <c r="Z417" s="1643"/>
      <c r="AA417" s="1643"/>
      <c r="AB417" s="1643"/>
      <c r="AC417" s="1643"/>
      <c r="AD417" s="1643"/>
      <c r="AE417" s="1643"/>
      <c r="AF417" s="1643"/>
      <c r="AG417" s="1643"/>
      <c r="AH417" s="1643"/>
      <c r="AI417" s="1643"/>
      <c r="AJ417" s="1643"/>
      <c r="AK417" s="1643"/>
      <c r="AL417" s="1643"/>
      <c r="AM417" s="1643"/>
    </row>
    <row r="418" spans="1:39" ht="15.75" customHeight="1" x14ac:dyDescent="0.3">
      <c r="A418" s="1643"/>
      <c r="B418" s="1643"/>
      <c r="C418" s="1643"/>
      <c r="D418" s="1643"/>
      <c r="E418" s="1643"/>
      <c r="F418" s="1643"/>
      <c r="G418" s="1643"/>
      <c r="H418" s="1643"/>
      <c r="I418" s="1643"/>
      <c r="J418" s="1643"/>
      <c r="K418" s="1643"/>
      <c r="L418" s="1643"/>
      <c r="M418" s="1643"/>
      <c r="N418" s="1643"/>
      <c r="O418" s="1643"/>
      <c r="P418" s="1643"/>
      <c r="Q418" s="1643"/>
      <c r="R418" s="1643"/>
      <c r="S418" s="1643"/>
      <c r="T418" s="1643"/>
      <c r="U418" s="1643"/>
      <c r="V418" s="1643"/>
      <c r="W418" s="1643"/>
      <c r="X418" s="1643"/>
      <c r="Y418" s="1643"/>
      <c r="Z418" s="1643"/>
      <c r="AA418" s="1643"/>
      <c r="AB418" s="1643"/>
      <c r="AC418" s="1643"/>
      <c r="AD418" s="1643"/>
      <c r="AE418" s="1643"/>
      <c r="AF418" s="1643"/>
      <c r="AG418" s="1643"/>
      <c r="AH418" s="1643"/>
      <c r="AI418" s="1643"/>
      <c r="AJ418" s="1643"/>
      <c r="AK418" s="1643"/>
      <c r="AL418" s="1643"/>
      <c r="AM418" s="1643"/>
    </row>
    <row r="419" spans="1:39" ht="15.75" customHeight="1" x14ac:dyDescent="0.3">
      <c r="A419" s="1643"/>
      <c r="B419" s="1643"/>
      <c r="C419" s="1643"/>
      <c r="D419" s="1643"/>
      <c r="E419" s="1643"/>
      <c r="F419" s="1643"/>
      <c r="G419" s="1643"/>
      <c r="H419" s="1643"/>
      <c r="I419" s="1643"/>
      <c r="J419" s="1643"/>
      <c r="K419" s="1643"/>
      <c r="L419" s="1643"/>
      <c r="M419" s="1643"/>
      <c r="N419" s="1643"/>
      <c r="O419" s="1643"/>
      <c r="P419" s="1643"/>
      <c r="Q419" s="1643"/>
      <c r="R419" s="1643"/>
      <c r="S419" s="1643"/>
      <c r="T419" s="1643"/>
      <c r="U419" s="1643"/>
      <c r="V419" s="1643"/>
      <c r="W419" s="1643"/>
      <c r="X419" s="1643"/>
      <c r="Y419" s="1643"/>
      <c r="Z419" s="1643"/>
      <c r="AA419" s="1643"/>
      <c r="AB419" s="1643"/>
      <c r="AC419" s="1643"/>
      <c r="AD419" s="1643"/>
      <c r="AE419" s="1643"/>
      <c r="AF419" s="1643"/>
      <c r="AG419" s="1643"/>
      <c r="AH419" s="1643"/>
      <c r="AI419" s="1643"/>
      <c r="AJ419" s="1643"/>
      <c r="AK419" s="1643"/>
      <c r="AL419" s="1643"/>
      <c r="AM419" s="1643"/>
    </row>
    <row r="420" spans="1:39" ht="15.75" customHeight="1" x14ac:dyDescent="0.3">
      <c r="A420" s="1643"/>
      <c r="B420" s="1643"/>
      <c r="C420" s="1643"/>
      <c r="D420" s="1643"/>
      <c r="E420" s="1643"/>
      <c r="F420" s="1643"/>
      <c r="G420" s="1643"/>
      <c r="H420" s="1643"/>
      <c r="I420" s="1643"/>
      <c r="J420" s="1643"/>
      <c r="K420" s="1643"/>
      <c r="L420" s="1643"/>
      <c r="M420" s="1643"/>
      <c r="N420" s="1643"/>
      <c r="O420" s="1643"/>
      <c r="P420" s="1643"/>
      <c r="Q420" s="1643"/>
      <c r="R420" s="1643"/>
      <c r="S420" s="1643"/>
      <c r="T420" s="1643"/>
      <c r="U420" s="1643"/>
      <c r="V420" s="1643"/>
      <c r="W420" s="1643"/>
      <c r="X420" s="1643"/>
      <c r="Y420" s="1643"/>
      <c r="Z420" s="1643"/>
      <c r="AA420" s="1643"/>
      <c r="AB420" s="1643"/>
      <c r="AC420" s="1643"/>
      <c r="AD420" s="1643"/>
      <c r="AE420" s="1643"/>
      <c r="AF420" s="1643"/>
      <c r="AG420" s="1643"/>
      <c r="AH420" s="1643"/>
      <c r="AI420" s="1643"/>
      <c r="AJ420" s="1643"/>
      <c r="AK420" s="1643"/>
      <c r="AL420" s="1643"/>
      <c r="AM420" s="1643"/>
    </row>
    <row r="421" spans="1:39" ht="15.75" customHeight="1" x14ac:dyDescent="0.3">
      <c r="A421" s="1643"/>
      <c r="B421" s="1643"/>
      <c r="C421" s="1643"/>
      <c r="D421" s="1643"/>
      <c r="E421" s="1643"/>
      <c r="F421" s="1643"/>
      <c r="G421" s="1643"/>
      <c r="H421" s="1643"/>
      <c r="I421" s="1643"/>
      <c r="J421" s="1643"/>
      <c r="K421" s="1643"/>
      <c r="L421" s="1643"/>
      <c r="M421" s="1643"/>
      <c r="N421" s="1643"/>
      <c r="O421" s="1643"/>
      <c r="P421" s="1643"/>
      <c r="Q421" s="1643"/>
      <c r="R421" s="1643"/>
      <c r="S421" s="1643"/>
      <c r="T421" s="1643"/>
      <c r="U421" s="1643"/>
      <c r="V421" s="1643"/>
      <c r="W421" s="1643"/>
      <c r="X421" s="1643"/>
      <c r="Y421" s="1643"/>
      <c r="Z421" s="1643"/>
      <c r="AA421" s="1643"/>
      <c r="AB421" s="1643"/>
      <c r="AC421" s="1643"/>
      <c r="AD421" s="1643"/>
      <c r="AE421" s="1643"/>
      <c r="AF421" s="1643"/>
      <c r="AG421" s="1643"/>
      <c r="AH421" s="1643"/>
      <c r="AI421" s="1643"/>
      <c r="AJ421" s="1643"/>
      <c r="AK421" s="1643"/>
      <c r="AL421" s="1643"/>
      <c r="AM421" s="1643"/>
    </row>
    <row r="422" spans="1:39" ht="15.75" customHeight="1" x14ac:dyDescent="0.3">
      <c r="A422" s="1643"/>
      <c r="B422" s="1643"/>
      <c r="C422" s="1643"/>
      <c r="D422" s="1643"/>
      <c r="E422" s="1643"/>
      <c r="F422" s="1643"/>
      <c r="G422" s="1643"/>
      <c r="H422" s="1643"/>
      <c r="I422" s="1643"/>
      <c r="J422" s="1643"/>
      <c r="K422" s="1643"/>
      <c r="L422" s="1643"/>
      <c r="M422" s="1643"/>
      <c r="N422" s="1643"/>
      <c r="O422" s="1643"/>
      <c r="P422" s="1643"/>
      <c r="Q422" s="1643"/>
      <c r="R422" s="1643"/>
      <c r="S422" s="1643"/>
      <c r="T422" s="1643"/>
      <c r="U422" s="1643"/>
      <c r="V422" s="1643"/>
      <c r="W422" s="1643"/>
      <c r="X422" s="1643"/>
      <c r="Y422" s="1643"/>
      <c r="Z422" s="1643"/>
      <c r="AA422" s="1643"/>
      <c r="AB422" s="1643"/>
      <c r="AC422" s="1643"/>
      <c r="AD422" s="1643"/>
      <c r="AE422" s="1643"/>
      <c r="AF422" s="1643"/>
      <c r="AG422" s="1643"/>
      <c r="AH422" s="1643"/>
      <c r="AI422" s="1643"/>
      <c r="AJ422" s="1643"/>
      <c r="AK422" s="1643"/>
      <c r="AL422" s="1643"/>
      <c r="AM422" s="1643"/>
    </row>
    <row r="423" spans="1:39" ht="15.75" customHeight="1" x14ac:dyDescent="0.3">
      <c r="A423" s="1643"/>
      <c r="B423" s="1643"/>
      <c r="C423" s="1643"/>
      <c r="D423" s="1643"/>
      <c r="E423" s="1643"/>
      <c r="F423" s="1643"/>
      <c r="G423" s="1643"/>
      <c r="H423" s="1643"/>
      <c r="I423" s="1643"/>
      <c r="J423" s="1643"/>
      <c r="K423" s="1643"/>
      <c r="L423" s="1643"/>
      <c r="M423" s="1643"/>
      <c r="N423" s="1643"/>
      <c r="O423" s="1643"/>
      <c r="P423" s="1643"/>
      <c r="Q423" s="1643"/>
      <c r="R423" s="1643"/>
      <c r="S423" s="1643"/>
      <c r="T423" s="1643"/>
      <c r="U423" s="1643"/>
      <c r="V423" s="1643"/>
      <c r="W423" s="1643"/>
      <c r="X423" s="1643"/>
      <c r="Y423" s="1643"/>
      <c r="Z423" s="1643"/>
      <c r="AA423" s="1643"/>
      <c r="AB423" s="1643"/>
      <c r="AC423" s="1643"/>
      <c r="AD423" s="1643"/>
      <c r="AE423" s="1643"/>
      <c r="AF423" s="1643"/>
      <c r="AG423" s="1643"/>
      <c r="AH423" s="1643"/>
      <c r="AI423" s="1643"/>
      <c r="AJ423" s="1643"/>
      <c r="AK423" s="1643"/>
      <c r="AL423" s="1643"/>
      <c r="AM423" s="1643"/>
    </row>
    <row r="424" spans="1:39" ht="15.75" customHeight="1" x14ac:dyDescent="0.3">
      <c r="A424" s="1643"/>
      <c r="B424" s="1643"/>
      <c r="C424" s="1643"/>
      <c r="D424" s="1643"/>
      <c r="E424" s="1643"/>
      <c r="F424" s="1643"/>
      <c r="G424" s="1643"/>
      <c r="H424" s="1643"/>
      <c r="I424" s="1643"/>
      <c r="J424" s="1643"/>
      <c r="K424" s="1643"/>
      <c r="L424" s="1643"/>
      <c r="M424" s="1643"/>
      <c r="N424" s="1643"/>
      <c r="O424" s="1643"/>
      <c r="P424" s="1643"/>
      <c r="Q424" s="1643"/>
      <c r="R424" s="1643"/>
      <c r="S424" s="1643"/>
      <c r="T424" s="1643"/>
      <c r="U424" s="1643"/>
      <c r="V424" s="1643"/>
      <c r="W424" s="1643"/>
      <c r="X424" s="1643"/>
      <c r="Y424" s="1643"/>
      <c r="Z424" s="1643"/>
      <c r="AA424" s="1643"/>
      <c r="AB424" s="1643"/>
      <c r="AC424" s="1643"/>
      <c r="AD424" s="1643"/>
      <c r="AE424" s="1643"/>
      <c r="AF424" s="1643"/>
      <c r="AG424" s="1643"/>
      <c r="AH424" s="1643"/>
      <c r="AI424" s="1643"/>
      <c r="AJ424" s="1643"/>
      <c r="AK424" s="1643"/>
      <c r="AL424" s="1643"/>
      <c r="AM424" s="1643"/>
    </row>
    <row r="425" spans="1:39" ht="15.75" customHeight="1" x14ac:dyDescent="0.3">
      <c r="A425" s="1643"/>
      <c r="B425" s="1643"/>
      <c r="C425" s="1643"/>
      <c r="D425" s="1643"/>
      <c r="E425" s="1643"/>
      <c r="F425" s="1643"/>
      <c r="G425" s="1643"/>
      <c r="H425" s="1643"/>
      <c r="I425" s="1643"/>
      <c r="J425" s="1643"/>
      <c r="K425" s="1643"/>
      <c r="L425" s="1643"/>
      <c r="M425" s="1643"/>
      <c r="N425" s="1643"/>
      <c r="O425" s="1643"/>
      <c r="P425" s="1643"/>
      <c r="Q425" s="1643"/>
      <c r="R425" s="1643"/>
      <c r="S425" s="1643"/>
      <c r="T425" s="1643"/>
      <c r="U425" s="1643"/>
      <c r="V425" s="1643"/>
      <c r="W425" s="1643"/>
      <c r="X425" s="1643"/>
      <c r="Y425" s="1643"/>
      <c r="Z425" s="1643"/>
      <c r="AA425" s="1643"/>
      <c r="AB425" s="1643"/>
      <c r="AC425" s="1643"/>
      <c r="AD425" s="1643"/>
      <c r="AE425" s="1643"/>
      <c r="AF425" s="1643"/>
      <c r="AG425" s="1643"/>
      <c r="AH425" s="1643"/>
      <c r="AI425" s="1643"/>
      <c r="AJ425" s="1643"/>
      <c r="AK425" s="1643"/>
      <c r="AL425" s="1643"/>
      <c r="AM425" s="1643"/>
    </row>
    <row r="426" spans="1:39" ht="15.75" customHeight="1" x14ac:dyDescent="0.3">
      <c r="A426" s="1643"/>
      <c r="B426" s="1643"/>
      <c r="C426" s="1643"/>
      <c r="D426" s="1643"/>
      <c r="E426" s="1643"/>
      <c r="F426" s="1643"/>
      <c r="G426" s="1643"/>
      <c r="H426" s="1643"/>
      <c r="I426" s="1643"/>
      <c r="J426" s="1643"/>
      <c r="K426" s="1643"/>
      <c r="L426" s="1643"/>
      <c r="M426" s="1643"/>
      <c r="N426" s="1643"/>
      <c r="O426" s="1643"/>
      <c r="P426" s="1643"/>
      <c r="Q426" s="1643"/>
      <c r="R426" s="1643"/>
      <c r="S426" s="1643"/>
      <c r="T426" s="1643"/>
      <c r="U426" s="1643"/>
      <c r="V426" s="1643"/>
      <c r="W426" s="1643"/>
      <c r="X426" s="1643"/>
      <c r="Y426" s="1643"/>
      <c r="Z426" s="1643"/>
      <c r="AA426" s="1643"/>
      <c r="AB426" s="1643"/>
      <c r="AC426" s="1643"/>
      <c r="AD426" s="1643"/>
      <c r="AE426" s="1643"/>
      <c r="AF426" s="1643"/>
      <c r="AG426" s="1643"/>
      <c r="AH426" s="1643"/>
      <c r="AI426" s="1643"/>
      <c r="AJ426" s="1643"/>
      <c r="AK426" s="1643"/>
      <c r="AL426" s="1643"/>
      <c r="AM426" s="1643"/>
    </row>
    <row r="427" spans="1:39" ht="15.75" customHeight="1" x14ac:dyDescent="0.3">
      <c r="A427" s="1643"/>
      <c r="B427" s="1643"/>
      <c r="C427" s="1643"/>
      <c r="D427" s="1643"/>
      <c r="E427" s="1643"/>
      <c r="F427" s="1643"/>
      <c r="G427" s="1643"/>
      <c r="H427" s="1643"/>
      <c r="I427" s="1643"/>
      <c r="J427" s="1643"/>
      <c r="K427" s="1643"/>
      <c r="L427" s="1643"/>
      <c r="M427" s="1643"/>
      <c r="N427" s="1643"/>
      <c r="O427" s="1643"/>
      <c r="P427" s="1643"/>
      <c r="Q427" s="1643"/>
      <c r="R427" s="1643"/>
      <c r="S427" s="1643"/>
      <c r="T427" s="1643"/>
      <c r="U427" s="1643"/>
      <c r="V427" s="1643"/>
      <c r="W427" s="1643"/>
      <c r="X427" s="1643"/>
      <c r="Y427" s="1643"/>
      <c r="Z427" s="1643"/>
      <c r="AA427" s="1643"/>
      <c r="AB427" s="1643"/>
      <c r="AC427" s="1643"/>
      <c r="AD427" s="1643"/>
      <c r="AE427" s="1643"/>
      <c r="AF427" s="1643"/>
      <c r="AG427" s="1643"/>
      <c r="AH427" s="1643"/>
      <c r="AI427" s="1643"/>
      <c r="AJ427" s="1643"/>
      <c r="AK427" s="1643"/>
      <c r="AL427" s="1643"/>
      <c r="AM427" s="1643"/>
    </row>
    <row r="428" spans="1:39" ht="15.75" customHeight="1" x14ac:dyDescent="0.3">
      <c r="A428" s="1643"/>
      <c r="B428" s="1643"/>
      <c r="C428" s="1643"/>
      <c r="D428" s="1643"/>
      <c r="E428" s="1643"/>
      <c r="F428" s="1643"/>
      <c r="G428" s="1643"/>
      <c r="H428" s="1643"/>
      <c r="I428" s="1643"/>
      <c r="J428" s="1643"/>
      <c r="K428" s="1643"/>
      <c r="L428" s="1643"/>
      <c r="M428" s="1643"/>
      <c r="N428" s="1643"/>
      <c r="O428" s="1643"/>
      <c r="P428" s="1643"/>
      <c r="Q428" s="1643"/>
      <c r="R428" s="1643"/>
      <c r="S428" s="1643"/>
      <c r="T428" s="1643"/>
      <c r="U428" s="1643"/>
      <c r="V428" s="1643"/>
      <c r="W428" s="1643"/>
      <c r="X428" s="1643"/>
      <c r="Y428" s="1643"/>
      <c r="Z428" s="1643"/>
      <c r="AA428" s="1643"/>
      <c r="AB428" s="1643"/>
      <c r="AC428" s="1643"/>
      <c r="AD428" s="1643"/>
      <c r="AE428" s="1643"/>
      <c r="AF428" s="1643"/>
      <c r="AG428" s="1643"/>
      <c r="AH428" s="1643"/>
      <c r="AI428" s="1643"/>
      <c r="AJ428" s="1643"/>
      <c r="AK428" s="1643"/>
      <c r="AL428" s="1643"/>
      <c r="AM428" s="1643"/>
    </row>
    <row r="429" spans="1:39" ht="15.75" customHeight="1" x14ac:dyDescent="0.3">
      <c r="A429" s="1643"/>
      <c r="B429" s="1643"/>
      <c r="C429" s="1643"/>
      <c r="D429" s="1643"/>
      <c r="E429" s="1643"/>
      <c r="F429" s="1643"/>
      <c r="G429" s="1643"/>
      <c r="H429" s="1643"/>
      <c r="I429" s="1643"/>
      <c r="J429" s="1643"/>
      <c r="K429" s="1643"/>
      <c r="L429" s="1643"/>
      <c r="M429" s="1643"/>
      <c r="N429" s="1643"/>
      <c r="O429" s="1643"/>
      <c r="P429" s="1643"/>
      <c r="Q429" s="1643"/>
      <c r="R429" s="1643"/>
      <c r="S429" s="1643"/>
      <c r="T429" s="1643"/>
      <c r="U429" s="1643"/>
      <c r="V429" s="1643"/>
      <c r="W429" s="1643"/>
      <c r="X429" s="1643"/>
      <c r="Y429" s="1643"/>
      <c r="Z429" s="1643"/>
      <c r="AA429" s="1643"/>
      <c r="AB429" s="1643"/>
      <c r="AC429" s="1643"/>
      <c r="AD429" s="1643"/>
      <c r="AE429" s="1643"/>
      <c r="AF429" s="1643"/>
      <c r="AG429" s="1643"/>
      <c r="AH429" s="1643"/>
      <c r="AI429" s="1643"/>
      <c r="AJ429" s="1643"/>
      <c r="AK429" s="1643"/>
      <c r="AL429" s="1643"/>
      <c r="AM429" s="1643"/>
    </row>
    <row r="430" spans="1:39" ht="15.75" customHeight="1" x14ac:dyDescent="0.3">
      <c r="A430" s="1643"/>
      <c r="B430" s="1643"/>
      <c r="C430" s="1643"/>
      <c r="D430" s="1643"/>
      <c r="E430" s="1643"/>
      <c r="F430" s="1643"/>
      <c r="G430" s="1643"/>
      <c r="H430" s="1643"/>
      <c r="I430" s="1643"/>
      <c r="J430" s="1643"/>
      <c r="K430" s="1643"/>
      <c r="L430" s="1643"/>
      <c r="M430" s="1643"/>
      <c r="N430" s="1643"/>
      <c r="O430" s="1643"/>
      <c r="P430" s="1643"/>
      <c r="Q430" s="1643"/>
      <c r="R430" s="1643"/>
      <c r="S430" s="1643"/>
      <c r="T430" s="1643"/>
      <c r="U430" s="1643"/>
      <c r="V430" s="1643"/>
      <c r="W430" s="1643"/>
      <c r="X430" s="1643"/>
      <c r="Y430" s="1643"/>
      <c r="Z430" s="1643"/>
      <c r="AA430" s="1643"/>
      <c r="AB430" s="1643"/>
      <c r="AC430" s="1643"/>
      <c r="AD430" s="1643"/>
      <c r="AE430" s="1643"/>
      <c r="AF430" s="1643"/>
      <c r="AG430" s="1643"/>
      <c r="AH430" s="1643"/>
      <c r="AI430" s="1643"/>
      <c r="AJ430" s="1643"/>
      <c r="AK430" s="1643"/>
      <c r="AL430" s="1643"/>
      <c r="AM430" s="1643"/>
    </row>
    <row r="431" spans="1:39" ht="15.75" customHeight="1" x14ac:dyDescent="0.3">
      <c r="A431" s="1643"/>
      <c r="B431" s="1643"/>
      <c r="C431" s="1643"/>
      <c r="D431" s="1643"/>
      <c r="E431" s="1643"/>
      <c r="F431" s="1643"/>
      <c r="G431" s="1643"/>
      <c r="H431" s="1643"/>
      <c r="I431" s="1643"/>
      <c r="J431" s="1643"/>
      <c r="K431" s="1643"/>
      <c r="L431" s="1643"/>
      <c r="M431" s="1643"/>
      <c r="N431" s="1643"/>
      <c r="O431" s="1643"/>
      <c r="P431" s="1643"/>
      <c r="Q431" s="1643"/>
      <c r="R431" s="1643"/>
      <c r="S431" s="1643"/>
      <c r="T431" s="1643"/>
      <c r="U431" s="1643"/>
      <c r="V431" s="1643"/>
      <c r="W431" s="1643"/>
      <c r="X431" s="1643"/>
      <c r="Y431" s="1643"/>
      <c r="Z431" s="1643"/>
      <c r="AA431" s="1643"/>
      <c r="AB431" s="1643"/>
      <c r="AC431" s="1643"/>
      <c r="AD431" s="1643"/>
      <c r="AE431" s="1643"/>
      <c r="AF431" s="1643"/>
      <c r="AG431" s="1643"/>
      <c r="AH431" s="1643"/>
      <c r="AI431" s="1643"/>
      <c r="AJ431" s="1643"/>
      <c r="AK431" s="1643"/>
      <c r="AL431" s="1643"/>
      <c r="AM431" s="1643"/>
    </row>
    <row r="432" spans="1:39" ht="15.75" customHeight="1" x14ac:dyDescent="0.3">
      <c r="A432" s="1643"/>
      <c r="B432" s="1643"/>
      <c r="C432" s="1643"/>
      <c r="D432" s="1643"/>
      <c r="E432" s="1643"/>
      <c r="F432" s="1643"/>
      <c r="G432" s="1643"/>
      <c r="H432" s="1643"/>
      <c r="I432" s="1643"/>
      <c r="J432" s="1643"/>
      <c r="K432" s="1643"/>
      <c r="L432" s="1643"/>
      <c r="M432" s="1643"/>
      <c r="N432" s="1643"/>
      <c r="O432" s="1643"/>
      <c r="P432" s="1643"/>
      <c r="Q432" s="1643"/>
      <c r="R432" s="1643"/>
      <c r="S432" s="1643"/>
      <c r="T432" s="1643"/>
      <c r="U432" s="1643"/>
      <c r="V432" s="1643"/>
      <c r="W432" s="1643"/>
      <c r="X432" s="1643"/>
      <c r="Y432" s="1643"/>
      <c r="Z432" s="1643"/>
      <c r="AA432" s="1643"/>
      <c r="AB432" s="1643"/>
      <c r="AC432" s="1643"/>
      <c r="AD432" s="1643"/>
      <c r="AE432" s="1643"/>
      <c r="AF432" s="1643"/>
      <c r="AG432" s="1643"/>
      <c r="AH432" s="1643"/>
      <c r="AI432" s="1643"/>
      <c r="AJ432" s="1643"/>
      <c r="AK432" s="1643"/>
      <c r="AL432" s="1643"/>
      <c r="AM432" s="1643"/>
    </row>
    <row r="433" spans="1:39" ht="15.75" customHeight="1" x14ac:dyDescent="0.3">
      <c r="A433" s="1643"/>
      <c r="B433" s="1643"/>
      <c r="C433" s="1643"/>
      <c r="D433" s="1643"/>
      <c r="E433" s="1643"/>
      <c r="F433" s="1643"/>
      <c r="G433" s="1643"/>
      <c r="H433" s="1643"/>
      <c r="I433" s="1643"/>
      <c r="J433" s="1643"/>
      <c r="K433" s="1643"/>
      <c r="L433" s="1643"/>
      <c r="M433" s="1643"/>
      <c r="N433" s="1643"/>
      <c r="O433" s="1643"/>
      <c r="P433" s="1643"/>
      <c r="Q433" s="1643"/>
      <c r="R433" s="1643"/>
      <c r="S433" s="1643"/>
      <c r="T433" s="1643"/>
      <c r="U433" s="1643"/>
      <c r="V433" s="1643"/>
      <c r="W433" s="1643"/>
      <c r="X433" s="1643"/>
      <c r="Y433" s="1643"/>
      <c r="Z433" s="1643"/>
      <c r="AA433" s="1643"/>
      <c r="AB433" s="1643"/>
      <c r="AC433" s="1643"/>
      <c r="AD433" s="1643"/>
      <c r="AE433" s="1643"/>
      <c r="AF433" s="1643"/>
      <c r="AG433" s="1643"/>
      <c r="AH433" s="1643"/>
      <c r="AI433" s="1643"/>
      <c r="AJ433" s="1643"/>
      <c r="AK433" s="1643"/>
      <c r="AL433" s="1643"/>
      <c r="AM433" s="1643"/>
    </row>
    <row r="434" spans="1:39" ht="15.75" customHeight="1" x14ac:dyDescent="0.3">
      <c r="A434" s="1643"/>
      <c r="B434" s="1643"/>
      <c r="C434" s="1643"/>
      <c r="D434" s="1643"/>
      <c r="E434" s="1643"/>
      <c r="F434" s="1643"/>
      <c r="G434" s="1643"/>
      <c r="H434" s="1643"/>
      <c r="I434" s="1643"/>
      <c r="J434" s="1643"/>
      <c r="K434" s="1643"/>
      <c r="L434" s="1643"/>
      <c r="M434" s="1643"/>
      <c r="N434" s="1643"/>
      <c r="O434" s="1643"/>
      <c r="P434" s="1643"/>
      <c r="Q434" s="1643"/>
      <c r="R434" s="1643"/>
      <c r="S434" s="1643"/>
      <c r="T434" s="1643"/>
      <c r="U434" s="1643"/>
      <c r="V434" s="1643"/>
      <c r="W434" s="1643"/>
      <c r="X434" s="1643"/>
      <c r="Y434" s="1643"/>
      <c r="Z434" s="1643"/>
      <c r="AA434" s="1643"/>
      <c r="AB434" s="1643"/>
      <c r="AC434" s="1643"/>
      <c r="AD434" s="1643"/>
      <c r="AE434" s="1643"/>
      <c r="AF434" s="1643"/>
      <c r="AG434" s="1643"/>
      <c r="AH434" s="1643"/>
      <c r="AI434" s="1643"/>
      <c r="AJ434" s="1643"/>
      <c r="AK434" s="1643"/>
      <c r="AL434" s="1643"/>
      <c r="AM434" s="1643"/>
    </row>
    <row r="435" spans="1:39" ht="15.75" customHeight="1" x14ac:dyDescent="0.3">
      <c r="A435" s="1643"/>
      <c r="B435" s="1643"/>
      <c r="C435" s="1643"/>
      <c r="D435" s="1643"/>
      <c r="E435" s="1643"/>
      <c r="F435" s="1643"/>
      <c r="G435" s="1643"/>
      <c r="H435" s="1643"/>
      <c r="I435" s="1643"/>
      <c r="J435" s="1643"/>
      <c r="K435" s="1643"/>
      <c r="L435" s="1643"/>
      <c r="M435" s="1643"/>
      <c r="N435" s="1643"/>
      <c r="O435" s="1643"/>
      <c r="P435" s="1643"/>
      <c r="Q435" s="1643"/>
      <c r="R435" s="1643"/>
      <c r="S435" s="1643"/>
      <c r="T435" s="1643"/>
      <c r="U435" s="1643"/>
      <c r="V435" s="1643"/>
      <c r="W435" s="1643"/>
      <c r="X435" s="1643"/>
      <c r="Y435" s="1643"/>
      <c r="Z435" s="1643"/>
      <c r="AA435" s="1643"/>
      <c r="AB435" s="1643"/>
      <c r="AC435" s="1643"/>
      <c r="AD435" s="1643"/>
      <c r="AE435" s="1643"/>
      <c r="AF435" s="1643"/>
      <c r="AG435" s="1643"/>
      <c r="AH435" s="1643"/>
      <c r="AI435" s="1643"/>
      <c r="AJ435" s="1643"/>
      <c r="AK435" s="1643"/>
      <c r="AL435" s="1643"/>
      <c r="AM435" s="1643"/>
    </row>
    <row r="436" spans="1:39" ht="15.75" customHeight="1" x14ac:dyDescent="0.3">
      <c r="A436" s="1643"/>
      <c r="B436" s="1643"/>
      <c r="C436" s="1643"/>
      <c r="D436" s="1643"/>
      <c r="E436" s="1643"/>
      <c r="F436" s="1643"/>
      <c r="G436" s="1643"/>
      <c r="H436" s="1643"/>
      <c r="I436" s="1643"/>
      <c r="J436" s="1643"/>
      <c r="K436" s="1643"/>
      <c r="L436" s="1643"/>
      <c r="M436" s="1643"/>
      <c r="N436" s="1643"/>
      <c r="O436" s="1643"/>
      <c r="P436" s="1643"/>
      <c r="Q436" s="1643"/>
      <c r="R436" s="1643"/>
      <c r="S436" s="1643"/>
      <c r="T436" s="1643"/>
      <c r="U436" s="1643"/>
      <c r="V436" s="1643"/>
      <c r="W436" s="1643"/>
      <c r="X436" s="1643"/>
      <c r="Y436" s="1643"/>
      <c r="Z436" s="1643"/>
      <c r="AA436" s="1643"/>
      <c r="AB436" s="1643"/>
      <c r="AC436" s="1643"/>
      <c r="AD436" s="1643"/>
      <c r="AE436" s="1643"/>
      <c r="AF436" s="1643"/>
      <c r="AG436" s="1643"/>
      <c r="AH436" s="1643"/>
      <c r="AI436" s="1643"/>
      <c r="AJ436" s="1643"/>
      <c r="AK436" s="1643"/>
      <c r="AL436" s="1643"/>
      <c r="AM436" s="1643"/>
    </row>
    <row r="437" spans="1:39" ht="15.75" customHeight="1" x14ac:dyDescent="0.3">
      <c r="A437" s="1643"/>
      <c r="B437" s="1643"/>
      <c r="C437" s="1643"/>
      <c r="D437" s="1643"/>
      <c r="E437" s="1643"/>
      <c r="F437" s="1643"/>
      <c r="G437" s="1643"/>
      <c r="H437" s="1643"/>
      <c r="I437" s="1643"/>
      <c r="J437" s="1643"/>
      <c r="K437" s="1643"/>
      <c r="L437" s="1643"/>
      <c r="M437" s="1643"/>
      <c r="N437" s="1643"/>
      <c r="O437" s="1643"/>
      <c r="P437" s="1643"/>
      <c r="Q437" s="1643"/>
      <c r="R437" s="1643"/>
      <c r="S437" s="1643"/>
      <c r="T437" s="1643"/>
      <c r="U437" s="1643"/>
      <c r="V437" s="1643"/>
      <c r="W437" s="1643"/>
      <c r="X437" s="1643"/>
      <c r="Y437" s="1643"/>
      <c r="Z437" s="1643"/>
      <c r="AA437" s="1643"/>
      <c r="AB437" s="1643"/>
      <c r="AC437" s="1643"/>
      <c r="AD437" s="1643"/>
      <c r="AE437" s="1643"/>
      <c r="AF437" s="1643"/>
      <c r="AG437" s="1643"/>
      <c r="AH437" s="1643"/>
      <c r="AI437" s="1643"/>
      <c r="AJ437" s="1643"/>
      <c r="AK437" s="1643"/>
      <c r="AL437" s="1643"/>
      <c r="AM437" s="1643"/>
    </row>
    <row r="438" spans="1:39" ht="15.75" customHeight="1" x14ac:dyDescent="0.3">
      <c r="A438" s="1643"/>
      <c r="B438" s="1643"/>
      <c r="C438" s="1643"/>
      <c r="D438" s="1643"/>
      <c r="E438" s="1643"/>
      <c r="F438" s="1643"/>
      <c r="G438" s="1643"/>
      <c r="H438" s="1643"/>
      <c r="I438" s="1643"/>
      <c r="J438" s="1643"/>
      <c r="K438" s="1643"/>
      <c r="L438" s="1643"/>
      <c r="M438" s="1643"/>
      <c r="N438" s="1643"/>
      <c r="O438" s="1643"/>
      <c r="P438" s="1643"/>
      <c r="Q438" s="1643"/>
      <c r="R438" s="1643"/>
      <c r="S438" s="1643"/>
      <c r="T438" s="1643"/>
      <c r="U438" s="1643"/>
      <c r="V438" s="1643"/>
      <c r="W438" s="1643"/>
      <c r="X438" s="1643"/>
      <c r="Y438" s="1643"/>
      <c r="Z438" s="1643"/>
      <c r="AA438" s="1643"/>
      <c r="AB438" s="1643"/>
      <c r="AC438" s="1643"/>
      <c r="AD438" s="1643"/>
      <c r="AE438" s="1643"/>
      <c r="AF438" s="1643"/>
      <c r="AG438" s="1643"/>
      <c r="AH438" s="1643"/>
      <c r="AI438" s="1643"/>
      <c r="AJ438" s="1643"/>
      <c r="AK438" s="1643"/>
      <c r="AL438" s="1643"/>
      <c r="AM438" s="1643"/>
    </row>
    <row r="439" spans="1:39" ht="15.75" customHeight="1" x14ac:dyDescent="0.3">
      <c r="A439" s="1643"/>
      <c r="B439" s="1643"/>
      <c r="C439" s="1643"/>
      <c r="D439" s="1643"/>
      <c r="E439" s="1643"/>
      <c r="F439" s="1643"/>
      <c r="G439" s="1643"/>
      <c r="H439" s="1643"/>
      <c r="I439" s="1643"/>
      <c r="J439" s="1643"/>
      <c r="K439" s="1643"/>
      <c r="L439" s="1643"/>
      <c r="M439" s="1643"/>
      <c r="N439" s="1643"/>
      <c r="O439" s="1643"/>
      <c r="P439" s="1643"/>
      <c r="Q439" s="1643"/>
      <c r="R439" s="1643"/>
      <c r="S439" s="1643"/>
      <c r="T439" s="1643"/>
      <c r="U439" s="1643"/>
      <c r="V439" s="1643"/>
      <c r="W439" s="1643"/>
      <c r="X439" s="1643"/>
      <c r="Y439" s="1643"/>
      <c r="Z439" s="1643"/>
      <c r="AA439" s="1643"/>
      <c r="AB439" s="1643"/>
      <c r="AC439" s="1643"/>
      <c r="AD439" s="1643"/>
      <c r="AE439" s="1643"/>
      <c r="AF439" s="1643"/>
      <c r="AG439" s="1643"/>
      <c r="AH439" s="1643"/>
      <c r="AI439" s="1643"/>
      <c r="AJ439" s="1643"/>
      <c r="AK439" s="1643"/>
      <c r="AL439" s="1643"/>
      <c r="AM439" s="1643"/>
    </row>
    <row r="440" spans="1:39" ht="15.75" customHeight="1" x14ac:dyDescent="0.3">
      <c r="A440" s="1643"/>
      <c r="B440" s="1643"/>
      <c r="C440" s="1643"/>
      <c r="D440" s="1643"/>
      <c r="E440" s="1643"/>
      <c r="F440" s="1643"/>
      <c r="G440" s="1643"/>
      <c r="H440" s="1643"/>
      <c r="I440" s="1643"/>
      <c r="J440" s="1643"/>
      <c r="K440" s="1643"/>
      <c r="L440" s="1643"/>
      <c r="M440" s="1643"/>
      <c r="N440" s="1643"/>
      <c r="O440" s="1643"/>
      <c r="P440" s="1643"/>
      <c r="Q440" s="1643"/>
      <c r="R440" s="1643"/>
      <c r="S440" s="1643"/>
      <c r="T440" s="1643"/>
      <c r="U440" s="1643"/>
      <c r="V440" s="1643"/>
      <c r="W440" s="1643"/>
      <c r="X440" s="1643"/>
      <c r="Y440" s="1643"/>
      <c r="Z440" s="1643"/>
      <c r="AA440" s="1643"/>
      <c r="AB440" s="1643"/>
      <c r="AC440" s="1643"/>
      <c r="AD440" s="1643"/>
      <c r="AE440" s="1643"/>
      <c r="AF440" s="1643"/>
      <c r="AG440" s="1643"/>
      <c r="AH440" s="1643"/>
      <c r="AI440" s="1643"/>
      <c r="AJ440" s="1643"/>
      <c r="AK440" s="1643"/>
      <c r="AL440" s="1643"/>
      <c r="AM440" s="1643"/>
    </row>
    <row r="441" spans="1:39" ht="15.75" customHeight="1" x14ac:dyDescent="0.3">
      <c r="A441" s="1643"/>
      <c r="B441" s="1643"/>
      <c r="C441" s="1643"/>
      <c r="D441" s="1643"/>
      <c r="E441" s="1643"/>
      <c r="F441" s="1643"/>
      <c r="G441" s="1643"/>
      <c r="H441" s="1643"/>
      <c r="I441" s="1643"/>
      <c r="J441" s="1643"/>
      <c r="K441" s="1643"/>
      <c r="L441" s="1643"/>
      <c r="M441" s="1643"/>
      <c r="N441" s="1643"/>
      <c r="O441" s="1643"/>
      <c r="P441" s="1643"/>
      <c r="Q441" s="1643"/>
      <c r="R441" s="1643"/>
      <c r="S441" s="1643"/>
      <c r="T441" s="1643"/>
      <c r="U441" s="1643"/>
      <c r="V441" s="1643"/>
      <c r="W441" s="1643"/>
      <c r="X441" s="1643"/>
      <c r="Y441" s="1643"/>
      <c r="Z441" s="1643"/>
      <c r="AA441" s="1643"/>
      <c r="AB441" s="1643"/>
      <c r="AC441" s="1643"/>
      <c r="AD441" s="1643"/>
      <c r="AE441" s="1643"/>
      <c r="AF441" s="1643"/>
      <c r="AG441" s="1643"/>
      <c r="AH441" s="1643"/>
      <c r="AI441" s="1643"/>
      <c r="AJ441" s="1643"/>
      <c r="AK441" s="1643"/>
      <c r="AL441" s="1643"/>
      <c r="AM441" s="1643"/>
    </row>
    <row r="442" spans="1:39" ht="15.75" customHeight="1" x14ac:dyDescent="0.3">
      <c r="A442" s="1643"/>
      <c r="B442" s="1643"/>
      <c r="C442" s="1643"/>
      <c r="D442" s="1643"/>
      <c r="E442" s="1643"/>
      <c r="F442" s="1643"/>
      <c r="G442" s="1643"/>
      <c r="H442" s="1643"/>
      <c r="I442" s="1643"/>
      <c r="J442" s="1643"/>
      <c r="K442" s="1643"/>
      <c r="L442" s="1643"/>
      <c r="M442" s="1643"/>
      <c r="N442" s="1643"/>
      <c r="O442" s="1643"/>
      <c r="P442" s="1643"/>
      <c r="Q442" s="1643"/>
      <c r="R442" s="1643"/>
      <c r="S442" s="1643"/>
      <c r="T442" s="1643"/>
      <c r="U442" s="1643"/>
      <c r="V442" s="1643"/>
      <c r="W442" s="1643"/>
      <c r="X442" s="1643"/>
      <c r="Y442" s="1643"/>
      <c r="Z442" s="1643"/>
      <c r="AA442" s="1643"/>
      <c r="AB442" s="1643"/>
      <c r="AC442" s="1643"/>
      <c r="AD442" s="1643"/>
      <c r="AE442" s="1643"/>
      <c r="AF442" s="1643"/>
      <c r="AG442" s="1643"/>
      <c r="AH442" s="1643"/>
      <c r="AI442" s="1643"/>
      <c r="AJ442" s="1643"/>
      <c r="AK442" s="1643"/>
      <c r="AL442" s="1643"/>
      <c r="AM442" s="1643"/>
    </row>
    <row r="443" spans="1:39" ht="15.75" customHeight="1" x14ac:dyDescent="0.3">
      <c r="A443" s="1643"/>
      <c r="B443" s="1643"/>
      <c r="C443" s="1643"/>
      <c r="D443" s="1643"/>
      <c r="E443" s="1643"/>
      <c r="F443" s="1643"/>
      <c r="G443" s="1643"/>
      <c r="H443" s="1643"/>
      <c r="I443" s="1643"/>
      <c r="J443" s="1643"/>
      <c r="K443" s="1643"/>
      <c r="L443" s="1643"/>
      <c r="M443" s="1643"/>
      <c r="N443" s="1643"/>
      <c r="O443" s="1643"/>
      <c r="P443" s="1643"/>
      <c r="Q443" s="1643"/>
      <c r="R443" s="1643"/>
      <c r="S443" s="1643"/>
      <c r="T443" s="1643"/>
      <c r="U443" s="1643"/>
      <c r="V443" s="1643"/>
      <c r="W443" s="1643"/>
      <c r="X443" s="1643"/>
      <c r="Y443" s="1643"/>
      <c r="Z443" s="1643"/>
      <c r="AA443" s="1643"/>
      <c r="AB443" s="1643"/>
      <c r="AC443" s="1643"/>
      <c r="AD443" s="1643"/>
      <c r="AE443" s="1643"/>
      <c r="AF443" s="1643"/>
      <c r="AG443" s="1643"/>
      <c r="AH443" s="1643"/>
      <c r="AI443" s="1643"/>
      <c r="AJ443" s="1643"/>
      <c r="AK443" s="1643"/>
      <c r="AL443" s="1643"/>
      <c r="AM443" s="1643"/>
    </row>
    <row r="444" spans="1:39" ht="15.75" customHeight="1" x14ac:dyDescent="0.3">
      <c r="A444" s="1643"/>
      <c r="B444" s="1643"/>
      <c r="C444" s="1643"/>
      <c r="D444" s="1643"/>
      <c r="E444" s="1643"/>
      <c r="F444" s="1643"/>
      <c r="G444" s="1643"/>
      <c r="H444" s="1643"/>
      <c r="I444" s="1643"/>
      <c r="J444" s="1643"/>
      <c r="K444" s="1643"/>
      <c r="L444" s="1643"/>
      <c r="M444" s="1643"/>
      <c r="N444" s="1643"/>
      <c r="O444" s="1643"/>
      <c r="P444" s="1643"/>
      <c r="Q444" s="1643"/>
      <c r="R444" s="1643"/>
      <c r="S444" s="1643"/>
      <c r="T444" s="1643"/>
      <c r="U444" s="1643"/>
      <c r="V444" s="1643"/>
      <c r="W444" s="1643"/>
      <c r="X444" s="1643"/>
      <c r="Y444" s="1643"/>
      <c r="Z444" s="1643"/>
      <c r="AA444" s="1643"/>
      <c r="AB444" s="1643"/>
      <c r="AC444" s="1643"/>
      <c r="AD444" s="1643"/>
      <c r="AE444" s="1643"/>
      <c r="AF444" s="1643"/>
      <c r="AG444" s="1643"/>
      <c r="AH444" s="1643"/>
      <c r="AI444" s="1643"/>
      <c r="AJ444" s="1643"/>
      <c r="AK444" s="1643"/>
      <c r="AL444" s="1643"/>
      <c r="AM444" s="1643"/>
    </row>
    <row r="445" spans="1:39" ht="15.75" customHeight="1" x14ac:dyDescent="0.3">
      <c r="A445" s="1643"/>
      <c r="B445" s="1643"/>
      <c r="C445" s="1643"/>
      <c r="D445" s="1643"/>
      <c r="E445" s="1643"/>
      <c r="F445" s="1643"/>
      <c r="G445" s="1643"/>
      <c r="H445" s="1643"/>
      <c r="I445" s="1643"/>
      <c r="J445" s="1643"/>
      <c r="K445" s="1643"/>
      <c r="L445" s="1643"/>
      <c r="M445" s="1643"/>
      <c r="N445" s="1643"/>
      <c r="O445" s="1643"/>
      <c r="P445" s="1643"/>
      <c r="Q445" s="1643"/>
      <c r="R445" s="1643"/>
      <c r="S445" s="1643"/>
      <c r="T445" s="1643"/>
      <c r="U445" s="1643"/>
      <c r="V445" s="1643"/>
      <c r="W445" s="1643"/>
      <c r="X445" s="1643"/>
      <c r="Y445" s="1643"/>
      <c r="Z445" s="1643"/>
      <c r="AA445" s="1643"/>
      <c r="AB445" s="1643"/>
      <c r="AC445" s="1643"/>
      <c r="AD445" s="1643"/>
      <c r="AE445" s="1643"/>
      <c r="AF445" s="1643"/>
      <c r="AG445" s="1643"/>
      <c r="AH445" s="1643"/>
      <c r="AI445" s="1643"/>
      <c r="AJ445" s="1643"/>
      <c r="AK445" s="1643"/>
      <c r="AL445" s="1643"/>
      <c r="AM445" s="1643"/>
    </row>
    <row r="446" spans="1:39" ht="15.75" customHeight="1" x14ac:dyDescent="0.3">
      <c r="A446" s="1643"/>
      <c r="B446" s="1643"/>
      <c r="C446" s="1643"/>
      <c r="D446" s="1643"/>
      <c r="E446" s="1643"/>
      <c r="F446" s="1643"/>
      <c r="G446" s="1643"/>
      <c r="H446" s="1643"/>
      <c r="I446" s="1643"/>
      <c r="J446" s="1643"/>
      <c r="K446" s="1643"/>
      <c r="L446" s="1643"/>
      <c r="M446" s="1643"/>
      <c r="N446" s="1643"/>
      <c r="O446" s="1643"/>
      <c r="P446" s="1643"/>
      <c r="Q446" s="1643"/>
      <c r="R446" s="1643"/>
      <c r="S446" s="1643"/>
      <c r="T446" s="1643"/>
      <c r="U446" s="1643"/>
      <c r="V446" s="1643"/>
      <c r="W446" s="1643"/>
      <c r="X446" s="1643"/>
      <c r="Y446" s="1643"/>
      <c r="Z446" s="1643"/>
      <c r="AA446" s="1643"/>
      <c r="AB446" s="1643"/>
      <c r="AC446" s="1643"/>
      <c r="AD446" s="1643"/>
      <c r="AE446" s="1643"/>
      <c r="AF446" s="1643"/>
      <c r="AG446" s="1643"/>
      <c r="AH446" s="1643"/>
      <c r="AI446" s="1643"/>
      <c r="AJ446" s="1643"/>
      <c r="AK446" s="1643"/>
      <c r="AL446" s="1643"/>
      <c r="AM446" s="1643"/>
    </row>
    <row r="447" spans="1:39" ht="15.75" customHeight="1" x14ac:dyDescent="0.3">
      <c r="A447" s="1643"/>
      <c r="B447" s="1643"/>
      <c r="C447" s="1643"/>
      <c r="D447" s="1643"/>
      <c r="E447" s="1643"/>
      <c r="F447" s="1643"/>
      <c r="G447" s="1643"/>
      <c r="H447" s="1643"/>
      <c r="I447" s="1643"/>
      <c r="J447" s="1643"/>
      <c r="K447" s="1643"/>
      <c r="L447" s="1643"/>
      <c r="M447" s="1643"/>
      <c r="N447" s="1643"/>
      <c r="O447" s="1643"/>
      <c r="P447" s="1643"/>
      <c r="Q447" s="1643"/>
      <c r="R447" s="1643"/>
      <c r="S447" s="1643"/>
      <c r="T447" s="1643"/>
      <c r="U447" s="1643"/>
      <c r="V447" s="1643"/>
      <c r="W447" s="1643"/>
      <c r="X447" s="1643"/>
      <c r="Y447" s="1643"/>
      <c r="Z447" s="1643"/>
      <c r="AA447" s="1643"/>
      <c r="AB447" s="1643"/>
      <c r="AC447" s="1643"/>
      <c r="AD447" s="1643"/>
      <c r="AE447" s="1643"/>
      <c r="AF447" s="1643"/>
      <c r="AG447" s="1643"/>
      <c r="AH447" s="1643"/>
      <c r="AI447" s="1643"/>
      <c r="AJ447" s="1643"/>
      <c r="AK447" s="1643"/>
      <c r="AL447" s="1643"/>
      <c r="AM447" s="1643"/>
    </row>
    <row r="448" spans="1:39" ht="15.75" customHeight="1" x14ac:dyDescent="0.3">
      <c r="A448" s="1643"/>
      <c r="B448" s="1643"/>
      <c r="C448" s="1643"/>
      <c r="D448" s="1643"/>
      <c r="E448" s="1643"/>
      <c r="F448" s="1643"/>
      <c r="G448" s="1643"/>
      <c r="H448" s="1643"/>
      <c r="I448" s="1643"/>
      <c r="J448" s="1643"/>
      <c r="K448" s="1643"/>
      <c r="L448" s="1643"/>
      <c r="M448" s="1643"/>
      <c r="N448" s="1643"/>
      <c r="O448" s="1643"/>
      <c r="P448" s="1643"/>
      <c r="Q448" s="1643"/>
      <c r="R448" s="1643"/>
      <c r="S448" s="1643"/>
      <c r="T448" s="1643"/>
      <c r="U448" s="1643"/>
      <c r="V448" s="1643"/>
      <c r="W448" s="1643"/>
      <c r="X448" s="1643"/>
      <c r="Y448" s="1643"/>
      <c r="Z448" s="1643"/>
      <c r="AA448" s="1643"/>
      <c r="AB448" s="1643"/>
      <c r="AC448" s="1643"/>
      <c r="AD448" s="1643"/>
      <c r="AE448" s="1643"/>
      <c r="AF448" s="1643"/>
      <c r="AG448" s="1643"/>
      <c r="AH448" s="1643"/>
      <c r="AI448" s="1643"/>
      <c r="AJ448" s="1643"/>
      <c r="AK448" s="1643"/>
      <c r="AL448" s="1643"/>
      <c r="AM448" s="1643"/>
    </row>
    <row r="449" spans="1:39" ht="15.75" customHeight="1" x14ac:dyDescent="0.3">
      <c r="A449" s="1643"/>
      <c r="B449" s="1643"/>
      <c r="C449" s="1643"/>
      <c r="D449" s="1643"/>
      <c r="E449" s="1643"/>
      <c r="F449" s="1643"/>
      <c r="G449" s="1643"/>
      <c r="H449" s="1643"/>
      <c r="I449" s="1643"/>
      <c r="J449" s="1643"/>
      <c r="K449" s="1643"/>
      <c r="L449" s="1643"/>
      <c r="M449" s="1643"/>
      <c r="N449" s="1643"/>
      <c r="O449" s="1643"/>
      <c r="P449" s="1643"/>
      <c r="Q449" s="1643"/>
      <c r="R449" s="1643"/>
      <c r="S449" s="1643"/>
      <c r="T449" s="1643"/>
      <c r="U449" s="1643"/>
      <c r="V449" s="1643"/>
      <c r="W449" s="1643"/>
      <c r="X449" s="1643"/>
      <c r="Y449" s="1643"/>
      <c r="Z449" s="1643"/>
      <c r="AA449" s="1643"/>
      <c r="AB449" s="1643"/>
      <c r="AC449" s="1643"/>
      <c r="AD449" s="1643"/>
      <c r="AE449" s="1643"/>
      <c r="AF449" s="1643"/>
      <c r="AG449" s="1643"/>
      <c r="AH449" s="1643"/>
      <c r="AI449" s="1643"/>
      <c r="AJ449" s="1643"/>
      <c r="AK449" s="1643"/>
      <c r="AL449" s="1643"/>
      <c r="AM449" s="1643"/>
    </row>
    <row r="450" spans="1:39" ht="15.75" customHeight="1" x14ac:dyDescent="0.3">
      <c r="A450" s="1643"/>
      <c r="B450" s="1643"/>
      <c r="C450" s="1643"/>
      <c r="D450" s="1643"/>
      <c r="E450" s="1643"/>
      <c r="F450" s="1643"/>
      <c r="G450" s="1643"/>
      <c r="H450" s="1643"/>
      <c r="I450" s="1643"/>
      <c r="J450" s="1643"/>
      <c r="K450" s="1643"/>
      <c r="L450" s="1643"/>
      <c r="M450" s="1643"/>
      <c r="N450" s="1643"/>
      <c r="O450" s="1643"/>
      <c r="P450" s="1643"/>
      <c r="Q450" s="1643"/>
      <c r="R450" s="1643"/>
      <c r="S450" s="1643"/>
      <c r="T450" s="1643"/>
      <c r="U450" s="1643"/>
      <c r="V450" s="1643"/>
      <c r="W450" s="1643"/>
      <c r="X450" s="1643"/>
      <c r="Y450" s="1643"/>
      <c r="Z450" s="1643"/>
      <c r="AA450" s="1643"/>
      <c r="AB450" s="1643"/>
      <c r="AC450" s="1643"/>
      <c r="AD450" s="1643"/>
      <c r="AE450" s="1643"/>
      <c r="AF450" s="1643"/>
      <c r="AG450" s="1643"/>
      <c r="AH450" s="1643"/>
      <c r="AI450" s="1643"/>
      <c r="AJ450" s="1643"/>
      <c r="AK450" s="1643"/>
      <c r="AL450" s="1643"/>
      <c r="AM450" s="1643"/>
    </row>
    <row r="451" spans="1:39" ht="15.75" customHeight="1" x14ac:dyDescent="0.3">
      <c r="A451" s="1643"/>
      <c r="B451" s="1643"/>
      <c r="C451" s="1643"/>
      <c r="D451" s="1643"/>
      <c r="E451" s="1643"/>
      <c r="F451" s="1643"/>
      <c r="G451" s="1643"/>
      <c r="H451" s="1643"/>
      <c r="I451" s="1643"/>
      <c r="J451" s="1643"/>
      <c r="K451" s="1643"/>
      <c r="L451" s="1643"/>
      <c r="M451" s="1643"/>
      <c r="N451" s="1643"/>
      <c r="O451" s="1643"/>
      <c r="P451" s="1643"/>
      <c r="Q451" s="1643"/>
      <c r="R451" s="1643"/>
      <c r="S451" s="1643"/>
      <c r="T451" s="1643"/>
      <c r="U451" s="1643"/>
      <c r="V451" s="1643"/>
      <c r="W451" s="1643"/>
      <c r="X451" s="1643"/>
      <c r="Y451" s="1643"/>
      <c r="Z451" s="1643"/>
      <c r="AA451" s="1643"/>
      <c r="AB451" s="1643"/>
      <c r="AC451" s="1643"/>
      <c r="AD451" s="1643"/>
      <c r="AE451" s="1643"/>
      <c r="AF451" s="1643"/>
      <c r="AG451" s="1643"/>
      <c r="AH451" s="1643"/>
      <c r="AI451" s="1643"/>
      <c r="AJ451" s="1643"/>
      <c r="AK451" s="1643"/>
      <c r="AL451" s="1643"/>
      <c r="AM451" s="1643"/>
    </row>
    <row r="452" spans="1:39" ht="15.75" customHeight="1" x14ac:dyDescent="0.3">
      <c r="A452" s="1643"/>
      <c r="B452" s="1643"/>
      <c r="C452" s="1643"/>
      <c r="D452" s="1643"/>
      <c r="E452" s="1643"/>
      <c r="F452" s="1643"/>
      <c r="G452" s="1643"/>
      <c r="H452" s="1643"/>
      <c r="I452" s="1643"/>
      <c r="J452" s="1643"/>
      <c r="K452" s="1643"/>
      <c r="L452" s="1643"/>
      <c r="M452" s="1643"/>
      <c r="N452" s="1643"/>
      <c r="O452" s="1643"/>
      <c r="P452" s="1643"/>
      <c r="Q452" s="1643"/>
      <c r="R452" s="1643"/>
      <c r="S452" s="1643"/>
      <c r="T452" s="1643"/>
      <c r="U452" s="1643"/>
      <c r="V452" s="1643"/>
      <c r="W452" s="1643"/>
      <c r="X452" s="1643"/>
      <c r="Y452" s="1643"/>
      <c r="Z452" s="1643"/>
      <c r="AA452" s="1643"/>
      <c r="AB452" s="1643"/>
      <c r="AC452" s="1643"/>
      <c r="AD452" s="1643"/>
      <c r="AE452" s="1643"/>
      <c r="AF452" s="1643"/>
      <c r="AG452" s="1643"/>
      <c r="AH452" s="1643"/>
      <c r="AI452" s="1643"/>
      <c r="AJ452" s="1643"/>
      <c r="AK452" s="1643"/>
      <c r="AL452" s="1643"/>
      <c r="AM452" s="1643"/>
    </row>
    <row r="453" spans="1:39" ht="15.75" customHeight="1" x14ac:dyDescent="0.3">
      <c r="A453" s="1643"/>
      <c r="B453" s="1643"/>
      <c r="C453" s="1643"/>
      <c r="D453" s="1643"/>
      <c r="E453" s="1643"/>
      <c r="F453" s="1643"/>
      <c r="G453" s="1643"/>
      <c r="H453" s="1643"/>
      <c r="I453" s="1643"/>
      <c r="J453" s="1643"/>
      <c r="K453" s="1643"/>
      <c r="L453" s="1643"/>
      <c r="M453" s="1643"/>
      <c r="N453" s="1643"/>
      <c r="O453" s="1643"/>
      <c r="P453" s="1643"/>
      <c r="Q453" s="1643"/>
      <c r="R453" s="1643"/>
      <c r="S453" s="1643"/>
      <c r="T453" s="1643"/>
      <c r="U453" s="1643"/>
      <c r="V453" s="1643"/>
      <c r="W453" s="1643"/>
      <c r="X453" s="1643"/>
      <c r="Y453" s="1643"/>
      <c r="Z453" s="1643"/>
      <c r="AA453" s="1643"/>
      <c r="AB453" s="1643"/>
      <c r="AC453" s="1643"/>
      <c r="AD453" s="1643"/>
      <c r="AE453" s="1643"/>
      <c r="AF453" s="1643"/>
      <c r="AG453" s="1643"/>
      <c r="AH453" s="1643"/>
      <c r="AI453" s="1643"/>
      <c r="AJ453" s="1643"/>
      <c r="AK453" s="1643"/>
      <c r="AL453" s="1643"/>
      <c r="AM453" s="1643"/>
    </row>
    <row r="454" spans="1:39" ht="15.75" customHeight="1" x14ac:dyDescent="0.3">
      <c r="A454" s="1643"/>
      <c r="B454" s="1643"/>
      <c r="C454" s="1643"/>
      <c r="D454" s="1643"/>
      <c r="E454" s="1643"/>
      <c r="F454" s="1643"/>
      <c r="G454" s="1643"/>
      <c r="H454" s="1643"/>
      <c r="I454" s="1643"/>
      <c r="J454" s="1643"/>
      <c r="K454" s="1643"/>
      <c r="L454" s="1643"/>
      <c r="M454" s="1643"/>
      <c r="N454" s="1643"/>
      <c r="O454" s="1643"/>
      <c r="P454" s="1643"/>
      <c r="Q454" s="1643"/>
      <c r="R454" s="1643"/>
      <c r="S454" s="1643"/>
      <c r="T454" s="1643"/>
      <c r="U454" s="1643"/>
      <c r="V454" s="1643"/>
      <c r="W454" s="1643"/>
      <c r="X454" s="1643"/>
      <c r="Y454" s="1643"/>
      <c r="Z454" s="1643"/>
      <c r="AA454" s="1643"/>
      <c r="AB454" s="1643"/>
      <c r="AC454" s="1643"/>
      <c r="AD454" s="1643"/>
      <c r="AE454" s="1643"/>
      <c r="AF454" s="1643"/>
      <c r="AG454" s="1643"/>
      <c r="AH454" s="1643"/>
      <c r="AI454" s="1643"/>
      <c r="AJ454" s="1643"/>
      <c r="AK454" s="1643"/>
      <c r="AL454" s="1643"/>
      <c r="AM454" s="1643"/>
    </row>
    <row r="455" spans="1:39" ht="15.75" customHeight="1" x14ac:dyDescent="0.3">
      <c r="A455" s="1643"/>
      <c r="B455" s="1643"/>
      <c r="C455" s="1643"/>
      <c r="D455" s="1643"/>
      <c r="E455" s="1643"/>
      <c r="F455" s="1643"/>
      <c r="G455" s="1643"/>
      <c r="H455" s="1643"/>
      <c r="I455" s="1643"/>
      <c r="J455" s="1643"/>
      <c r="K455" s="1643"/>
      <c r="L455" s="1643"/>
      <c r="M455" s="1643"/>
      <c r="N455" s="1643"/>
      <c r="O455" s="1643"/>
      <c r="P455" s="1643"/>
      <c r="Q455" s="1643"/>
      <c r="R455" s="1643"/>
      <c r="S455" s="1643"/>
      <c r="T455" s="1643"/>
      <c r="U455" s="1643"/>
      <c r="V455" s="1643"/>
      <c r="W455" s="1643"/>
      <c r="X455" s="1643"/>
      <c r="Y455" s="1643"/>
      <c r="Z455" s="1643"/>
      <c r="AA455" s="1643"/>
      <c r="AB455" s="1643"/>
      <c r="AC455" s="1643"/>
      <c r="AD455" s="1643"/>
      <c r="AE455" s="1643"/>
      <c r="AF455" s="1643"/>
      <c r="AG455" s="1643"/>
      <c r="AH455" s="1643"/>
      <c r="AI455" s="1643"/>
      <c r="AJ455" s="1643"/>
      <c r="AK455" s="1643"/>
      <c r="AL455" s="1643"/>
      <c r="AM455" s="1643"/>
    </row>
    <row r="456" spans="1:39" ht="15.75" customHeight="1" x14ac:dyDescent="0.3">
      <c r="A456" s="1643"/>
      <c r="B456" s="1643"/>
      <c r="C456" s="1643"/>
      <c r="D456" s="1643"/>
      <c r="E456" s="1643"/>
      <c r="F456" s="1643"/>
      <c r="G456" s="1643"/>
      <c r="H456" s="1643"/>
      <c r="I456" s="1643"/>
      <c r="J456" s="1643"/>
      <c r="K456" s="1643"/>
      <c r="L456" s="1643"/>
      <c r="M456" s="1643"/>
      <c r="N456" s="1643"/>
      <c r="O456" s="1643"/>
      <c r="P456" s="1643"/>
      <c r="Q456" s="1643"/>
      <c r="R456" s="1643"/>
      <c r="S456" s="1643"/>
      <c r="T456" s="1643"/>
      <c r="U456" s="1643"/>
      <c r="V456" s="1643"/>
      <c r="W456" s="1643"/>
      <c r="X456" s="1643"/>
      <c r="Y456" s="1643"/>
      <c r="Z456" s="1643"/>
      <c r="AA456" s="1643"/>
      <c r="AB456" s="1643"/>
      <c r="AC456" s="1643"/>
      <c r="AD456" s="1643"/>
      <c r="AE456" s="1643"/>
      <c r="AF456" s="1643"/>
      <c r="AG456" s="1643"/>
      <c r="AH456" s="1643"/>
      <c r="AI456" s="1643"/>
      <c r="AJ456" s="1643"/>
      <c r="AK456" s="1643"/>
      <c r="AL456" s="1643"/>
      <c r="AM456" s="1643"/>
    </row>
    <row r="457" spans="1:39" ht="15.75" customHeight="1" x14ac:dyDescent="0.3">
      <c r="A457" s="1643"/>
      <c r="B457" s="1643"/>
      <c r="C457" s="1643"/>
      <c r="D457" s="1643"/>
      <c r="E457" s="1643"/>
      <c r="F457" s="1643"/>
      <c r="G457" s="1643"/>
      <c r="H457" s="1643"/>
      <c r="I457" s="1643"/>
      <c r="J457" s="1643"/>
      <c r="K457" s="1643"/>
      <c r="L457" s="1643"/>
      <c r="M457" s="1643"/>
      <c r="N457" s="1643"/>
      <c r="O457" s="1643"/>
      <c r="P457" s="1643"/>
      <c r="Q457" s="1643"/>
      <c r="R457" s="1643"/>
      <c r="S457" s="1643"/>
      <c r="T457" s="1643"/>
      <c r="U457" s="1643"/>
      <c r="V457" s="1643"/>
      <c r="W457" s="1643"/>
      <c r="X457" s="1643"/>
      <c r="Y457" s="1643"/>
      <c r="Z457" s="1643"/>
      <c r="AA457" s="1643"/>
      <c r="AB457" s="1643"/>
      <c r="AC457" s="1643"/>
      <c r="AD457" s="1643"/>
      <c r="AE457" s="1643"/>
      <c r="AF457" s="1643"/>
      <c r="AG457" s="1643"/>
      <c r="AH457" s="1643"/>
      <c r="AI457" s="1643"/>
      <c r="AJ457" s="1643"/>
      <c r="AK457" s="1643"/>
      <c r="AL457" s="1643"/>
      <c r="AM457" s="1643"/>
    </row>
    <row r="458" spans="1:39" ht="15.75" customHeight="1" x14ac:dyDescent="0.3">
      <c r="A458" s="1643"/>
      <c r="B458" s="1643"/>
      <c r="C458" s="1643"/>
      <c r="D458" s="1643"/>
      <c r="E458" s="1643"/>
      <c r="F458" s="1643"/>
      <c r="G458" s="1643"/>
      <c r="H458" s="1643"/>
      <c r="I458" s="1643"/>
      <c r="J458" s="1643"/>
      <c r="K458" s="1643"/>
      <c r="L458" s="1643"/>
      <c r="M458" s="1643"/>
      <c r="N458" s="1643"/>
      <c r="O458" s="1643"/>
      <c r="P458" s="1643"/>
      <c r="Q458" s="1643"/>
      <c r="R458" s="1643"/>
      <c r="S458" s="1643"/>
      <c r="T458" s="1643"/>
      <c r="U458" s="1643"/>
      <c r="V458" s="1643"/>
      <c r="W458" s="1643"/>
      <c r="X458" s="1643"/>
      <c r="Y458" s="1643"/>
      <c r="Z458" s="1643"/>
      <c r="AA458" s="1643"/>
      <c r="AB458" s="1643"/>
      <c r="AC458" s="1643"/>
      <c r="AD458" s="1643"/>
      <c r="AE458" s="1643"/>
      <c r="AF458" s="1643"/>
      <c r="AG458" s="1643"/>
      <c r="AH458" s="1643"/>
      <c r="AI458" s="1643"/>
      <c r="AJ458" s="1643"/>
      <c r="AK458" s="1643"/>
      <c r="AL458" s="1643"/>
      <c r="AM458" s="1643"/>
    </row>
    <row r="459" spans="1:39" ht="15.75" customHeight="1" x14ac:dyDescent="0.3">
      <c r="A459" s="1643"/>
      <c r="B459" s="1643"/>
      <c r="C459" s="1643"/>
      <c r="D459" s="1643"/>
      <c r="E459" s="1643"/>
      <c r="F459" s="1643"/>
      <c r="G459" s="1643"/>
      <c r="H459" s="1643"/>
      <c r="I459" s="1643"/>
      <c r="J459" s="1643"/>
      <c r="K459" s="1643"/>
      <c r="L459" s="1643"/>
      <c r="M459" s="1643"/>
      <c r="N459" s="1643"/>
      <c r="O459" s="1643"/>
      <c r="P459" s="1643"/>
      <c r="Q459" s="1643"/>
      <c r="R459" s="1643"/>
      <c r="S459" s="1643"/>
      <c r="T459" s="1643"/>
      <c r="U459" s="1643"/>
      <c r="V459" s="1643"/>
      <c r="W459" s="1643"/>
      <c r="X459" s="1643"/>
      <c r="Y459" s="1643"/>
      <c r="Z459" s="1643"/>
      <c r="AA459" s="1643"/>
      <c r="AB459" s="1643"/>
      <c r="AC459" s="1643"/>
      <c r="AD459" s="1643"/>
      <c r="AE459" s="1643"/>
      <c r="AF459" s="1643"/>
      <c r="AG459" s="1643"/>
      <c r="AH459" s="1643"/>
      <c r="AI459" s="1643"/>
      <c r="AJ459" s="1643"/>
      <c r="AK459" s="1643"/>
      <c r="AL459" s="1643"/>
      <c r="AM459" s="1643"/>
    </row>
    <row r="460" spans="1:39" ht="15.75" customHeight="1" x14ac:dyDescent="0.3">
      <c r="A460" s="1643"/>
      <c r="B460" s="1643"/>
      <c r="C460" s="1643"/>
      <c r="D460" s="1643"/>
      <c r="E460" s="1643"/>
      <c r="F460" s="1643"/>
      <c r="G460" s="1643"/>
      <c r="H460" s="1643"/>
      <c r="I460" s="1643"/>
      <c r="J460" s="1643"/>
      <c r="K460" s="1643"/>
      <c r="L460" s="1643"/>
      <c r="M460" s="1643"/>
      <c r="N460" s="1643"/>
      <c r="O460" s="1643"/>
      <c r="P460" s="1643"/>
      <c r="Q460" s="1643"/>
      <c r="R460" s="1643"/>
      <c r="S460" s="1643"/>
      <c r="T460" s="1643"/>
      <c r="U460" s="1643"/>
      <c r="V460" s="1643"/>
      <c r="W460" s="1643"/>
      <c r="X460" s="1643"/>
      <c r="Y460" s="1643"/>
      <c r="Z460" s="1643"/>
      <c r="AA460" s="1643"/>
      <c r="AB460" s="1643"/>
      <c r="AC460" s="1643"/>
      <c r="AD460" s="1643"/>
      <c r="AE460" s="1643"/>
      <c r="AF460" s="1643"/>
      <c r="AG460" s="1643"/>
      <c r="AH460" s="1643"/>
      <c r="AI460" s="1643"/>
      <c r="AJ460" s="1643"/>
      <c r="AK460" s="1643"/>
      <c r="AL460" s="1643"/>
      <c r="AM460" s="1643"/>
    </row>
    <row r="461" spans="1:39" ht="15.75" customHeight="1" x14ac:dyDescent="0.3">
      <c r="A461" s="1643"/>
      <c r="B461" s="1643"/>
      <c r="C461" s="1643"/>
      <c r="D461" s="1643"/>
      <c r="E461" s="1643"/>
      <c r="F461" s="1643"/>
      <c r="G461" s="1643"/>
      <c r="H461" s="1643"/>
      <c r="I461" s="1643"/>
      <c r="J461" s="1643"/>
      <c r="K461" s="1643"/>
      <c r="L461" s="1643"/>
      <c r="M461" s="1643"/>
      <c r="N461" s="1643"/>
      <c r="O461" s="1643"/>
      <c r="P461" s="1643"/>
      <c r="Q461" s="1643"/>
      <c r="R461" s="1643"/>
      <c r="S461" s="1643"/>
      <c r="T461" s="1643"/>
      <c r="U461" s="1643"/>
      <c r="V461" s="1643"/>
      <c r="W461" s="1643"/>
      <c r="X461" s="1643"/>
      <c r="Y461" s="1643"/>
      <c r="Z461" s="1643"/>
      <c r="AA461" s="1643"/>
      <c r="AB461" s="1643"/>
      <c r="AC461" s="1643"/>
      <c r="AD461" s="1643"/>
      <c r="AE461" s="1643"/>
      <c r="AF461" s="1643"/>
      <c r="AG461" s="1643"/>
      <c r="AH461" s="1643"/>
      <c r="AI461" s="1643"/>
      <c r="AJ461" s="1643"/>
      <c r="AK461" s="1643"/>
      <c r="AL461" s="1643"/>
      <c r="AM461" s="1643"/>
    </row>
    <row r="462" spans="1:39" ht="15.75" customHeight="1" x14ac:dyDescent="0.3">
      <c r="A462" s="1643"/>
      <c r="B462" s="1643"/>
      <c r="C462" s="1643"/>
      <c r="D462" s="1643"/>
      <c r="E462" s="1643"/>
      <c r="F462" s="1643"/>
      <c r="G462" s="1643"/>
      <c r="H462" s="1643"/>
      <c r="I462" s="1643"/>
      <c r="J462" s="1643"/>
      <c r="K462" s="1643"/>
      <c r="L462" s="1643"/>
      <c r="M462" s="1643"/>
      <c r="N462" s="1643"/>
      <c r="O462" s="1643"/>
      <c r="P462" s="1643"/>
      <c r="Q462" s="1643"/>
      <c r="R462" s="1643"/>
      <c r="S462" s="1643"/>
      <c r="T462" s="1643"/>
      <c r="U462" s="1643"/>
      <c r="V462" s="1643"/>
      <c r="W462" s="1643"/>
      <c r="X462" s="1643"/>
      <c r="Y462" s="1643"/>
      <c r="Z462" s="1643"/>
      <c r="AA462" s="1643"/>
      <c r="AB462" s="1643"/>
      <c r="AC462" s="1643"/>
      <c r="AD462" s="1643"/>
      <c r="AE462" s="1643"/>
      <c r="AF462" s="1643"/>
      <c r="AG462" s="1643"/>
      <c r="AH462" s="1643"/>
      <c r="AI462" s="1643"/>
      <c r="AJ462" s="1643"/>
      <c r="AK462" s="1643"/>
      <c r="AL462" s="1643"/>
      <c r="AM462" s="1643"/>
    </row>
    <row r="463" spans="1:39" ht="15.75" customHeight="1" x14ac:dyDescent="0.3">
      <c r="A463" s="1643"/>
      <c r="B463" s="1643"/>
      <c r="C463" s="1643"/>
      <c r="D463" s="1643"/>
      <c r="E463" s="1643"/>
      <c r="F463" s="1643"/>
      <c r="G463" s="1643"/>
      <c r="H463" s="1643"/>
      <c r="I463" s="1643"/>
      <c r="J463" s="1643"/>
      <c r="K463" s="1643"/>
      <c r="L463" s="1643"/>
      <c r="M463" s="1643"/>
      <c r="N463" s="1643"/>
      <c r="O463" s="1643"/>
      <c r="P463" s="1643"/>
      <c r="Q463" s="1643"/>
      <c r="R463" s="1643"/>
      <c r="S463" s="1643"/>
      <c r="T463" s="1643"/>
      <c r="U463" s="1643"/>
      <c r="V463" s="1643"/>
      <c r="W463" s="1643"/>
      <c r="X463" s="1643"/>
      <c r="Y463" s="1643"/>
      <c r="Z463" s="1643"/>
      <c r="AA463" s="1643"/>
      <c r="AB463" s="1643"/>
      <c r="AC463" s="1643"/>
      <c r="AD463" s="1643"/>
      <c r="AE463" s="1643"/>
      <c r="AF463" s="1643"/>
      <c r="AG463" s="1643"/>
      <c r="AH463" s="1643"/>
      <c r="AI463" s="1643"/>
      <c r="AJ463" s="1643"/>
      <c r="AK463" s="1643"/>
      <c r="AL463" s="1643"/>
      <c r="AM463" s="1643"/>
    </row>
    <row r="464" spans="1:39" ht="15.75" customHeight="1" x14ac:dyDescent="0.3">
      <c r="A464" s="1643"/>
      <c r="B464" s="1643"/>
      <c r="C464" s="1643"/>
      <c r="D464" s="1643"/>
      <c r="E464" s="1643"/>
      <c r="F464" s="1643"/>
      <c r="G464" s="1643"/>
      <c r="H464" s="1643"/>
      <c r="I464" s="1643"/>
      <c r="J464" s="1643"/>
      <c r="K464" s="1643"/>
      <c r="L464" s="1643"/>
      <c r="M464" s="1643"/>
      <c r="N464" s="1643"/>
      <c r="O464" s="1643"/>
      <c r="P464" s="1643"/>
      <c r="Q464" s="1643"/>
      <c r="R464" s="1643"/>
      <c r="S464" s="1643"/>
      <c r="T464" s="1643"/>
      <c r="U464" s="1643"/>
      <c r="V464" s="1643"/>
      <c r="W464" s="1643"/>
      <c r="X464" s="1643"/>
      <c r="Y464" s="1643"/>
      <c r="Z464" s="1643"/>
      <c r="AA464" s="1643"/>
      <c r="AB464" s="1643"/>
      <c r="AC464" s="1643"/>
      <c r="AD464" s="1643"/>
      <c r="AE464" s="1643"/>
      <c r="AF464" s="1643"/>
      <c r="AG464" s="1643"/>
      <c r="AH464" s="1643"/>
      <c r="AI464" s="1643"/>
      <c r="AJ464" s="1643"/>
      <c r="AK464" s="1643"/>
      <c r="AL464" s="1643"/>
      <c r="AM464" s="1643"/>
    </row>
    <row r="465" spans="1:39" ht="15.75" customHeight="1" x14ac:dyDescent="0.3">
      <c r="A465" s="1643"/>
      <c r="B465" s="1643"/>
      <c r="C465" s="1643"/>
      <c r="D465" s="1643"/>
      <c r="E465" s="1643"/>
      <c r="F465" s="1643"/>
      <c r="G465" s="1643"/>
      <c r="H465" s="1643"/>
      <c r="I465" s="1643"/>
      <c r="J465" s="1643"/>
      <c r="K465" s="1643"/>
      <c r="L465" s="1643"/>
      <c r="M465" s="1643"/>
      <c r="N465" s="1643"/>
      <c r="O465" s="1643"/>
      <c r="P465" s="1643"/>
      <c r="Q465" s="1643"/>
      <c r="R465" s="1643"/>
      <c r="S465" s="1643"/>
      <c r="T465" s="1643"/>
      <c r="U465" s="1643"/>
      <c r="V465" s="1643"/>
      <c r="W465" s="1643"/>
      <c r="X465" s="1643"/>
      <c r="Y465" s="1643"/>
      <c r="Z465" s="1643"/>
      <c r="AA465" s="1643"/>
      <c r="AB465" s="1643"/>
      <c r="AC465" s="1643"/>
      <c r="AD465" s="1643"/>
      <c r="AE465" s="1643"/>
      <c r="AF465" s="1643"/>
      <c r="AG465" s="1643"/>
      <c r="AH465" s="1643"/>
      <c r="AI465" s="1643"/>
      <c r="AJ465" s="1643"/>
      <c r="AK465" s="1643"/>
      <c r="AL465" s="1643"/>
      <c r="AM465" s="1643"/>
    </row>
    <row r="466" spans="1:39" ht="15.75" customHeight="1" x14ac:dyDescent="0.3">
      <c r="A466" s="1643"/>
      <c r="B466" s="1643"/>
      <c r="C466" s="1643"/>
      <c r="D466" s="1643"/>
      <c r="E466" s="1643"/>
      <c r="F466" s="1643"/>
      <c r="G466" s="1643"/>
      <c r="H466" s="1643"/>
      <c r="I466" s="1643"/>
      <c r="J466" s="1643"/>
      <c r="K466" s="1643"/>
      <c r="L466" s="1643"/>
      <c r="M466" s="1643"/>
      <c r="N466" s="1643"/>
      <c r="O466" s="1643"/>
      <c r="P466" s="1643"/>
      <c r="Q466" s="1643"/>
      <c r="R466" s="1643"/>
      <c r="S466" s="1643"/>
      <c r="T466" s="1643"/>
      <c r="U466" s="1643"/>
      <c r="V466" s="1643"/>
      <c r="W466" s="1643"/>
      <c r="X466" s="1643"/>
      <c r="Y466" s="1643"/>
      <c r="Z466" s="1643"/>
      <c r="AA466" s="1643"/>
      <c r="AB466" s="1643"/>
      <c r="AC466" s="1643"/>
      <c r="AD466" s="1643"/>
      <c r="AE466" s="1643"/>
      <c r="AF466" s="1643"/>
      <c r="AG466" s="1643"/>
      <c r="AH466" s="1643"/>
      <c r="AI466" s="1643"/>
      <c r="AJ466" s="1643"/>
      <c r="AK466" s="1643"/>
      <c r="AL466" s="1643"/>
      <c r="AM466" s="1643"/>
    </row>
    <row r="467" spans="1:39" ht="15.75" customHeight="1" x14ac:dyDescent="0.3">
      <c r="A467" s="1643"/>
      <c r="B467" s="1643"/>
      <c r="C467" s="1643"/>
      <c r="D467" s="1643"/>
      <c r="E467" s="1643"/>
      <c r="F467" s="1643"/>
      <c r="G467" s="1643"/>
      <c r="H467" s="1643"/>
      <c r="I467" s="1643"/>
      <c r="J467" s="1643"/>
      <c r="K467" s="1643"/>
      <c r="L467" s="1643"/>
      <c r="M467" s="1643"/>
      <c r="N467" s="1643"/>
      <c r="O467" s="1643"/>
      <c r="P467" s="1643"/>
      <c r="Q467" s="1643"/>
      <c r="R467" s="1643"/>
      <c r="S467" s="1643"/>
      <c r="T467" s="1643"/>
      <c r="U467" s="1643"/>
      <c r="V467" s="1643"/>
      <c r="W467" s="1643"/>
      <c r="X467" s="1643"/>
      <c r="Y467" s="1643"/>
      <c r="Z467" s="1643"/>
      <c r="AA467" s="1643"/>
      <c r="AB467" s="1643"/>
      <c r="AC467" s="1643"/>
      <c r="AD467" s="1643"/>
      <c r="AE467" s="1643"/>
      <c r="AF467" s="1643"/>
      <c r="AG467" s="1643"/>
      <c r="AH467" s="1643"/>
      <c r="AI467" s="1643"/>
      <c r="AJ467" s="1643"/>
      <c r="AK467" s="1643"/>
      <c r="AL467" s="1643"/>
      <c r="AM467" s="1643"/>
    </row>
    <row r="468" spans="1:39" ht="15.75" customHeight="1" x14ac:dyDescent="0.3">
      <c r="A468" s="1643"/>
      <c r="B468" s="1643"/>
      <c r="C468" s="1643"/>
      <c r="D468" s="1643"/>
      <c r="E468" s="1643"/>
      <c r="F468" s="1643"/>
      <c r="G468" s="1643"/>
      <c r="H468" s="1643"/>
      <c r="I468" s="1643"/>
      <c r="J468" s="1643"/>
      <c r="K468" s="1643"/>
      <c r="L468" s="1643"/>
      <c r="M468" s="1643"/>
      <c r="N468" s="1643"/>
      <c r="O468" s="1643"/>
      <c r="P468" s="1643"/>
      <c r="Q468" s="1643"/>
      <c r="R468" s="1643"/>
      <c r="S468" s="1643"/>
      <c r="T468" s="1643"/>
      <c r="U468" s="1643"/>
      <c r="V468" s="1643"/>
      <c r="W468" s="1643"/>
      <c r="X468" s="1643"/>
      <c r="Y468" s="1643"/>
      <c r="Z468" s="1643"/>
      <c r="AA468" s="1643"/>
      <c r="AB468" s="1643"/>
      <c r="AC468" s="1643"/>
      <c r="AD468" s="1643"/>
      <c r="AE468" s="1643"/>
      <c r="AF468" s="1643"/>
      <c r="AG468" s="1643"/>
      <c r="AH468" s="1643"/>
      <c r="AI468" s="1643"/>
      <c r="AJ468" s="1643"/>
      <c r="AK468" s="1643"/>
      <c r="AL468" s="1643"/>
      <c r="AM468" s="1643"/>
    </row>
    <row r="469" spans="1:39" ht="15.75" customHeight="1" x14ac:dyDescent="0.3">
      <c r="A469" s="1643"/>
      <c r="B469" s="1643"/>
      <c r="C469" s="1643"/>
      <c r="D469" s="1643"/>
      <c r="E469" s="1643"/>
      <c r="F469" s="1643"/>
      <c r="G469" s="1643"/>
      <c r="H469" s="1643"/>
      <c r="I469" s="1643"/>
      <c r="J469" s="1643"/>
      <c r="K469" s="1643"/>
      <c r="L469" s="1643"/>
      <c r="M469" s="1643"/>
      <c r="N469" s="1643"/>
      <c r="O469" s="1643"/>
      <c r="P469" s="1643"/>
      <c r="Q469" s="1643"/>
      <c r="R469" s="1643"/>
      <c r="S469" s="1643"/>
      <c r="T469" s="1643"/>
      <c r="U469" s="1643"/>
      <c r="V469" s="1643"/>
      <c r="W469" s="1643"/>
      <c r="X469" s="1643"/>
      <c r="Y469" s="1643"/>
      <c r="Z469" s="1643"/>
      <c r="AA469" s="1643"/>
      <c r="AB469" s="1643"/>
      <c r="AC469" s="1643"/>
      <c r="AD469" s="1643"/>
      <c r="AE469" s="1643"/>
      <c r="AF469" s="1643"/>
      <c r="AG469" s="1643"/>
      <c r="AH469" s="1643"/>
      <c r="AI469" s="1643"/>
      <c r="AJ469" s="1643"/>
      <c r="AK469" s="1643"/>
      <c r="AL469" s="1643"/>
      <c r="AM469" s="1643"/>
    </row>
    <row r="470" spans="1:39" ht="15.75" customHeight="1" x14ac:dyDescent="0.3">
      <c r="A470" s="1643"/>
      <c r="B470" s="1643"/>
      <c r="C470" s="1643"/>
      <c r="D470" s="1643"/>
      <c r="E470" s="1643"/>
      <c r="F470" s="1643"/>
      <c r="G470" s="1643"/>
      <c r="H470" s="1643"/>
      <c r="I470" s="1643"/>
      <c r="J470" s="1643"/>
      <c r="K470" s="1643"/>
      <c r="L470" s="1643"/>
      <c r="M470" s="1643"/>
      <c r="N470" s="1643"/>
      <c r="O470" s="1643"/>
      <c r="P470" s="1643"/>
      <c r="Q470" s="1643"/>
      <c r="R470" s="1643"/>
      <c r="S470" s="1643"/>
      <c r="T470" s="1643"/>
      <c r="U470" s="1643"/>
      <c r="V470" s="1643"/>
      <c r="W470" s="1643"/>
      <c r="X470" s="1643"/>
      <c r="Y470" s="1643"/>
      <c r="Z470" s="1643"/>
      <c r="AA470" s="1643"/>
      <c r="AB470" s="1643"/>
      <c r="AC470" s="1643"/>
      <c r="AD470" s="1643"/>
      <c r="AE470" s="1643"/>
      <c r="AF470" s="1643"/>
      <c r="AG470" s="1643"/>
      <c r="AH470" s="1643"/>
      <c r="AI470" s="1643"/>
      <c r="AJ470" s="1643"/>
      <c r="AK470" s="1643"/>
      <c r="AL470" s="1643"/>
      <c r="AM470" s="1643"/>
    </row>
    <row r="471" spans="1:39" ht="15.75" customHeight="1" x14ac:dyDescent="0.3">
      <c r="A471" s="1643"/>
      <c r="B471" s="1643"/>
      <c r="C471" s="1643"/>
      <c r="D471" s="1643"/>
      <c r="E471" s="1643"/>
      <c r="F471" s="1643"/>
      <c r="G471" s="1643"/>
      <c r="H471" s="1643"/>
      <c r="I471" s="1643"/>
      <c r="J471" s="1643"/>
      <c r="K471" s="1643"/>
      <c r="L471" s="1643"/>
      <c r="M471" s="1643"/>
      <c r="N471" s="1643"/>
      <c r="O471" s="1643"/>
      <c r="P471" s="1643"/>
      <c r="Q471" s="1643"/>
      <c r="R471" s="1643"/>
      <c r="S471" s="1643"/>
      <c r="T471" s="1643"/>
      <c r="U471" s="1643"/>
      <c r="V471" s="1643"/>
      <c r="W471" s="1643"/>
      <c r="X471" s="1643"/>
      <c r="Y471" s="1643"/>
      <c r="Z471" s="1643"/>
      <c r="AA471" s="1643"/>
      <c r="AB471" s="1643"/>
      <c r="AC471" s="1643"/>
      <c r="AD471" s="1643"/>
      <c r="AE471" s="1643"/>
      <c r="AF471" s="1643"/>
      <c r="AG471" s="1643"/>
      <c r="AH471" s="1643"/>
      <c r="AI471" s="1643"/>
      <c r="AJ471" s="1643"/>
      <c r="AK471" s="1643"/>
      <c r="AL471" s="1643"/>
      <c r="AM471" s="1643"/>
    </row>
    <row r="472" spans="1:39" ht="15.75" customHeight="1" x14ac:dyDescent="0.3">
      <c r="A472" s="1643"/>
      <c r="B472" s="1643"/>
      <c r="C472" s="1643"/>
      <c r="D472" s="1643"/>
      <c r="E472" s="1643"/>
      <c r="F472" s="1643"/>
      <c r="G472" s="1643"/>
      <c r="H472" s="1643"/>
      <c r="I472" s="1643"/>
      <c r="J472" s="1643"/>
      <c r="K472" s="1643"/>
      <c r="L472" s="1643"/>
      <c r="M472" s="1643"/>
      <c r="N472" s="1643"/>
      <c r="O472" s="1643"/>
      <c r="P472" s="1643"/>
      <c r="Q472" s="1643"/>
      <c r="R472" s="1643"/>
      <c r="S472" s="1643"/>
      <c r="T472" s="1643"/>
      <c r="U472" s="1643"/>
      <c r="V472" s="1643"/>
      <c r="W472" s="1643"/>
      <c r="X472" s="1643"/>
      <c r="Y472" s="1643"/>
      <c r="Z472" s="1643"/>
      <c r="AA472" s="1643"/>
      <c r="AB472" s="1643"/>
      <c r="AC472" s="1643"/>
      <c r="AD472" s="1643"/>
      <c r="AE472" s="1643"/>
      <c r="AF472" s="1643"/>
      <c r="AG472" s="1643"/>
      <c r="AH472" s="1643"/>
      <c r="AI472" s="1643"/>
      <c r="AJ472" s="1643"/>
      <c r="AK472" s="1643"/>
      <c r="AL472" s="1643"/>
      <c r="AM472" s="1643"/>
    </row>
    <row r="473" spans="1:39" ht="15.75" customHeight="1" x14ac:dyDescent="0.3">
      <c r="A473" s="1643"/>
      <c r="B473" s="1643"/>
      <c r="C473" s="1643"/>
      <c r="D473" s="1643"/>
      <c r="E473" s="1643"/>
      <c r="F473" s="1643"/>
      <c r="G473" s="1643"/>
      <c r="H473" s="1643"/>
      <c r="I473" s="1643"/>
      <c r="J473" s="1643"/>
      <c r="K473" s="1643"/>
      <c r="L473" s="1643"/>
      <c r="M473" s="1643"/>
      <c r="N473" s="1643"/>
      <c r="O473" s="1643"/>
      <c r="P473" s="1643"/>
      <c r="Q473" s="1643"/>
      <c r="R473" s="1643"/>
      <c r="S473" s="1643"/>
      <c r="T473" s="1643"/>
      <c r="U473" s="1643"/>
      <c r="V473" s="1643"/>
      <c r="W473" s="1643"/>
      <c r="X473" s="1643"/>
      <c r="Y473" s="1643"/>
      <c r="Z473" s="1643"/>
      <c r="AA473" s="1643"/>
      <c r="AB473" s="1643"/>
      <c r="AC473" s="1643"/>
      <c r="AD473" s="1643"/>
      <c r="AE473" s="1643"/>
      <c r="AF473" s="1643"/>
      <c r="AG473" s="1643"/>
      <c r="AH473" s="1643"/>
      <c r="AI473" s="1643"/>
      <c r="AJ473" s="1643"/>
      <c r="AK473" s="1643"/>
      <c r="AL473" s="1643"/>
      <c r="AM473" s="1643"/>
    </row>
    <row r="474" spans="1:39" ht="15.75" customHeight="1" x14ac:dyDescent="0.3">
      <c r="A474" s="1643"/>
      <c r="B474" s="1643"/>
      <c r="C474" s="1643"/>
      <c r="D474" s="1643"/>
      <c r="E474" s="1643"/>
      <c r="F474" s="1643"/>
      <c r="G474" s="1643"/>
      <c r="H474" s="1643"/>
      <c r="I474" s="1643"/>
      <c r="J474" s="1643"/>
      <c r="K474" s="1643"/>
      <c r="L474" s="1643"/>
      <c r="M474" s="1643"/>
      <c r="N474" s="1643"/>
      <c r="O474" s="1643"/>
      <c r="P474" s="1643"/>
      <c r="Q474" s="1643"/>
      <c r="R474" s="1643"/>
      <c r="S474" s="1643"/>
      <c r="T474" s="1643"/>
      <c r="U474" s="1643"/>
      <c r="V474" s="1643"/>
      <c r="W474" s="1643"/>
      <c r="X474" s="1643"/>
      <c r="Y474" s="1643"/>
      <c r="Z474" s="1643"/>
      <c r="AA474" s="1643"/>
      <c r="AB474" s="1643"/>
      <c r="AC474" s="1643"/>
      <c r="AD474" s="1643"/>
      <c r="AE474" s="1643"/>
      <c r="AF474" s="1643"/>
      <c r="AG474" s="1643"/>
      <c r="AH474" s="1643"/>
      <c r="AI474" s="1643"/>
      <c r="AJ474" s="1643"/>
      <c r="AK474" s="1643"/>
      <c r="AL474" s="1643"/>
      <c r="AM474" s="1643"/>
    </row>
    <row r="475" spans="1:39" ht="15.75" customHeight="1" x14ac:dyDescent="0.3">
      <c r="A475" s="1643"/>
      <c r="B475" s="1643"/>
      <c r="C475" s="1643"/>
      <c r="D475" s="1643"/>
      <c r="E475" s="1643"/>
      <c r="F475" s="1643"/>
      <c r="G475" s="1643"/>
      <c r="H475" s="1643"/>
      <c r="I475" s="1643"/>
      <c r="J475" s="1643"/>
      <c r="K475" s="1643"/>
      <c r="L475" s="1643"/>
      <c r="M475" s="1643"/>
      <c r="N475" s="1643"/>
      <c r="O475" s="1643"/>
      <c r="P475" s="1643"/>
      <c r="Q475" s="1643"/>
      <c r="R475" s="1643"/>
      <c r="S475" s="1643"/>
      <c r="T475" s="1643"/>
      <c r="U475" s="1643"/>
      <c r="V475" s="1643"/>
      <c r="W475" s="1643"/>
      <c r="X475" s="1643"/>
      <c r="Y475" s="1643"/>
      <c r="Z475" s="1643"/>
      <c r="AA475" s="1643"/>
      <c r="AB475" s="1643"/>
      <c r="AC475" s="1643"/>
      <c r="AD475" s="1643"/>
      <c r="AE475" s="1643"/>
      <c r="AF475" s="1643"/>
      <c r="AG475" s="1643"/>
      <c r="AH475" s="1643"/>
      <c r="AI475" s="1643"/>
      <c r="AJ475" s="1643"/>
      <c r="AK475" s="1643"/>
      <c r="AL475" s="1643"/>
      <c r="AM475" s="1643"/>
    </row>
    <row r="476" spans="1:39" ht="15.75" customHeight="1" x14ac:dyDescent="0.3">
      <c r="A476" s="1643"/>
      <c r="B476" s="1643"/>
      <c r="C476" s="1643"/>
      <c r="D476" s="1643"/>
      <c r="E476" s="1643"/>
      <c r="F476" s="1643"/>
      <c r="G476" s="1643"/>
      <c r="H476" s="1643"/>
      <c r="I476" s="1643"/>
      <c r="J476" s="1643"/>
      <c r="K476" s="1643"/>
      <c r="L476" s="1643"/>
      <c r="M476" s="1643"/>
      <c r="N476" s="1643"/>
      <c r="O476" s="1643"/>
      <c r="P476" s="1643"/>
      <c r="Q476" s="1643"/>
      <c r="R476" s="1643"/>
      <c r="S476" s="1643"/>
      <c r="T476" s="1643"/>
      <c r="U476" s="1643"/>
      <c r="V476" s="1643"/>
      <c r="W476" s="1643"/>
      <c r="X476" s="1643"/>
      <c r="Y476" s="1643"/>
      <c r="Z476" s="1643"/>
      <c r="AA476" s="1643"/>
      <c r="AB476" s="1643"/>
      <c r="AC476" s="1643"/>
      <c r="AD476" s="1643"/>
      <c r="AE476" s="1643"/>
      <c r="AF476" s="1643"/>
      <c r="AG476" s="1643"/>
      <c r="AH476" s="1643"/>
      <c r="AI476" s="1643"/>
      <c r="AJ476" s="1643"/>
      <c r="AK476" s="1643"/>
      <c r="AL476" s="1643"/>
      <c r="AM476" s="1643"/>
    </row>
    <row r="477" spans="1:39" ht="15.75" customHeight="1" x14ac:dyDescent="0.3">
      <c r="A477" s="1643"/>
      <c r="B477" s="1643"/>
      <c r="C477" s="1643"/>
      <c r="D477" s="1643"/>
      <c r="E477" s="1643"/>
      <c r="F477" s="1643"/>
      <c r="G477" s="1643"/>
      <c r="H477" s="1643"/>
      <c r="I477" s="1643"/>
      <c r="J477" s="1643"/>
      <c r="K477" s="1643"/>
      <c r="L477" s="1643"/>
      <c r="M477" s="1643"/>
      <c r="N477" s="1643"/>
      <c r="O477" s="1643"/>
      <c r="P477" s="1643"/>
      <c r="Q477" s="1643"/>
      <c r="R477" s="1643"/>
      <c r="S477" s="1643"/>
      <c r="T477" s="1643"/>
      <c r="U477" s="1643"/>
      <c r="V477" s="1643"/>
      <c r="W477" s="1643"/>
      <c r="X477" s="1643"/>
      <c r="Y477" s="1643"/>
      <c r="Z477" s="1643"/>
      <c r="AA477" s="1643"/>
      <c r="AB477" s="1643"/>
      <c r="AC477" s="1643"/>
      <c r="AD477" s="1643"/>
      <c r="AE477" s="1643"/>
      <c r="AF477" s="1643"/>
      <c r="AG477" s="1643"/>
      <c r="AH477" s="1643"/>
      <c r="AI477" s="1643"/>
      <c r="AJ477" s="1643"/>
      <c r="AK477" s="1643"/>
      <c r="AL477" s="1643"/>
      <c r="AM477" s="1643"/>
    </row>
    <row r="478" spans="1:39" ht="15.75" customHeight="1" x14ac:dyDescent="0.3">
      <c r="A478" s="1643"/>
      <c r="B478" s="1643"/>
      <c r="C478" s="1643"/>
      <c r="D478" s="1643"/>
      <c r="E478" s="1643"/>
      <c r="F478" s="1643"/>
      <c r="G478" s="1643"/>
      <c r="H478" s="1643"/>
      <c r="I478" s="1643"/>
      <c r="J478" s="1643"/>
      <c r="K478" s="1643"/>
      <c r="L478" s="1643"/>
      <c r="M478" s="1643"/>
      <c r="N478" s="1643"/>
      <c r="O478" s="1643"/>
      <c r="P478" s="1643"/>
      <c r="Q478" s="1643"/>
      <c r="R478" s="1643"/>
      <c r="S478" s="1643"/>
      <c r="T478" s="1643"/>
      <c r="U478" s="1643"/>
      <c r="V478" s="1643"/>
      <c r="W478" s="1643"/>
      <c r="X478" s="1643"/>
      <c r="Y478" s="1643"/>
      <c r="Z478" s="1643"/>
      <c r="AA478" s="1643"/>
      <c r="AB478" s="1643"/>
      <c r="AC478" s="1643"/>
      <c r="AD478" s="1643"/>
      <c r="AE478" s="1643"/>
      <c r="AF478" s="1643"/>
      <c r="AG478" s="1643"/>
      <c r="AH478" s="1643"/>
      <c r="AI478" s="1643"/>
      <c r="AJ478" s="1643"/>
      <c r="AK478" s="1643"/>
      <c r="AL478" s="1643"/>
      <c r="AM478" s="1643"/>
    </row>
    <row r="479" spans="1:39" ht="15.75" customHeight="1" x14ac:dyDescent="0.3">
      <c r="A479" s="1643"/>
      <c r="B479" s="1643"/>
      <c r="C479" s="1643"/>
      <c r="D479" s="1643"/>
      <c r="E479" s="1643"/>
      <c r="F479" s="1643"/>
      <c r="G479" s="1643"/>
      <c r="H479" s="1643"/>
      <c r="I479" s="1643"/>
      <c r="J479" s="1643"/>
      <c r="K479" s="1643"/>
      <c r="L479" s="1643"/>
      <c r="M479" s="1643"/>
      <c r="N479" s="1643"/>
      <c r="O479" s="1643"/>
      <c r="P479" s="1643"/>
      <c r="Q479" s="1643"/>
      <c r="R479" s="1643"/>
      <c r="S479" s="1643"/>
      <c r="T479" s="1643"/>
      <c r="U479" s="1643"/>
      <c r="V479" s="1643"/>
      <c r="W479" s="1643"/>
      <c r="X479" s="1643"/>
      <c r="Y479" s="1643"/>
      <c r="Z479" s="1643"/>
      <c r="AA479" s="1643"/>
      <c r="AB479" s="1643"/>
      <c r="AC479" s="1643"/>
      <c r="AD479" s="1643"/>
      <c r="AE479" s="1643"/>
      <c r="AF479" s="1643"/>
      <c r="AG479" s="1643"/>
      <c r="AH479" s="1643"/>
      <c r="AI479" s="1643"/>
      <c r="AJ479" s="1643"/>
      <c r="AK479" s="1643"/>
      <c r="AL479" s="1643"/>
      <c r="AM479" s="1643"/>
    </row>
    <row r="480" spans="1:39" ht="15.75" customHeight="1" x14ac:dyDescent="0.3">
      <c r="A480" s="1643"/>
      <c r="B480" s="1643"/>
      <c r="C480" s="1643"/>
      <c r="D480" s="1643"/>
      <c r="E480" s="1643"/>
      <c r="F480" s="1643"/>
      <c r="G480" s="1643"/>
      <c r="H480" s="1643"/>
      <c r="I480" s="1643"/>
      <c r="J480" s="1643"/>
      <c r="K480" s="1643"/>
      <c r="L480" s="1643"/>
      <c r="M480" s="1643"/>
      <c r="N480" s="1643"/>
      <c r="O480" s="1643"/>
      <c r="P480" s="1643"/>
      <c r="Q480" s="1643"/>
      <c r="R480" s="1643"/>
      <c r="S480" s="1643"/>
      <c r="T480" s="1643"/>
      <c r="U480" s="1643"/>
      <c r="V480" s="1643"/>
      <c r="W480" s="1643"/>
      <c r="X480" s="1643"/>
      <c r="Y480" s="1643"/>
      <c r="Z480" s="1643"/>
      <c r="AA480" s="1643"/>
      <c r="AB480" s="1643"/>
      <c r="AC480" s="1643"/>
      <c r="AD480" s="1643"/>
      <c r="AE480" s="1643"/>
      <c r="AF480" s="1643"/>
      <c r="AG480" s="1643"/>
      <c r="AH480" s="1643"/>
      <c r="AI480" s="1643"/>
      <c r="AJ480" s="1643"/>
      <c r="AK480" s="1643"/>
      <c r="AL480" s="1643"/>
      <c r="AM480" s="1643"/>
    </row>
    <row r="481" spans="1:39" ht="15.75" customHeight="1" x14ac:dyDescent="0.3">
      <c r="A481" s="1643"/>
      <c r="B481" s="1643"/>
      <c r="C481" s="1643"/>
      <c r="D481" s="1643"/>
      <c r="E481" s="1643"/>
      <c r="F481" s="1643"/>
      <c r="G481" s="1643"/>
      <c r="H481" s="1643"/>
      <c r="I481" s="1643"/>
      <c r="J481" s="1643"/>
      <c r="K481" s="1643"/>
      <c r="L481" s="1643"/>
      <c r="M481" s="1643"/>
      <c r="N481" s="1643"/>
      <c r="O481" s="1643"/>
      <c r="P481" s="1643"/>
      <c r="Q481" s="1643"/>
      <c r="R481" s="1643"/>
      <c r="S481" s="1643"/>
      <c r="T481" s="1643"/>
      <c r="U481" s="1643"/>
      <c r="V481" s="1643"/>
      <c r="W481" s="1643"/>
      <c r="X481" s="1643"/>
      <c r="Y481" s="1643"/>
      <c r="Z481" s="1643"/>
      <c r="AA481" s="1643"/>
      <c r="AB481" s="1643"/>
      <c r="AC481" s="1643"/>
      <c r="AD481" s="1643"/>
      <c r="AE481" s="1643"/>
      <c r="AF481" s="1643"/>
      <c r="AG481" s="1643"/>
      <c r="AH481" s="1643"/>
      <c r="AI481" s="1643"/>
      <c r="AJ481" s="1643"/>
      <c r="AK481" s="1643"/>
      <c r="AL481" s="1643"/>
      <c r="AM481" s="1643"/>
    </row>
    <row r="482" spans="1:39" ht="15.75" customHeight="1" x14ac:dyDescent="0.3">
      <c r="A482" s="1643"/>
      <c r="B482" s="1643"/>
      <c r="C482" s="1643"/>
      <c r="D482" s="1643"/>
      <c r="E482" s="1643"/>
      <c r="F482" s="1643"/>
      <c r="G482" s="1643"/>
      <c r="H482" s="1643"/>
      <c r="I482" s="1643"/>
      <c r="J482" s="1643"/>
      <c r="K482" s="1643"/>
      <c r="L482" s="1643"/>
      <c r="M482" s="1643"/>
      <c r="N482" s="1643"/>
      <c r="O482" s="1643"/>
      <c r="P482" s="1643"/>
      <c r="Q482" s="1643"/>
      <c r="R482" s="1643"/>
      <c r="S482" s="1643"/>
      <c r="T482" s="1643"/>
      <c r="U482" s="1643"/>
      <c r="V482" s="1643"/>
      <c r="W482" s="1643"/>
      <c r="X482" s="1643"/>
      <c r="Y482" s="1643"/>
      <c r="Z482" s="1643"/>
      <c r="AA482" s="1643"/>
      <c r="AB482" s="1643"/>
      <c r="AC482" s="1643"/>
      <c r="AD482" s="1643"/>
      <c r="AE482" s="1643"/>
      <c r="AF482" s="1643"/>
      <c r="AG482" s="1643"/>
      <c r="AH482" s="1643"/>
      <c r="AI482" s="1643"/>
      <c r="AJ482" s="1643"/>
      <c r="AK482" s="1643"/>
      <c r="AL482" s="1643"/>
      <c r="AM482" s="1643"/>
    </row>
    <row r="483" spans="1:39" ht="15.75" customHeight="1" x14ac:dyDescent="0.3">
      <c r="A483" s="1643"/>
      <c r="B483" s="1643"/>
      <c r="C483" s="1643"/>
      <c r="D483" s="1643"/>
      <c r="E483" s="1643"/>
      <c r="F483" s="1643"/>
      <c r="G483" s="1643"/>
      <c r="H483" s="1643"/>
      <c r="I483" s="1643"/>
      <c r="J483" s="1643"/>
      <c r="K483" s="1643"/>
      <c r="L483" s="1643"/>
      <c r="M483" s="1643"/>
      <c r="N483" s="1643"/>
      <c r="O483" s="1643"/>
      <c r="P483" s="1643"/>
      <c r="Q483" s="1643"/>
      <c r="R483" s="1643"/>
      <c r="S483" s="1643"/>
      <c r="T483" s="1643"/>
      <c r="U483" s="1643"/>
      <c r="V483" s="1643"/>
      <c r="W483" s="1643"/>
      <c r="X483" s="1643"/>
      <c r="Y483" s="1643"/>
      <c r="Z483" s="1643"/>
      <c r="AA483" s="1643"/>
      <c r="AB483" s="1643"/>
      <c r="AC483" s="1643"/>
      <c r="AD483" s="1643"/>
      <c r="AE483" s="1643"/>
      <c r="AF483" s="1643"/>
      <c r="AG483" s="1643"/>
      <c r="AH483" s="1643"/>
      <c r="AI483" s="1643"/>
      <c r="AJ483" s="1643"/>
      <c r="AK483" s="1643"/>
      <c r="AL483" s="1643"/>
      <c r="AM483" s="1643"/>
    </row>
    <row r="484" spans="1:39" ht="15.75" customHeight="1" x14ac:dyDescent="0.3">
      <c r="A484" s="1643"/>
      <c r="B484" s="1643"/>
      <c r="C484" s="1643"/>
      <c r="D484" s="1643"/>
      <c r="E484" s="1643"/>
      <c r="F484" s="1643"/>
      <c r="G484" s="1643"/>
      <c r="H484" s="1643"/>
      <c r="I484" s="1643"/>
      <c r="J484" s="1643"/>
      <c r="K484" s="1643"/>
      <c r="L484" s="1643"/>
      <c r="M484" s="1643"/>
      <c r="N484" s="1643"/>
      <c r="O484" s="1643"/>
      <c r="P484" s="1643"/>
      <c r="Q484" s="1643"/>
      <c r="R484" s="1643"/>
      <c r="S484" s="1643"/>
      <c r="T484" s="1643"/>
      <c r="U484" s="1643"/>
      <c r="V484" s="1643"/>
      <c r="W484" s="1643"/>
      <c r="X484" s="1643"/>
      <c r="Y484" s="1643"/>
      <c r="Z484" s="1643"/>
      <c r="AA484" s="1643"/>
      <c r="AB484" s="1643"/>
      <c r="AC484" s="1643"/>
      <c r="AD484" s="1643"/>
      <c r="AE484" s="1643"/>
      <c r="AF484" s="1643"/>
      <c r="AG484" s="1643"/>
      <c r="AH484" s="1643"/>
      <c r="AI484" s="1643"/>
      <c r="AJ484" s="1643"/>
      <c r="AK484" s="1643"/>
      <c r="AL484" s="1643"/>
      <c r="AM484" s="1643"/>
    </row>
    <row r="485" spans="1:39" ht="15.75" customHeight="1" x14ac:dyDescent="0.3">
      <c r="A485" s="1643"/>
      <c r="B485" s="1643"/>
      <c r="C485" s="1643"/>
      <c r="D485" s="1643"/>
      <c r="E485" s="1643"/>
      <c r="F485" s="1643"/>
      <c r="G485" s="1643"/>
      <c r="H485" s="1643"/>
      <c r="I485" s="1643"/>
      <c r="J485" s="1643"/>
      <c r="K485" s="1643"/>
      <c r="L485" s="1643"/>
      <c r="M485" s="1643"/>
      <c r="N485" s="1643"/>
      <c r="O485" s="1643"/>
      <c r="P485" s="1643"/>
      <c r="Q485" s="1643"/>
      <c r="R485" s="1643"/>
      <c r="S485" s="1643"/>
      <c r="T485" s="1643"/>
      <c r="U485" s="1643"/>
      <c r="V485" s="1643"/>
      <c r="W485" s="1643"/>
      <c r="X485" s="1643"/>
      <c r="Y485" s="1643"/>
      <c r="Z485" s="1643"/>
      <c r="AA485" s="1643"/>
      <c r="AB485" s="1643"/>
      <c r="AC485" s="1643"/>
      <c r="AD485" s="1643"/>
      <c r="AE485" s="1643"/>
      <c r="AF485" s="1643"/>
      <c r="AG485" s="1643"/>
      <c r="AH485" s="1643"/>
      <c r="AI485" s="1643"/>
      <c r="AJ485" s="1643"/>
      <c r="AK485" s="1643"/>
      <c r="AL485" s="1643"/>
      <c r="AM485" s="1643"/>
    </row>
    <row r="486" spans="1:39" ht="15.75" customHeight="1" x14ac:dyDescent="0.3">
      <c r="A486" s="1643"/>
      <c r="B486" s="1643"/>
      <c r="C486" s="1643"/>
      <c r="D486" s="1643"/>
      <c r="E486" s="1643"/>
      <c r="F486" s="1643"/>
      <c r="G486" s="1643"/>
      <c r="H486" s="1643"/>
      <c r="I486" s="1643"/>
      <c r="J486" s="1643"/>
      <c r="K486" s="1643"/>
      <c r="L486" s="1643"/>
      <c r="M486" s="1643"/>
      <c r="N486" s="1643"/>
      <c r="O486" s="1643"/>
      <c r="P486" s="1643"/>
      <c r="Q486" s="1643"/>
      <c r="R486" s="1643"/>
      <c r="S486" s="1643"/>
      <c r="T486" s="1643"/>
      <c r="U486" s="1643"/>
      <c r="V486" s="1643"/>
      <c r="W486" s="1643"/>
      <c r="X486" s="1643"/>
      <c r="Y486" s="1643"/>
      <c r="Z486" s="1643"/>
      <c r="AA486" s="1643"/>
      <c r="AB486" s="1643"/>
      <c r="AC486" s="1643"/>
      <c r="AD486" s="1643"/>
      <c r="AE486" s="1643"/>
      <c r="AF486" s="1643"/>
      <c r="AG486" s="1643"/>
      <c r="AH486" s="1643"/>
      <c r="AI486" s="1643"/>
      <c r="AJ486" s="1643"/>
      <c r="AK486" s="1643"/>
      <c r="AL486" s="1643"/>
      <c r="AM486" s="1643"/>
    </row>
    <row r="487" spans="1:39" ht="15.75" customHeight="1" x14ac:dyDescent="0.3">
      <c r="A487" s="1643"/>
      <c r="B487" s="1643"/>
      <c r="C487" s="1643"/>
      <c r="D487" s="1643"/>
      <c r="E487" s="1643"/>
      <c r="F487" s="1643"/>
      <c r="G487" s="1643"/>
      <c r="H487" s="1643"/>
      <c r="I487" s="1643"/>
      <c r="J487" s="1643"/>
      <c r="K487" s="1643"/>
      <c r="L487" s="1643"/>
      <c r="M487" s="1643"/>
      <c r="N487" s="1643"/>
      <c r="O487" s="1643"/>
      <c r="P487" s="1643"/>
      <c r="Q487" s="1643"/>
      <c r="R487" s="1643"/>
      <c r="S487" s="1643"/>
      <c r="T487" s="1643"/>
      <c r="U487" s="1643"/>
      <c r="V487" s="1643"/>
      <c r="W487" s="1643"/>
      <c r="X487" s="1643"/>
      <c r="Y487" s="1643"/>
      <c r="Z487" s="1643"/>
      <c r="AA487" s="1643"/>
      <c r="AB487" s="1643"/>
      <c r="AC487" s="1643"/>
      <c r="AD487" s="1643"/>
      <c r="AE487" s="1643"/>
      <c r="AF487" s="1643"/>
      <c r="AG487" s="1643"/>
      <c r="AH487" s="1643"/>
      <c r="AI487" s="1643"/>
      <c r="AJ487" s="1643"/>
      <c r="AK487" s="1643"/>
      <c r="AL487" s="1643"/>
      <c r="AM487" s="1643"/>
    </row>
    <row r="488" spans="1:39" ht="15.75" customHeight="1" x14ac:dyDescent="0.3">
      <c r="A488" s="1643"/>
      <c r="B488" s="1643"/>
      <c r="C488" s="1643"/>
      <c r="D488" s="1643"/>
      <c r="E488" s="1643"/>
      <c r="F488" s="1643"/>
      <c r="G488" s="1643"/>
      <c r="H488" s="1643"/>
      <c r="I488" s="1643"/>
      <c r="J488" s="1643"/>
      <c r="K488" s="1643"/>
      <c r="L488" s="1643"/>
      <c r="M488" s="1643"/>
      <c r="N488" s="1643"/>
      <c r="O488" s="1643"/>
      <c r="P488" s="1643"/>
      <c r="Q488" s="1643"/>
      <c r="R488" s="1643"/>
      <c r="S488" s="1643"/>
      <c r="T488" s="1643"/>
      <c r="U488" s="1643"/>
      <c r="V488" s="1643"/>
      <c r="W488" s="1643"/>
      <c r="X488" s="1643"/>
      <c r="Y488" s="1643"/>
      <c r="Z488" s="1643"/>
      <c r="AA488" s="1643"/>
      <c r="AB488" s="1643"/>
      <c r="AC488" s="1643"/>
      <c r="AD488" s="1643"/>
      <c r="AE488" s="1643"/>
      <c r="AF488" s="1643"/>
      <c r="AG488" s="1643"/>
      <c r="AH488" s="1643"/>
      <c r="AI488" s="1643"/>
      <c r="AJ488" s="1643"/>
      <c r="AK488" s="1643"/>
      <c r="AL488" s="1643"/>
      <c r="AM488" s="1643"/>
    </row>
    <row r="489" spans="1:39" ht="15.75" customHeight="1" x14ac:dyDescent="0.3">
      <c r="A489" s="1643"/>
      <c r="B489" s="1643"/>
      <c r="C489" s="1643"/>
      <c r="D489" s="1643"/>
      <c r="E489" s="1643"/>
      <c r="F489" s="1643"/>
      <c r="G489" s="1643"/>
      <c r="H489" s="1643"/>
      <c r="I489" s="1643"/>
      <c r="J489" s="1643"/>
      <c r="K489" s="1643"/>
      <c r="L489" s="1643"/>
      <c r="M489" s="1643"/>
      <c r="N489" s="1643"/>
      <c r="O489" s="1643"/>
      <c r="P489" s="1643"/>
      <c r="Q489" s="1643"/>
      <c r="R489" s="1643"/>
      <c r="S489" s="1643"/>
      <c r="T489" s="1643"/>
      <c r="U489" s="1643"/>
      <c r="V489" s="1643"/>
      <c r="W489" s="1643"/>
      <c r="X489" s="1643"/>
      <c r="Y489" s="1643"/>
      <c r="Z489" s="1643"/>
      <c r="AA489" s="1643"/>
      <c r="AB489" s="1643"/>
      <c r="AC489" s="1643"/>
      <c r="AD489" s="1643"/>
      <c r="AE489" s="1643"/>
      <c r="AF489" s="1643"/>
      <c r="AG489" s="1643"/>
      <c r="AH489" s="1643"/>
      <c r="AI489" s="1643"/>
      <c r="AJ489" s="1643"/>
      <c r="AK489" s="1643"/>
      <c r="AL489" s="1643"/>
      <c r="AM489" s="1643"/>
    </row>
    <row r="490" spans="1:39" ht="15.75" customHeight="1" x14ac:dyDescent="0.3">
      <c r="A490" s="1643"/>
      <c r="B490" s="1643"/>
      <c r="C490" s="1643"/>
      <c r="D490" s="1643"/>
      <c r="E490" s="1643"/>
      <c r="F490" s="1643"/>
      <c r="G490" s="1643"/>
      <c r="H490" s="1643"/>
      <c r="I490" s="1643"/>
      <c r="J490" s="1643"/>
      <c r="K490" s="1643"/>
      <c r="L490" s="1643"/>
      <c r="M490" s="1643"/>
      <c r="N490" s="1643"/>
      <c r="O490" s="1643"/>
      <c r="P490" s="1643"/>
      <c r="Q490" s="1643"/>
      <c r="R490" s="1643"/>
      <c r="S490" s="1643"/>
      <c r="T490" s="1643"/>
      <c r="U490" s="1643"/>
      <c r="V490" s="1643"/>
      <c r="W490" s="1643"/>
      <c r="X490" s="1643"/>
      <c r="Y490" s="1643"/>
      <c r="Z490" s="1643"/>
      <c r="AA490" s="1643"/>
      <c r="AB490" s="1643"/>
      <c r="AC490" s="1643"/>
      <c r="AD490" s="1643"/>
      <c r="AE490" s="1643"/>
      <c r="AF490" s="1643"/>
      <c r="AG490" s="1643"/>
      <c r="AH490" s="1643"/>
      <c r="AI490" s="1643"/>
      <c r="AJ490" s="1643"/>
      <c r="AK490" s="1643"/>
      <c r="AL490" s="1643"/>
      <c r="AM490" s="1643"/>
    </row>
    <row r="491" spans="1:39" ht="15.75" customHeight="1" x14ac:dyDescent="0.3">
      <c r="A491" s="1643"/>
      <c r="B491" s="1643"/>
      <c r="C491" s="1643"/>
      <c r="D491" s="1643"/>
      <c r="E491" s="1643"/>
      <c r="F491" s="1643"/>
      <c r="G491" s="1643"/>
      <c r="H491" s="1643"/>
      <c r="I491" s="1643"/>
      <c r="J491" s="1643"/>
      <c r="K491" s="1643"/>
      <c r="L491" s="1643"/>
      <c r="M491" s="1643"/>
      <c r="N491" s="1643"/>
      <c r="O491" s="1643"/>
      <c r="P491" s="1643"/>
      <c r="Q491" s="1643"/>
      <c r="R491" s="1643"/>
      <c r="S491" s="1643"/>
      <c r="T491" s="1643"/>
      <c r="U491" s="1643"/>
      <c r="V491" s="1643"/>
      <c r="W491" s="1643"/>
      <c r="X491" s="1643"/>
      <c r="Y491" s="1643"/>
      <c r="Z491" s="1643"/>
      <c r="AA491" s="1643"/>
      <c r="AB491" s="1643"/>
      <c r="AC491" s="1643"/>
      <c r="AD491" s="1643"/>
      <c r="AE491" s="1643"/>
      <c r="AF491" s="1643"/>
      <c r="AG491" s="1643"/>
      <c r="AH491" s="1643"/>
      <c r="AI491" s="1643"/>
      <c r="AJ491" s="1643"/>
      <c r="AK491" s="1643"/>
      <c r="AL491" s="1643"/>
      <c r="AM491" s="1643"/>
    </row>
    <row r="492" spans="1:39" ht="15.75" customHeight="1" x14ac:dyDescent="0.3">
      <c r="A492" s="1643"/>
      <c r="B492" s="1643"/>
      <c r="C492" s="1643"/>
      <c r="D492" s="1643"/>
      <c r="E492" s="1643"/>
      <c r="F492" s="1643"/>
      <c r="G492" s="1643"/>
      <c r="H492" s="1643"/>
      <c r="I492" s="1643"/>
      <c r="J492" s="1643"/>
      <c r="K492" s="1643"/>
      <c r="L492" s="1643"/>
      <c r="M492" s="1643"/>
      <c r="N492" s="1643"/>
      <c r="O492" s="1643"/>
      <c r="P492" s="1643"/>
      <c r="Q492" s="1643"/>
      <c r="R492" s="1643"/>
      <c r="S492" s="1643"/>
      <c r="T492" s="1643"/>
      <c r="U492" s="1643"/>
      <c r="V492" s="1643"/>
      <c r="W492" s="1643"/>
      <c r="X492" s="1643"/>
      <c r="Y492" s="1643"/>
      <c r="Z492" s="1643"/>
      <c r="AA492" s="1643"/>
      <c r="AB492" s="1643"/>
      <c r="AC492" s="1643"/>
      <c r="AD492" s="1643"/>
      <c r="AE492" s="1643"/>
      <c r="AF492" s="1643"/>
      <c r="AG492" s="1643"/>
      <c r="AH492" s="1643"/>
      <c r="AI492" s="1643"/>
      <c r="AJ492" s="1643"/>
      <c r="AK492" s="1643"/>
      <c r="AL492" s="1643"/>
      <c r="AM492" s="1643"/>
    </row>
    <row r="493" spans="1:39" ht="15.75" customHeight="1" x14ac:dyDescent="0.3">
      <c r="A493" s="1643"/>
      <c r="B493" s="1643"/>
      <c r="C493" s="1643"/>
      <c r="D493" s="1643"/>
      <c r="E493" s="1643"/>
      <c r="F493" s="1643"/>
      <c r="G493" s="1643"/>
      <c r="H493" s="1643"/>
      <c r="I493" s="1643"/>
      <c r="J493" s="1643"/>
      <c r="K493" s="1643"/>
      <c r="L493" s="1643"/>
      <c r="M493" s="1643"/>
      <c r="N493" s="1643"/>
      <c r="O493" s="1643"/>
      <c r="P493" s="1643"/>
      <c r="Q493" s="1643"/>
      <c r="R493" s="1643"/>
      <c r="S493" s="1643"/>
      <c r="T493" s="1643"/>
      <c r="U493" s="1643"/>
      <c r="V493" s="1643"/>
      <c r="W493" s="1643"/>
      <c r="X493" s="1643"/>
      <c r="Y493" s="1643"/>
      <c r="Z493" s="1643"/>
      <c r="AA493" s="1643"/>
      <c r="AB493" s="1643"/>
      <c r="AC493" s="1643"/>
      <c r="AD493" s="1643"/>
      <c r="AE493" s="1643"/>
      <c r="AF493" s="1643"/>
      <c r="AG493" s="1643"/>
      <c r="AH493" s="1643"/>
      <c r="AI493" s="1643"/>
      <c r="AJ493" s="1643"/>
      <c r="AK493" s="1643"/>
      <c r="AL493" s="1643"/>
      <c r="AM493" s="1643"/>
    </row>
    <row r="494" spans="1:39" ht="15.75" customHeight="1" x14ac:dyDescent="0.3">
      <c r="A494" s="1643"/>
      <c r="B494" s="1643"/>
      <c r="C494" s="1643"/>
      <c r="D494" s="1643"/>
      <c r="E494" s="1643"/>
      <c r="F494" s="1643"/>
      <c r="G494" s="1643"/>
      <c r="H494" s="1643"/>
      <c r="I494" s="1643"/>
      <c r="J494" s="1643"/>
      <c r="K494" s="1643"/>
      <c r="L494" s="1643"/>
      <c r="M494" s="1643"/>
      <c r="N494" s="1643"/>
      <c r="O494" s="1643"/>
      <c r="P494" s="1643"/>
      <c r="Q494" s="1643"/>
      <c r="R494" s="1643"/>
      <c r="S494" s="1643"/>
      <c r="T494" s="1643"/>
      <c r="U494" s="1643"/>
      <c r="V494" s="1643"/>
      <c r="W494" s="1643"/>
      <c r="X494" s="1643"/>
      <c r="Y494" s="1643"/>
      <c r="Z494" s="1643"/>
      <c r="AA494" s="1643"/>
      <c r="AB494" s="1643"/>
      <c r="AC494" s="1643"/>
      <c r="AD494" s="1643"/>
      <c r="AE494" s="1643"/>
      <c r="AF494" s="1643"/>
      <c r="AG494" s="1643"/>
      <c r="AH494" s="1643"/>
      <c r="AI494" s="1643"/>
      <c r="AJ494" s="1643"/>
      <c r="AK494" s="1643"/>
      <c r="AL494" s="1643"/>
      <c r="AM494" s="1643"/>
    </row>
    <row r="495" spans="1:39" ht="15.75" customHeight="1" x14ac:dyDescent="0.3">
      <c r="A495" s="1643"/>
      <c r="B495" s="1643"/>
      <c r="C495" s="1643"/>
      <c r="D495" s="1643"/>
      <c r="E495" s="1643"/>
      <c r="F495" s="1643"/>
      <c r="G495" s="1643"/>
      <c r="H495" s="1643"/>
      <c r="I495" s="1643"/>
      <c r="J495" s="1643"/>
      <c r="K495" s="1643"/>
      <c r="L495" s="1643"/>
      <c r="M495" s="1643"/>
      <c r="N495" s="1643"/>
      <c r="O495" s="1643"/>
      <c r="P495" s="1643"/>
      <c r="Q495" s="1643"/>
      <c r="R495" s="1643"/>
      <c r="S495" s="1643"/>
      <c r="T495" s="1643"/>
      <c r="U495" s="1643"/>
      <c r="V495" s="1643"/>
      <c r="W495" s="1643"/>
      <c r="X495" s="1643"/>
      <c r="Y495" s="1643"/>
      <c r="Z495" s="1643"/>
      <c r="AA495" s="1643"/>
      <c r="AB495" s="1643"/>
      <c r="AC495" s="1643"/>
      <c r="AD495" s="1643"/>
      <c r="AE495" s="1643"/>
      <c r="AF495" s="1643"/>
      <c r="AG495" s="1643"/>
      <c r="AH495" s="1643"/>
      <c r="AI495" s="1643"/>
      <c r="AJ495" s="1643"/>
      <c r="AK495" s="1643"/>
      <c r="AL495" s="1643"/>
      <c r="AM495" s="1643"/>
    </row>
    <row r="496" spans="1:39" ht="15.75" customHeight="1" x14ac:dyDescent="0.3">
      <c r="A496" s="1643"/>
      <c r="B496" s="1643"/>
      <c r="C496" s="1643"/>
      <c r="D496" s="1643"/>
      <c r="E496" s="1643"/>
      <c r="F496" s="1643"/>
      <c r="G496" s="1643"/>
      <c r="H496" s="1643"/>
      <c r="I496" s="1643"/>
      <c r="J496" s="1643"/>
      <c r="K496" s="1643"/>
      <c r="L496" s="1643"/>
      <c r="M496" s="1643"/>
      <c r="N496" s="1643"/>
      <c r="O496" s="1643"/>
      <c r="P496" s="1643"/>
      <c r="Q496" s="1643"/>
      <c r="R496" s="1643"/>
      <c r="S496" s="1643"/>
      <c r="T496" s="1643"/>
      <c r="U496" s="1643"/>
      <c r="V496" s="1643"/>
      <c r="W496" s="1643"/>
      <c r="X496" s="1643"/>
      <c r="Y496" s="1643"/>
      <c r="Z496" s="1643"/>
      <c r="AA496" s="1643"/>
      <c r="AB496" s="1643"/>
      <c r="AC496" s="1643"/>
      <c r="AD496" s="1643"/>
      <c r="AE496" s="1643"/>
      <c r="AF496" s="1643"/>
      <c r="AG496" s="1643"/>
      <c r="AH496" s="1643"/>
      <c r="AI496" s="1643"/>
      <c r="AJ496" s="1643"/>
      <c r="AK496" s="1643"/>
      <c r="AL496" s="1643"/>
      <c r="AM496" s="1643"/>
    </row>
    <row r="497" spans="1:39" ht="15.75" customHeight="1" x14ac:dyDescent="0.3">
      <c r="A497" s="1643"/>
      <c r="B497" s="1643"/>
      <c r="C497" s="1643"/>
      <c r="D497" s="1643"/>
      <c r="E497" s="1643"/>
      <c r="F497" s="1643"/>
      <c r="G497" s="1643"/>
      <c r="H497" s="1643"/>
      <c r="I497" s="1643"/>
      <c r="J497" s="1643"/>
      <c r="K497" s="1643"/>
      <c r="L497" s="1643"/>
      <c r="M497" s="1643"/>
      <c r="N497" s="1643"/>
      <c r="O497" s="1643"/>
      <c r="P497" s="1643"/>
      <c r="Q497" s="1643"/>
      <c r="R497" s="1643"/>
      <c r="S497" s="1643"/>
      <c r="T497" s="1643"/>
      <c r="U497" s="1643"/>
      <c r="V497" s="1643"/>
      <c r="W497" s="1643"/>
      <c r="X497" s="1643"/>
      <c r="Y497" s="1643"/>
      <c r="Z497" s="1643"/>
      <c r="AA497" s="1643"/>
      <c r="AB497" s="1643"/>
      <c r="AC497" s="1643"/>
      <c r="AD497" s="1643"/>
      <c r="AE497" s="1643"/>
      <c r="AF497" s="1643"/>
      <c r="AG497" s="1643"/>
      <c r="AH497" s="1643"/>
      <c r="AI497" s="1643"/>
      <c r="AJ497" s="1643"/>
      <c r="AK497" s="1643"/>
      <c r="AL497" s="1643"/>
      <c r="AM497" s="1643"/>
    </row>
    <row r="498" spans="1:39" ht="15.75" customHeight="1" x14ac:dyDescent="0.3">
      <c r="A498" s="1643"/>
      <c r="B498" s="1643"/>
      <c r="C498" s="1643"/>
      <c r="D498" s="1643"/>
      <c r="E498" s="1643"/>
      <c r="F498" s="1643"/>
      <c r="G498" s="1643"/>
      <c r="H498" s="1643"/>
      <c r="I498" s="1643"/>
      <c r="J498" s="1643"/>
      <c r="K498" s="1643"/>
      <c r="L498" s="1643"/>
      <c r="M498" s="1643"/>
      <c r="N498" s="1643"/>
      <c r="O498" s="1643"/>
      <c r="P498" s="1643"/>
      <c r="Q498" s="1643"/>
      <c r="R498" s="1643"/>
      <c r="S498" s="1643"/>
      <c r="T498" s="1643"/>
      <c r="U498" s="1643"/>
      <c r="V498" s="1643"/>
      <c r="W498" s="1643"/>
      <c r="X498" s="1643"/>
      <c r="Y498" s="1643"/>
      <c r="Z498" s="1643"/>
      <c r="AA498" s="1643"/>
      <c r="AB498" s="1643"/>
      <c r="AC498" s="1643"/>
      <c r="AD498" s="1643"/>
      <c r="AE498" s="1643"/>
      <c r="AF498" s="1643"/>
      <c r="AG498" s="1643"/>
      <c r="AH498" s="1643"/>
      <c r="AI498" s="1643"/>
      <c r="AJ498" s="1643"/>
      <c r="AK498" s="1643"/>
      <c r="AL498" s="1643"/>
      <c r="AM498" s="1643"/>
    </row>
    <row r="499" spans="1:39" ht="15.75" customHeight="1" x14ac:dyDescent="0.3">
      <c r="A499" s="1643"/>
      <c r="B499" s="1643"/>
      <c r="C499" s="1643"/>
      <c r="D499" s="1643"/>
      <c r="E499" s="1643"/>
      <c r="F499" s="1643"/>
      <c r="G499" s="1643"/>
      <c r="H499" s="1643"/>
      <c r="I499" s="1643"/>
      <c r="J499" s="1643"/>
      <c r="K499" s="1643"/>
      <c r="L499" s="1643"/>
      <c r="M499" s="1643"/>
      <c r="N499" s="1643"/>
      <c r="O499" s="1643"/>
      <c r="P499" s="1643"/>
      <c r="Q499" s="1643"/>
      <c r="R499" s="1643"/>
      <c r="S499" s="1643"/>
      <c r="T499" s="1643"/>
      <c r="U499" s="1643"/>
      <c r="V499" s="1643"/>
      <c r="W499" s="1643"/>
      <c r="X499" s="1643"/>
      <c r="Y499" s="1643"/>
      <c r="Z499" s="1643"/>
      <c r="AA499" s="1643"/>
      <c r="AB499" s="1643"/>
      <c r="AC499" s="1643"/>
      <c r="AD499" s="1643"/>
      <c r="AE499" s="1643"/>
      <c r="AF499" s="1643"/>
      <c r="AG499" s="1643"/>
      <c r="AH499" s="1643"/>
      <c r="AI499" s="1643"/>
      <c r="AJ499" s="1643"/>
      <c r="AK499" s="1643"/>
      <c r="AL499" s="1643"/>
      <c r="AM499" s="1643"/>
    </row>
    <row r="500" spans="1:39" ht="15.75" customHeight="1" x14ac:dyDescent="0.3">
      <c r="A500" s="1643"/>
      <c r="B500" s="1643"/>
      <c r="C500" s="1643"/>
      <c r="D500" s="1643"/>
      <c r="E500" s="1643"/>
      <c r="F500" s="1643"/>
      <c r="G500" s="1643"/>
      <c r="H500" s="1643"/>
      <c r="I500" s="1643"/>
      <c r="J500" s="1643"/>
      <c r="K500" s="1643"/>
      <c r="L500" s="1643"/>
      <c r="M500" s="1643"/>
      <c r="N500" s="1643"/>
      <c r="O500" s="1643"/>
      <c r="P500" s="1643"/>
      <c r="Q500" s="1643"/>
      <c r="R500" s="1643"/>
      <c r="S500" s="1643"/>
      <c r="T500" s="1643"/>
      <c r="U500" s="1643"/>
      <c r="V500" s="1643"/>
      <c r="W500" s="1643"/>
      <c r="X500" s="1643"/>
      <c r="Y500" s="1643"/>
      <c r="Z500" s="1643"/>
      <c r="AA500" s="1643"/>
      <c r="AB500" s="1643"/>
      <c r="AC500" s="1643"/>
      <c r="AD500" s="1643"/>
      <c r="AE500" s="1643"/>
      <c r="AF500" s="1643"/>
      <c r="AG500" s="1643"/>
      <c r="AH500" s="1643"/>
      <c r="AI500" s="1643"/>
      <c r="AJ500" s="1643"/>
      <c r="AK500" s="1643"/>
      <c r="AL500" s="1643"/>
      <c r="AM500" s="1643"/>
    </row>
    <row r="501" spans="1:39" ht="15.75" customHeight="1" x14ac:dyDescent="0.3">
      <c r="A501" s="1643"/>
      <c r="B501" s="1643"/>
      <c r="C501" s="1643"/>
      <c r="D501" s="1643"/>
      <c r="E501" s="1643"/>
      <c r="F501" s="1643"/>
      <c r="G501" s="1643"/>
      <c r="H501" s="1643"/>
      <c r="I501" s="1643"/>
      <c r="J501" s="1643"/>
      <c r="K501" s="1643"/>
      <c r="L501" s="1643"/>
      <c r="M501" s="1643"/>
      <c r="N501" s="1643"/>
      <c r="O501" s="1643"/>
      <c r="P501" s="1643"/>
      <c r="Q501" s="1643"/>
      <c r="R501" s="1643"/>
      <c r="S501" s="1643"/>
      <c r="T501" s="1643"/>
      <c r="U501" s="1643"/>
      <c r="V501" s="1643"/>
      <c r="W501" s="1643"/>
      <c r="X501" s="1643"/>
      <c r="Y501" s="1643"/>
      <c r="Z501" s="1643"/>
      <c r="AA501" s="1643"/>
      <c r="AB501" s="1643"/>
      <c r="AC501" s="1643"/>
      <c r="AD501" s="1643"/>
      <c r="AE501" s="1643"/>
      <c r="AF501" s="1643"/>
      <c r="AG501" s="1643"/>
      <c r="AH501" s="1643"/>
      <c r="AI501" s="1643"/>
      <c r="AJ501" s="1643"/>
      <c r="AK501" s="1643"/>
      <c r="AL501" s="1643"/>
      <c r="AM501" s="1643"/>
    </row>
    <row r="502" spans="1:39" ht="15.75" customHeight="1" x14ac:dyDescent="0.3">
      <c r="A502" s="1643"/>
      <c r="B502" s="1643"/>
      <c r="C502" s="1643"/>
      <c r="D502" s="1643"/>
      <c r="E502" s="1643"/>
      <c r="F502" s="1643"/>
      <c r="G502" s="1643"/>
      <c r="H502" s="1643"/>
      <c r="I502" s="1643"/>
      <c r="J502" s="1643"/>
      <c r="K502" s="1643"/>
      <c r="L502" s="1643"/>
      <c r="M502" s="1643"/>
      <c r="N502" s="1643"/>
      <c r="O502" s="1643"/>
      <c r="P502" s="1643"/>
      <c r="Q502" s="1643"/>
      <c r="R502" s="1643"/>
      <c r="S502" s="1643"/>
      <c r="T502" s="1643"/>
      <c r="U502" s="1643"/>
      <c r="V502" s="1643"/>
      <c r="W502" s="1643"/>
      <c r="X502" s="1643"/>
      <c r="Y502" s="1643"/>
      <c r="Z502" s="1643"/>
      <c r="AA502" s="1643"/>
      <c r="AB502" s="1643"/>
      <c r="AC502" s="1643"/>
      <c r="AD502" s="1643"/>
      <c r="AE502" s="1643"/>
      <c r="AF502" s="1643"/>
      <c r="AG502" s="1643"/>
      <c r="AH502" s="1643"/>
      <c r="AI502" s="1643"/>
      <c r="AJ502" s="1643"/>
      <c r="AK502" s="1643"/>
      <c r="AL502" s="1643"/>
      <c r="AM502" s="1643"/>
    </row>
    <row r="503" spans="1:39" ht="15.75" customHeight="1" x14ac:dyDescent="0.3">
      <c r="A503" s="1643"/>
      <c r="B503" s="1643"/>
      <c r="C503" s="1643"/>
      <c r="D503" s="1643"/>
      <c r="E503" s="1643"/>
      <c r="F503" s="1643"/>
      <c r="G503" s="1643"/>
      <c r="H503" s="1643"/>
      <c r="I503" s="1643"/>
      <c r="J503" s="1643"/>
      <c r="K503" s="1643"/>
      <c r="L503" s="1643"/>
      <c r="M503" s="1643"/>
      <c r="N503" s="1643"/>
      <c r="O503" s="1643"/>
      <c r="P503" s="1643"/>
      <c r="Q503" s="1643"/>
      <c r="R503" s="1643"/>
      <c r="S503" s="1643"/>
      <c r="T503" s="1643"/>
      <c r="U503" s="1643"/>
      <c r="V503" s="1643"/>
      <c r="W503" s="1643"/>
      <c r="X503" s="1643"/>
      <c r="Y503" s="1643"/>
      <c r="Z503" s="1643"/>
      <c r="AA503" s="1643"/>
      <c r="AB503" s="1643"/>
      <c r="AC503" s="1643"/>
      <c r="AD503" s="1643"/>
      <c r="AE503" s="1643"/>
      <c r="AF503" s="1643"/>
      <c r="AG503" s="1643"/>
      <c r="AH503" s="1643"/>
      <c r="AI503" s="1643"/>
      <c r="AJ503" s="1643"/>
      <c r="AK503" s="1643"/>
      <c r="AL503" s="1643"/>
      <c r="AM503" s="1643"/>
    </row>
    <row r="504" spans="1:39" ht="15.75" customHeight="1" x14ac:dyDescent="0.3">
      <c r="A504" s="1643"/>
      <c r="B504" s="1643"/>
      <c r="C504" s="1643"/>
      <c r="D504" s="1643"/>
      <c r="E504" s="1643"/>
      <c r="F504" s="1643"/>
      <c r="G504" s="1643"/>
      <c r="H504" s="1643"/>
      <c r="I504" s="1643"/>
      <c r="J504" s="1643"/>
      <c r="K504" s="1643"/>
      <c r="L504" s="1643"/>
      <c r="M504" s="1643"/>
      <c r="N504" s="1643"/>
      <c r="O504" s="1643"/>
      <c r="P504" s="1643"/>
      <c r="Q504" s="1643"/>
      <c r="R504" s="1643"/>
      <c r="S504" s="1643"/>
      <c r="T504" s="1643"/>
      <c r="U504" s="1643"/>
      <c r="V504" s="1643"/>
      <c r="W504" s="1643"/>
      <c r="X504" s="1643"/>
      <c r="Y504" s="1643"/>
      <c r="Z504" s="1643"/>
      <c r="AA504" s="1643"/>
      <c r="AB504" s="1643"/>
      <c r="AC504" s="1643"/>
      <c r="AD504" s="1643"/>
      <c r="AE504" s="1643"/>
      <c r="AF504" s="1643"/>
      <c r="AG504" s="1643"/>
      <c r="AH504" s="1643"/>
      <c r="AI504" s="1643"/>
      <c r="AJ504" s="1643"/>
      <c r="AK504" s="1643"/>
      <c r="AL504" s="1643"/>
      <c r="AM504" s="1643"/>
    </row>
    <row r="505" spans="1:39" ht="15.75" customHeight="1" x14ac:dyDescent="0.3">
      <c r="A505" s="1643"/>
      <c r="B505" s="1643"/>
      <c r="C505" s="1643"/>
      <c r="D505" s="1643"/>
      <c r="E505" s="1643"/>
      <c r="F505" s="1643"/>
      <c r="G505" s="1643"/>
      <c r="H505" s="1643"/>
      <c r="I505" s="1643"/>
      <c r="J505" s="1643"/>
      <c r="K505" s="1643"/>
      <c r="L505" s="1643"/>
      <c r="M505" s="1643"/>
      <c r="N505" s="1643"/>
      <c r="O505" s="1643"/>
      <c r="P505" s="1643"/>
      <c r="Q505" s="1643"/>
      <c r="R505" s="1643"/>
      <c r="S505" s="1643"/>
      <c r="T505" s="1643"/>
      <c r="U505" s="1643"/>
      <c r="V505" s="1643"/>
      <c r="W505" s="1643"/>
      <c r="X505" s="1643"/>
      <c r="Y505" s="1643"/>
      <c r="Z505" s="1643"/>
      <c r="AA505" s="1643"/>
      <c r="AB505" s="1643"/>
      <c r="AC505" s="1643"/>
      <c r="AD505" s="1643"/>
      <c r="AE505" s="1643"/>
      <c r="AF505" s="1643"/>
      <c r="AG505" s="1643"/>
      <c r="AH505" s="1643"/>
      <c r="AI505" s="1643"/>
      <c r="AJ505" s="1643"/>
      <c r="AK505" s="1643"/>
      <c r="AL505" s="1643"/>
      <c r="AM505" s="1643"/>
    </row>
    <row r="506" spans="1:39" ht="15.75" customHeight="1" x14ac:dyDescent="0.3">
      <c r="A506" s="1643"/>
      <c r="B506" s="1643"/>
      <c r="C506" s="1643"/>
      <c r="D506" s="1643"/>
      <c r="E506" s="1643"/>
      <c r="F506" s="1643"/>
      <c r="G506" s="1643"/>
      <c r="H506" s="1643"/>
      <c r="I506" s="1643"/>
      <c r="J506" s="1643"/>
      <c r="K506" s="1643"/>
      <c r="L506" s="1643"/>
      <c r="M506" s="1643"/>
      <c r="N506" s="1643"/>
      <c r="O506" s="1643"/>
      <c r="P506" s="1643"/>
      <c r="Q506" s="1643"/>
      <c r="R506" s="1643"/>
      <c r="S506" s="1643"/>
      <c r="T506" s="1643"/>
      <c r="U506" s="1643"/>
      <c r="V506" s="1643"/>
      <c r="W506" s="1643"/>
      <c r="X506" s="1643"/>
      <c r="Y506" s="1643"/>
      <c r="Z506" s="1643"/>
      <c r="AA506" s="1643"/>
      <c r="AB506" s="1643"/>
      <c r="AC506" s="1643"/>
      <c r="AD506" s="1643"/>
      <c r="AE506" s="1643"/>
      <c r="AF506" s="1643"/>
      <c r="AG506" s="1643"/>
      <c r="AH506" s="1643"/>
      <c r="AI506" s="1643"/>
      <c r="AJ506" s="1643"/>
      <c r="AK506" s="1643"/>
      <c r="AL506" s="1643"/>
      <c r="AM506" s="1643"/>
    </row>
    <row r="507" spans="1:39" ht="15.75" customHeight="1" x14ac:dyDescent="0.3">
      <c r="A507" s="1643"/>
      <c r="B507" s="1643"/>
      <c r="C507" s="1643"/>
      <c r="D507" s="1643"/>
      <c r="E507" s="1643"/>
      <c r="F507" s="1643"/>
      <c r="G507" s="1643"/>
      <c r="H507" s="1643"/>
      <c r="I507" s="1643"/>
      <c r="J507" s="1643"/>
      <c r="K507" s="1643"/>
      <c r="L507" s="1643"/>
      <c r="M507" s="1643"/>
      <c r="N507" s="1643"/>
      <c r="O507" s="1643"/>
      <c r="P507" s="1643"/>
      <c r="Q507" s="1643"/>
      <c r="R507" s="1643"/>
      <c r="S507" s="1643"/>
      <c r="T507" s="1643"/>
      <c r="U507" s="1643"/>
      <c r="V507" s="1643"/>
      <c r="W507" s="1643"/>
      <c r="X507" s="1643"/>
      <c r="Y507" s="1643"/>
      <c r="Z507" s="1643"/>
      <c r="AA507" s="1643"/>
      <c r="AB507" s="1643"/>
      <c r="AC507" s="1643"/>
      <c r="AD507" s="1643"/>
      <c r="AE507" s="1643"/>
      <c r="AF507" s="1643"/>
      <c r="AG507" s="1643"/>
      <c r="AH507" s="1643"/>
      <c r="AI507" s="1643"/>
      <c r="AJ507" s="1643"/>
      <c r="AK507" s="1643"/>
      <c r="AL507" s="1643"/>
      <c r="AM507" s="1643"/>
    </row>
    <row r="508" spans="1:39" ht="15.75" customHeight="1" x14ac:dyDescent="0.3">
      <c r="A508" s="1643"/>
      <c r="B508" s="1643"/>
      <c r="C508" s="1643"/>
      <c r="D508" s="1643"/>
      <c r="E508" s="1643"/>
      <c r="F508" s="1643"/>
      <c r="G508" s="1643"/>
      <c r="H508" s="1643"/>
      <c r="I508" s="1643"/>
      <c r="J508" s="1643"/>
      <c r="K508" s="1643"/>
      <c r="L508" s="1643"/>
      <c r="M508" s="1643"/>
      <c r="N508" s="1643"/>
      <c r="O508" s="1643"/>
      <c r="P508" s="1643"/>
      <c r="Q508" s="1643"/>
      <c r="R508" s="1643"/>
      <c r="S508" s="1643"/>
      <c r="T508" s="1643"/>
      <c r="U508" s="1643"/>
      <c r="V508" s="1643"/>
      <c r="W508" s="1643"/>
      <c r="X508" s="1643"/>
      <c r="Y508" s="1643"/>
      <c r="Z508" s="1643"/>
      <c r="AA508" s="1643"/>
      <c r="AB508" s="1643"/>
      <c r="AC508" s="1643"/>
      <c r="AD508" s="1643"/>
      <c r="AE508" s="1643"/>
      <c r="AF508" s="1643"/>
      <c r="AG508" s="1643"/>
      <c r="AH508" s="1643"/>
      <c r="AI508" s="1643"/>
      <c r="AJ508" s="1643"/>
      <c r="AK508" s="1643"/>
      <c r="AL508" s="1643"/>
      <c r="AM508" s="1643"/>
    </row>
    <row r="509" spans="1:39" ht="15.75" customHeight="1" x14ac:dyDescent="0.3">
      <c r="A509" s="1643"/>
      <c r="B509" s="1643"/>
      <c r="C509" s="1643"/>
      <c r="D509" s="1643"/>
      <c r="E509" s="1643"/>
      <c r="F509" s="1643"/>
      <c r="G509" s="1643"/>
      <c r="H509" s="1643"/>
      <c r="I509" s="1643"/>
      <c r="J509" s="1643"/>
      <c r="K509" s="1643"/>
      <c r="L509" s="1643"/>
      <c r="M509" s="1643"/>
      <c r="N509" s="1643"/>
      <c r="O509" s="1643"/>
      <c r="P509" s="1643"/>
      <c r="Q509" s="1643"/>
      <c r="R509" s="1643"/>
      <c r="S509" s="1643"/>
      <c r="T509" s="1643"/>
      <c r="U509" s="1643"/>
      <c r="V509" s="1643"/>
      <c r="W509" s="1643"/>
      <c r="X509" s="1643"/>
      <c r="Y509" s="1643"/>
      <c r="Z509" s="1643"/>
      <c r="AA509" s="1643"/>
      <c r="AB509" s="1643"/>
      <c r="AC509" s="1643"/>
      <c r="AD509" s="1643"/>
      <c r="AE509" s="1643"/>
      <c r="AF509" s="1643"/>
      <c r="AG509" s="1643"/>
      <c r="AH509" s="1643"/>
      <c r="AI509" s="1643"/>
      <c r="AJ509" s="1643"/>
      <c r="AK509" s="1643"/>
      <c r="AL509" s="1643"/>
      <c r="AM509" s="1643"/>
    </row>
    <row r="510" spans="1:39" ht="15.75" customHeight="1" x14ac:dyDescent="0.3">
      <c r="A510" s="1643"/>
      <c r="B510" s="1643"/>
      <c r="C510" s="1643"/>
      <c r="D510" s="1643"/>
      <c r="E510" s="1643"/>
      <c r="F510" s="1643"/>
      <c r="G510" s="1643"/>
      <c r="H510" s="1643"/>
      <c r="I510" s="1643"/>
      <c r="J510" s="1643"/>
      <c r="K510" s="1643"/>
      <c r="L510" s="1643"/>
      <c r="M510" s="1643"/>
      <c r="N510" s="1643"/>
      <c r="O510" s="1643"/>
      <c r="P510" s="1643"/>
      <c r="Q510" s="1643"/>
      <c r="R510" s="1643"/>
      <c r="S510" s="1643"/>
      <c r="T510" s="1643"/>
      <c r="U510" s="1643"/>
      <c r="V510" s="1643"/>
      <c r="W510" s="1643"/>
      <c r="X510" s="1643"/>
      <c r="Y510" s="1643"/>
      <c r="Z510" s="1643"/>
      <c r="AA510" s="1643"/>
      <c r="AB510" s="1643"/>
      <c r="AC510" s="1643"/>
      <c r="AD510" s="1643"/>
      <c r="AE510" s="1643"/>
      <c r="AF510" s="1643"/>
      <c r="AG510" s="1643"/>
      <c r="AH510" s="1643"/>
      <c r="AI510" s="1643"/>
      <c r="AJ510" s="1643"/>
      <c r="AK510" s="1643"/>
      <c r="AL510" s="1643"/>
      <c r="AM510" s="1643"/>
    </row>
    <row r="511" spans="1:39" ht="15.75" customHeight="1" x14ac:dyDescent="0.3">
      <c r="A511" s="1643"/>
      <c r="B511" s="1643"/>
      <c r="C511" s="1643"/>
      <c r="D511" s="1643"/>
      <c r="E511" s="1643"/>
      <c r="F511" s="1643"/>
      <c r="G511" s="1643"/>
      <c r="H511" s="1643"/>
      <c r="I511" s="1643"/>
      <c r="J511" s="1643"/>
      <c r="K511" s="1643"/>
      <c r="L511" s="1643"/>
      <c r="M511" s="1643"/>
      <c r="N511" s="1643"/>
      <c r="O511" s="1643"/>
      <c r="P511" s="1643"/>
      <c r="Q511" s="1643"/>
      <c r="R511" s="1643"/>
      <c r="S511" s="1643"/>
      <c r="T511" s="1643"/>
      <c r="U511" s="1643"/>
      <c r="V511" s="1643"/>
      <c r="W511" s="1643"/>
      <c r="X511" s="1643"/>
      <c r="Y511" s="1643"/>
      <c r="Z511" s="1643"/>
      <c r="AA511" s="1643"/>
      <c r="AB511" s="1643"/>
      <c r="AC511" s="1643"/>
      <c r="AD511" s="1643"/>
      <c r="AE511" s="1643"/>
      <c r="AF511" s="1643"/>
      <c r="AG511" s="1643"/>
      <c r="AH511" s="1643"/>
      <c r="AI511" s="1643"/>
      <c r="AJ511" s="1643"/>
      <c r="AK511" s="1643"/>
      <c r="AL511" s="1643"/>
      <c r="AM511" s="1643"/>
    </row>
    <row r="512" spans="1:39" ht="15.75" customHeight="1" x14ac:dyDescent="0.3">
      <c r="A512" s="1643"/>
      <c r="B512" s="1643"/>
      <c r="C512" s="1643"/>
      <c r="D512" s="1643"/>
      <c r="E512" s="1643"/>
      <c r="F512" s="1643"/>
      <c r="G512" s="1643"/>
      <c r="H512" s="1643"/>
      <c r="I512" s="1643"/>
      <c r="J512" s="1643"/>
      <c r="K512" s="1643"/>
      <c r="L512" s="1643"/>
      <c r="M512" s="1643"/>
      <c r="N512" s="1643"/>
      <c r="O512" s="1643"/>
      <c r="P512" s="1643"/>
      <c r="Q512" s="1643"/>
      <c r="R512" s="1643"/>
      <c r="S512" s="1643"/>
      <c r="T512" s="1643"/>
      <c r="U512" s="1643"/>
      <c r="V512" s="1643"/>
      <c r="W512" s="1643"/>
      <c r="X512" s="1643"/>
      <c r="Y512" s="1643"/>
      <c r="Z512" s="1643"/>
      <c r="AA512" s="1643"/>
      <c r="AB512" s="1643"/>
      <c r="AC512" s="1643"/>
      <c r="AD512" s="1643"/>
      <c r="AE512" s="1643"/>
      <c r="AF512" s="1643"/>
      <c r="AG512" s="1643"/>
      <c r="AH512" s="1643"/>
      <c r="AI512" s="1643"/>
      <c r="AJ512" s="1643"/>
      <c r="AK512" s="1643"/>
      <c r="AL512" s="1643"/>
      <c r="AM512" s="1643"/>
    </row>
    <row r="513" spans="1:39" ht="15.75" customHeight="1" x14ac:dyDescent="0.3">
      <c r="A513" s="1643"/>
      <c r="B513" s="1643"/>
      <c r="C513" s="1643"/>
      <c r="D513" s="1643"/>
      <c r="E513" s="1643"/>
      <c r="F513" s="1643"/>
      <c r="G513" s="1643"/>
      <c r="H513" s="1643"/>
      <c r="I513" s="1643"/>
      <c r="J513" s="1643"/>
      <c r="K513" s="1643"/>
      <c r="L513" s="1643"/>
      <c r="M513" s="1643"/>
      <c r="N513" s="1643"/>
      <c r="O513" s="1643"/>
      <c r="P513" s="1643"/>
      <c r="Q513" s="1643"/>
      <c r="R513" s="1643"/>
      <c r="S513" s="1643"/>
      <c r="T513" s="1643"/>
      <c r="U513" s="1643"/>
      <c r="V513" s="1643"/>
      <c r="W513" s="1643"/>
      <c r="X513" s="1643"/>
      <c r="Y513" s="1643"/>
      <c r="Z513" s="1643"/>
      <c r="AA513" s="1643"/>
      <c r="AB513" s="1643"/>
      <c r="AC513" s="1643"/>
      <c r="AD513" s="1643"/>
      <c r="AE513" s="1643"/>
      <c r="AF513" s="1643"/>
      <c r="AG513" s="1643"/>
      <c r="AH513" s="1643"/>
      <c r="AI513" s="1643"/>
      <c r="AJ513" s="1643"/>
      <c r="AK513" s="1643"/>
      <c r="AL513" s="1643"/>
      <c r="AM513" s="1643"/>
    </row>
    <row r="514" spans="1:39" ht="15.75" customHeight="1" x14ac:dyDescent="0.3">
      <c r="A514" s="1643"/>
      <c r="B514" s="1643"/>
      <c r="C514" s="1643"/>
      <c r="D514" s="1643"/>
      <c r="E514" s="1643"/>
      <c r="F514" s="1643"/>
      <c r="G514" s="1643"/>
      <c r="H514" s="1643"/>
      <c r="I514" s="1643"/>
      <c r="J514" s="1643"/>
      <c r="K514" s="1643"/>
      <c r="L514" s="1643"/>
      <c r="M514" s="1643"/>
      <c r="N514" s="1643"/>
      <c r="O514" s="1643"/>
      <c r="P514" s="1643"/>
      <c r="Q514" s="1643"/>
      <c r="R514" s="1643"/>
      <c r="S514" s="1643"/>
      <c r="T514" s="1643"/>
      <c r="U514" s="1643"/>
      <c r="V514" s="1643"/>
      <c r="W514" s="1643"/>
      <c r="X514" s="1643"/>
      <c r="Y514" s="1643"/>
      <c r="Z514" s="1643"/>
      <c r="AA514" s="1643"/>
      <c r="AB514" s="1643"/>
      <c r="AC514" s="1643"/>
      <c r="AD514" s="1643"/>
      <c r="AE514" s="1643"/>
      <c r="AF514" s="1643"/>
      <c r="AG514" s="1643"/>
      <c r="AH514" s="1643"/>
      <c r="AI514" s="1643"/>
      <c r="AJ514" s="1643"/>
      <c r="AK514" s="1643"/>
      <c r="AL514" s="1643"/>
      <c r="AM514" s="1643"/>
    </row>
    <row r="515" spans="1:39" ht="15.75" customHeight="1" x14ac:dyDescent="0.3">
      <c r="A515" s="1643"/>
      <c r="B515" s="1643"/>
      <c r="C515" s="1643"/>
      <c r="D515" s="1643"/>
      <c r="E515" s="1643"/>
      <c r="F515" s="1643"/>
      <c r="G515" s="1643"/>
      <c r="H515" s="1643"/>
      <c r="I515" s="1643"/>
      <c r="J515" s="1643"/>
      <c r="K515" s="1643"/>
      <c r="L515" s="1643"/>
      <c r="M515" s="1643"/>
      <c r="N515" s="1643"/>
      <c r="O515" s="1643"/>
      <c r="P515" s="1643"/>
      <c r="Q515" s="1643"/>
      <c r="R515" s="1643"/>
      <c r="S515" s="1643"/>
      <c r="T515" s="1643"/>
      <c r="U515" s="1643"/>
      <c r="V515" s="1643"/>
      <c r="W515" s="1643"/>
      <c r="X515" s="1643"/>
      <c r="Y515" s="1643"/>
      <c r="Z515" s="1643"/>
      <c r="AA515" s="1643"/>
      <c r="AB515" s="1643"/>
      <c r="AC515" s="1643"/>
      <c r="AD515" s="1643"/>
      <c r="AE515" s="1643"/>
      <c r="AF515" s="1643"/>
      <c r="AG515" s="1643"/>
      <c r="AH515" s="1643"/>
      <c r="AI515" s="1643"/>
      <c r="AJ515" s="1643"/>
      <c r="AK515" s="1643"/>
      <c r="AL515" s="1643"/>
      <c r="AM515" s="1643"/>
    </row>
    <row r="516" spans="1:39" ht="15.75" customHeight="1" x14ac:dyDescent="0.3">
      <c r="A516" s="1643"/>
      <c r="B516" s="1643"/>
      <c r="C516" s="1643"/>
      <c r="D516" s="1643"/>
      <c r="E516" s="1643"/>
      <c r="F516" s="1643"/>
      <c r="G516" s="1643"/>
      <c r="H516" s="1643"/>
      <c r="I516" s="1643"/>
      <c r="J516" s="1643"/>
      <c r="K516" s="1643"/>
      <c r="L516" s="1643"/>
      <c r="M516" s="1643"/>
      <c r="N516" s="1643"/>
      <c r="O516" s="1643"/>
      <c r="P516" s="1643"/>
      <c r="Q516" s="1643"/>
      <c r="R516" s="1643"/>
      <c r="S516" s="1643"/>
      <c r="T516" s="1643"/>
      <c r="U516" s="1643"/>
      <c r="V516" s="1643"/>
      <c r="W516" s="1643"/>
      <c r="X516" s="1643"/>
      <c r="Y516" s="1643"/>
      <c r="Z516" s="1643"/>
      <c r="AA516" s="1643"/>
      <c r="AB516" s="1643"/>
      <c r="AC516" s="1643"/>
      <c r="AD516" s="1643"/>
      <c r="AE516" s="1643"/>
      <c r="AF516" s="1643"/>
      <c r="AG516" s="1643"/>
      <c r="AH516" s="1643"/>
      <c r="AI516" s="1643"/>
      <c r="AJ516" s="1643"/>
      <c r="AK516" s="1643"/>
      <c r="AL516" s="1643"/>
      <c r="AM516" s="1643"/>
    </row>
    <row r="517" spans="1:39" ht="15.75" customHeight="1" x14ac:dyDescent="0.3">
      <c r="A517" s="1643"/>
      <c r="B517" s="1643"/>
      <c r="C517" s="1643"/>
      <c r="D517" s="1643"/>
      <c r="E517" s="1643"/>
      <c r="F517" s="1643"/>
      <c r="G517" s="1643"/>
      <c r="H517" s="1643"/>
      <c r="I517" s="1643"/>
      <c r="J517" s="1643"/>
      <c r="K517" s="1643"/>
      <c r="L517" s="1643"/>
      <c r="M517" s="1643"/>
      <c r="N517" s="1643"/>
      <c r="O517" s="1643"/>
      <c r="P517" s="1643"/>
      <c r="Q517" s="1643"/>
      <c r="R517" s="1643"/>
      <c r="S517" s="1643"/>
      <c r="T517" s="1643"/>
      <c r="U517" s="1643"/>
      <c r="V517" s="1643"/>
      <c r="W517" s="1643"/>
      <c r="X517" s="1643"/>
      <c r="Y517" s="1643"/>
      <c r="Z517" s="1643"/>
      <c r="AA517" s="1643"/>
      <c r="AB517" s="1643"/>
      <c r="AC517" s="1643"/>
      <c r="AD517" s="1643"/>
      <c r="AE517" s="1643"/>
      <c r="AF517" s="1643"/>
      <c r="AG517" s="1643"/>
      <c r="AH517" s="1643"/>
      <c r="AI517" s="1643"/>
      <c r="AJ517" s="1643"/>
      <c r="AK517" s="1643"/>
      <c r="AL517" s="1643"/>
      <c r="AM517" s="1643"/>
    </row>
    <row r="518" spans="1:39" ht="15.75" customHeight="1" x14ac:dyDescent="0.3">
      <c r="A518" s="1643"/>
      <c r="B518" s="1643"/>
      <c r="C518" s="1643"/>
      <c r="D518" s="1643"/>
      <c r="E518" s="1643"/>
      <c r="F518" s="1643"/>
      <c r="G518" s="1643"/>
      <c r="H518" s="1643"/>
      <c r="I518" s="1643"/>
      <c r="J518" s="1643"/>
      <c r="K518" s="1643"/>
      <c r="L518" s="1643"/>
      <c r="M518" s="1643"/>
      <c r="N518" s="1643"/>
      <c r="O518" s="1643"/>
      <c r="P518" s="1643"/>
      <c r="Q518" s="1643"/>
      <c r="R518" s="1643"/>
      <c r="S518" s="1643"/>
      <c r="T518" s="1643"/>
      <c r="U518" s="1643"/>
      <c r="V518" s="1643"/>
      <c r="W518" s="1643"/>
      <c r="X518" s="1643"/>
      <c r="Y518" s="1643"/>
      <c r="Z518" s="1643"/>
      <c r="AA518" s="1643"/>
      <c r="AB518" s="1643"/>
      <c r="AC518" s="1643"/>
      <c r="AD518" s="1643"/>
      <c r="AE518" s="1643"/>
      <c r="AF518" s="1643"/>
      <c r="AG518" s="1643"/>
      <c r="AH518" s="1643"/>
      <c r="AI518" s="1643"/>
      <c r="AJ518" s="1643"/>
      <c r="AK518" s="1643"/>
      <c r="AL518" s="1643"/>
      <c r="AM518" s="1643"/>
    </row>
    <row r="519" spans="1:39" ht="15.75" customHeight="1" x14ac:dyDescent="0.3">
      <c r="A519" s="1643"/>
      <c r="B519" s="1643"/>
      <c r="C519" s="1643"/>
      <c r="D519" s="1643"/>
      <c r="E519" s="1643"/>
      <c r="F519" s="1643"/>
      <c r="G519" s="1643"/>
      <c r="H519" s="1643"/>
      <c r="I519" s="1643"/>
      <c r="J519" s="1643"/>
      <c r="K519" s="1643"/>
      <c r="L519" s="1643"/>
      <c r="M519" s="1643"/>
      <c r="N519" s="1643"/>
      <c r="O519" s="1643"/>
      <c r="P519" s="1643"/>
      <c r="Q519" s="1643"/>
      <c r="R519" s="1643"/>
      <c r="S519" s="1643"/>
      <c r="T519" s="1643"/>
      <c r="U519" s="1643"/>
      <c r="V519" s="1643"/>
      <c r="W519" s="1643"/>
      <c r="X519" s="1643"/>
      <c r="Y519" s="1643"/>
      <c r="Z519" s="1643"/>
      <c r="AA519" s="1643"/>
      <c r="AB519" s="1643"/>
      <c r="AC519" s="1643"/>
      <c r="AD519" s="1643"/>
      <c r="AE519" s="1643"/>
      <c r="AF519" s="1643"/>
      <c r="AG519" s="1643"/>
      <c r="AH519" s="1643"/>
      <c r="AI519" s="1643"/>
      <c r="AJ519" s="1643"/>
      <c r="AK519" s="1643"/>
      <c r="AL519" s="1643"/>
      <c r="AM519" s="1643"/>
    </row>
    <row r="520" spans="1:39" ht="15.75" customHeight="1" x14ac:dyDescent="0.3">
      <c r="A520" s="1643"/>
      <c r="B520" s="1643"/>
      <c r="C520" s="1643"/>
      <c r="D520" s="1643"/>
      <c r="E520" s="1643"/>
      <c r="F520" s="1643"/>
      <c r="G520" s="1643"/>
      <c r="H520" s="1643"/>
      <c r="I520" s="1643"/>
      <c r="J520" s="1643"/>
      <c r="K520" s="1643"/>
      <c r="L520" s="1643"/>
      <c r="M520" s="1643"/>
      <c r="N520" s="1643"/>
      <c r="O520" s="1643"/>
      <c r="P520" s="1643"/>
      <c r="Q520" s="1643"/>
      <c r="R520" s="1643"/>
      <c r="S520" s="1643"/>
      <c r="T520" s="1643"/>
      <c r="U520" s="1643"/>
      <c r="V520" s="1643"/>
      <c r="W520" s="1643"/>
      <c r="X520" s="1643"/>
      <c r="Y520" s="1643"/>
      <c r="Z520" s="1643"/>
      <c r="AA520" s="1643"/>
      <c r="AB520" s="1643"/>
      <c r="AC520" s="1643"/>
      <c r="AD520" s="1643"/>
      <c r="AE520" s="1643"/>
      <c r="AF520" s="1643"/>
      <c r="AG520" s="1643"/>
      <c r="AH520" s="1643"/>
      <c r="AI520" s="1643"/>
      <c r="AJ520" s="1643"/>
      <c r="AK520" s="1643"/>
      <c r="AL520" s="1643"/>
      <c r="AM520" s="1643"/>
    </row>
    <row r="521" spans="1:39" ht="15.75" customHeight="1" x14ac:dyDescent="0.3">
      <c r="A521" s="1643"/>
      <c r="B521" s="1643"/>
      <c r="C521" s="1643"/>
      <c r="D521" s="1643"/>
      <c r="E521" s="1643"/>
      <c r="F521" s="1643"/>
      <c r="G521" s="1643"/>
      <c r="H521" s="1643"/>
      <c r="I521" s="1643"/>
      <c r="J521" s="1643"/>
      <c r="K521" s="1643"/>
      <c r="L521" s="1643"/>
      <c r="M521" s="1643"/>
      <c r="N521" s="1643"/>
      <c r="O521" s="1643"/>
      <c r="P521" s="1643"/>
      <c r="Q521" s="1643"/>
      <c r="R521" s="1643"/>
      <c r="S521" s="1643"/>
      <c r="T521" s="1643"/>
      <c r="U521" s="1643"/>
      <c r="V521" s="1643"/>
      <c r="W521" s="1643"/>
      <c r="X521" s="1643"/>
      <c r="Y521" s="1643"/>
      <c r="Z521" s="1643"/>
      <c r="AA521" s="1643"/>
      <c r="AB521" s="1643"/>
      <c r="AC521" s="1643"/>
      <c r="AD521" s="1643"/>
      <c r="AE521" s="1643"/>
      <c r="AF521" s="1643"/>
      <c r="AG521" s="1643"/>
      <c r="AH521" s="1643"/>
      <c r="AI521" s="1643"/>
      <c r="AJ521" s="1643"/>
      <c r="AK521" s="1643"/>
      <c r="AL521" s="1643"/>
      <c r="AM521" s="1643"/>
    </row>
    <row r="522" spans="1:39" ht="15.75" customHeight="1" x14ac:dyDescent="0.3">
      <c r="A522" s="1643"/>
      <c r="B522" s="1643"/>
      <c r="C522" s="1643"/>
      <c r="D522" s="1643"/>
      <c r="E522" s="1643"/>
      <c r="F522" s="1643"/>
      <c r="G522" s="1643"/>
      <c r="H522" s="1643"/>
      <c r="I522" s="1643"/>
      <c r="J522" s="1643"/>
      <c r="K522" s="1643"/>
      <c r="L522" s="1643"/>
      <c r="M522" s="1643"/>
      <c r="N522" s="1643"/>
      <c r="O522" s="1643"/>
      <c r="P522" s="1643"/>
      <c r="Q522" s="1643"/>
      <c r="R522" s="1643"/>
      <c r="S522" s="1643"/>
      <c r="T522" s="1643"/>
      <c r="U522" s="1643"/>
      <c r="V522" s="1643"/>
      <c r="W522" s="1643"/>
      <c r="X522" s="1643"/>
      <c r="Y522" s="1643"/>
      <c r="Z522" s="1643"/>
      <c r="AA522" s="1643"/>
      <c r="AB522" s="1643"/>
      <c r="AC522" s="1643"/>
      <c r="AD522" s="1643"/>
      <c r="AE522" s="1643"/>
      <c r="AF522" s="1643"/>
      <c r="AG522" s="1643"/>
      <c r="AH522" s="1643"/>
      <c r="AI522" s="1643"/>
      <c r="AJ522" s="1643"/>
      <c r="AK522" s="1643"/>
      <c r="AL522" s="1643"/>
      <c r="AM522" s="1643"/>
    </row>
    <row r="523" spans="1:39" ht="15.75" customHeight="1" x14ac:dyDescent="0.3">
      <c r="A523" s="1643"/>
      <c r="B523" s="1643"/>
      <c r="C523" s="1643"/>
      <c r="D523" s="1643"/>
      <c r="E523" s="1643"/>
      <c r="F523" s="1643"/>
      <c r="G523" s="1643"/>
      <c r="H523" s="1643"/>
      <c r="I523" s="1643"/>
      <c r="J523" s="1643"/>
      <c r="K523" s="1643"/>
      <c r="L523" s="1643"/>
      <c r="M523" s="1643"/>
      <c r="N523" s="1643"/>
      <c r="O523" s="1643"/>
      <c r="P523" s="1643"/>
      <c r="Q523" s="1643"/>
      <c r="R523" s="1643"/>
      <c r="S523" s="1643"/>
      <c r="T523" s="1643"/>
      <c r="U523" s="1643"/>
      <c r="V523" s="1643"/>
      <c r="W523" s="1643"/>
      <c r="X523" s="1643"/>
      <c r="Y523" s="1643"/>
      <c r="Z523" s="1643"/>
      <c r="AA523" s="1643"/>
      <c r="AB523" s="1643"/>
      <c r="AC523" s="1643"/>
      <c r="AD523" s="1643"/>
      <c r="AE523" s="1643"/>
      <c r="AF523" s="1643"/>
      <c r="AG523" s="1643"/>
      <c r="AH523" s="1643"/>
      <c r="AI523" s="1643"/>
      <c r="AJ523" s="1643"/>
      <c r="AK523" s="1643"/>
      <c r="AL523" s="1643"/>
      <c r="AM523" s="1643"/>
    </row>
    <row r="524" spans="1:39" ht="15.75" customHeight="1" x14ac:dyDescent="0.3">
      <c r="A524" s="1643"/>
      <c r="B524" s="1643"/>
      <c r="C524" s="1643"/>
      <c r="D524" s="1643"/>
      <c r="E524" s="1643"/>
      <c r="F524" s="1643"/>
      <c r="G524" s="1643"/>
      <c r="H524" s="1643"/>
      <c r="I524" s="1643"/>
      <c r="J524" s="1643"/>
      <c r="K524" s="1643"/>
      <c r="L524" s="1643"/>
      <c r="M524" s="1643"/>
      <c r="N524" s="1643"/>
      <c r="O524" s="1643"/>
      <c r="P524" s="1643"/>
      <c r="Q524" s="1643"/>
      <c r="R524" s="1643"/>
      <c r="S524" s="1643"/>
      <c r="T524" s="1643"/>
      <c r="U524" s="1643"/>
      <c r="V524" s="1643"/>
      <c r="W524" s="1643"/>
      <c r="X524" s="1643"/>
      <c r="Y524" s="1643"/>
      <c r="Z524" s="1643"/>
      <c r="AA524" s="1643"/>
      <c r="AB524" s="1643"/>
      <c r="AC524" s="1643"/>
      <c r="AD524" s="1643"/>
      <c r="AE524" s="1643"/>
      <c r="AF524" s="1643"/>
      <c r="AG524" s="1643"/>
      <c r="AH524" s="1643"/>
      <c r="AI524" s="1643"/>
      <c r="AJ524" s="1643"/>
      <c r="AK524" s="1643"/>
      <c r="AL524" s="1643"/>
      <c r="AM524" s="1643"/>
    </row>
    <row r="525" spans="1:39" ht="15.75" customHeight="1" x14ac:dyDescent="0.3">
      <c r="A525" s="1643"/>
      <c r="B525" s="1643"/>
      <c r="C525" s="1643"/>
      <c r="D525" s="1643"/>
      <c r="E525" s="1643"/>
      <c r="F525" s="1643"/>
      <c r="G525" s="1643"/>
      <c r="H525" s="1643"/>
      <c r="I525" s="1643"/>
      <c r="J525" s="1643"/>
      <c r="K525" s="1643"/>
      <c r="L525" s="1643"/>
      <c r="M525" s="1643"/>
      <c r="N525" s="1643"/>
      <c r="O525" s="1643"/>
      <c r="P525" s="1643"/>
      <c r="Q525" s="1643"/>
      <c r="R525" s="1643"/>
      <c r="S525" s="1643"/>
      <c r="T525" s="1643"/>
      <c r="U525" s="1643"/>
      <c r="V525" s="1643"/>
      <c r="W525" s="1643"/>
      <c r="X525" s="1643"/>
      <c r="Y525" s="1643"/>
      <c r="Z525" s="1643"/>
      <c r="AA525" s="1643"/>
      <c r="AB525" s="1643"/>
      <c r="AC525" s="1643"/>
      <c r="AD525" s="1643"/>
      <c r="AE525" s="1643"/>
      <c r="AF525" s="1643"/>
      <c r="AG525" s="1643"/>
      <c r="AH525" s="1643"/>
      <c r="AI525" s="1643"/>
      <c r="AJ525" s="1643"/>
      <c r="AK525" s="1643"/>
      <c r="AL525" s="1643"/>
      <c r="AM525" s="1643"/>
    </row>
    <row r="526" spans="1:39" ht="15.75" customHeight="1" x14ac:dyDescent="0.3">
      <c r="A526" s="1643"/>
      <c r="B526" s="1643"/>
      <c r="C526" s="1643"/>
      <c r="D526" s="1643"/>
      <c r="E526" s="1643"/>
      <c r="F526" s="1643"/>
      <c r="G526" s="1643"/>
      <c r="H526" s="1643"/>
      <c r="I526" s="1643"/>
      <c r="J526" s="1643"/>
      <c r="K526" s="1643"/>
      <c r="L526" s="1643"/>
      <c r="M526" s="1643"/>
      <c r="N526" s="1643"/>
      <c r="O526" s="1643"/>
      <c r="P526" s="1643"/>
      <c r="Q526" s="1643"/>
      <c r="R526" s="1643"/>
      <c r="S526" s="1643"/>
      <c r="T526" s="1643"/>
      <c r="U526" s="1643"/>
      <c r="V526" s="1643"/>
      <c r="W526" s="1643"/>
      <c r="X526" s="1643"/>
      <c r="Y526" s="1643"/>
      <c r="Z526" s="1643"/>
      <c r="AA526" s="1643"/>
      <c r="AB526" s="1643"/>
      <c r="AC526" s="1643"/>
      <c r="AD526" s="1643"/>
      <c r="AE526" s="1643"/>
      <c r="AF526" s="1643"/>
      <c r="AG526" s="1643"/>
      <c r="AH526" s="1643"/>
      <c r="AI526" s="1643"/>
      <c r="AJ526" s="1643"/>
      <c r="AK526" s="1643"/>
      <c r="AL526" s="1643"/>
      <c r="AM526" s="1643"/>
    </row>
    <row r="527" spans="1:39" ht="15.75" customHeight="1" x14ac:dyDescent="0.3">
      <c r="A527" s="1643"/>
      <c r="B527" s="1643"/>
      <c r="C527" s="1643"/>
      <c r="D527" s="1643"/>
      <c r="E527" s="1643"/>
      <c r="F527" s="1643"/>
      <c r="G527" s="1643"/>
      <c r="H527" s="1643"/>
      <c r="I527" s="1643"/>
      <c r="J527" s="1643"/>
      <c r="K527" s="1643"/>
      <c r="L527" s="1643"/>
      <c r="M527" s="1643"/>
      <c r="N527" s="1643"/>
      <c r="O527" s="1643"/>
      <c r="P527" s="1643"/>
      <c r="Q527" s="1643"/>
      <c r="R527" s="1643"/>
      <c r="S527" s="1643"/>
      <c r="T527" s="1643"/>
      <c r="U527" s="1643"/>
      <c r="V527" s="1643"/>
      <c r="W527" s="1643"/>
      <c r="X527" s="1643"/>
      <c r="Y527" s="1643"/>
      <c r="Z527" s="1643"/>
      <c r="AA527" s="1643"/>
      <c r="AB527" s="1643"/>
      <c r="AC527" s="1643"/>
      <c r="AD527" s="1643"/>
      <c r="AE527" s="1643"/>
      <c r="AF527" s="1643"/>
      <c r="AG527" s="1643"/>
      <c r="AH527" s="1643"/>
      <c r="AI527" s="1643"/>
      <c r="AJ527" s="1643"/>
      <c r="AK527" s="1643"/>
      <c r="AL527" s="1643"/>
      <c r="AM527" s="1643"/>
    </row>
    <row r="528" spans="1:39" ht="15.75" customHeight="1" x14ac:dyDescent="0.3">
      <c r="A528" s="1643"/>
      <c r="B528" s="1643"/>
      <c r="C528" s="1643"/>
      <c r="D528" s="1643"/>
      <c r="E528" s="1643"/>
      <c r="F528" s="1643"/>
      <c r="G528" s="1643"/>
      <c r="H528" s="1643"/>
      <c r="I528" s="1643"/>
      <c r="J528" s="1643"/>
      <c r="K528" s="1643"/>
      <c r="L528" s="1643"/>
      <c r="M528" s="1643"/>
      <c r="N528" s="1643"/>
      <c r="O528" s="1643"/>
      <c r="P528" s="1643"/>
      <c r="Q528" s="1643"/>
      <c r="R528" s="1643"/>
      <c r="S528" s="1643"/>
      <c r="T528" s="1643"/>
      <c r="U528" s="1643"/>
      <c r="V528" s="1643"/>
      <c r="W528" s="1643"/>
      <c r="X528" s="1643"/>
      <c r="Y528" s="1643"/>
      <c r="Z528" s="1643"/>
      <c r="AA528" s="1643"/>
      <c r="AB528" s="1643"/>
      <c r="AC528" s="1643"/>
      <c r="AD528" s="1643"/>
      <c r="AE528" s="1643"/>
      <c r="AF528" s="1643"/>
      <c r="AG528" s="1643"/>
      <c r="AH528" s="1643"/>
      <c r="AI528" s="1643"/>
      <c r="AJ528" s="1643"/>
      <c r="AK528" s="1643"/>
      <c r="AL528" s="1643"/>
      <c r="AM528" s="1643"/>
    </row>
    <row r="529" spans="1:39" ht="15.75" customHeight="1" x14ac:dyDescent="0.3">
      <c r="A529" s="1643"/>
      <c r="B529" s="1643"/>
      <c r="C529" s="1643"/>
      <c r="D529" s="1643"/>
      <c r="E529" s="1643"/>
      <c r="F529" s="1643"/>
      <c r="G529" s="1643"/>
      <c r="H529" s="1643"/>
      <c r="I529" s="1643"/>
      <c r="J529" s="1643"/>
      <c r="K529" s="1643"/>
      <c r="L529" s="1643"/>
      <c r="M529" s="1643"/>
      <c r="N529" s="1643"/>
      <c r="O529" s="1643"/>
      <c r="P529" s="1643"/>
      <c r="Q529" s="1643"/>
      <c r="R529" s="1643"/>
      <c r="S529" s="1643"/>
      <c r="T529" s="1643"/>
      <c r="U529" s="1643"/>
      <c r="V529" s="1643"/>
      <c r="W529" s="1643"/>
      <c r="X529" s="1643"/>
      <c r="Y529" s="1643"/>
      <c r="Z529" s="1643"/>
      <c r="AA529" s="1643"/>
      <c r="AB529" s="1643"/>
      <c r="AC529" s="1643"/>
      <c r="AD529" s="1643"/>
      <c r="AE529" s="1643"/>
      <c r="AF529" s="1643"/>
      <c r="AG529" s="1643"/>
      <c r="AH529" s="1643"/>
      <c r="AI529" s="1643"/>
      <c r="AJ529" s="1643"/>
      <c r="AK529" s="1643"/>
      <c r="AL529" s="1643"/>
      <c r="AM529" s="1643"/>
    </row>
    <row r="530" spans="1:39" ht="15.75" customHeight="1" x14ac:dyDescent="0.3">
      <c r="A530" s="1643"/>
      <c r="B530" s="1643"/>
      <c r="C530" s="1643"/>
      <c r="D530" s="1643"/>
      <c r="E530" s="1643"/>
      <c r="F530" s="1643"/>
      <c r="G530" s="1643"/>
      <c r="H530" s="1643"/>
      <c r="I530" s="1643"/>
      <c r="J530" s="1643"/>
      <c r="K530" s="1643"/>
      <c r="L530" s="1643"/>
      <c r="M530" s="1643"/>
      <c r="N530" s="1643"/>
      <c r="O530" s="1643"/>
      <c r="P530" s="1643"/>
      <c r="Q530" s="1643"/>
      <c r="R530" s="1643"/>
      <c r="S530" s="1643"/>
      <c r="T530" s="1643"/>
      <c r="U530" s="1643"/>
      <c r="V530" s="1643"/>
      <c r="W530" s="1643"/>
      <c r="X530" s="1643"/>
      <c r="Y530" s="1643"/>
      <c r="Z530" s="1643"/>
      <c r="AA530" s="1643"/>
      <c r="AB530" s="1643"/>
      <c r="AC530" s="1643"/>
      <c r="AD530" s="1643"/>
      <c r="AE530" s="1643"/>
      <c r="AF530" s="1643"/>
      <c r="AG530" s="1643"/>
      <c r="AH530" s="1643"/>
      <c r="AI530" s="1643"/>
      <c r="AJ530" s="1643"/>
      <c r="AK530" s="1643"/>
      <c r="AL530" s="1643"/>
      <c r="AM530" s="1643"/>
    </row>
    <row r="531" spans="1:39" ht="15.75" customHeight="1" x14ac:dyDescent="0.3">
      <c r="A531" s="1643"/>
      <c r="B531" s="1643"/>
      <c r="C531" s="1643"/>
      <c r="D531" s="1643"/>
      <c r="E531" s="1643"/>
      <c r="F531" s="1643"/>
      <c r="G531" s="1643"/>
      <c r="H531" s="1643"/>
      <c r="I531" s="1643"/>
      <c r="J531" s="1643"/>
      <c r="K531" s="1643"/>
      <c r="L531" s="1643"/>
      <c r="M531" s="1643"/>
      <c r="N531" s="1643"/>
      <c r="O531" s="1643"/>
      <c r="P531" s="1643"/>
      <c r="Q531" s="1643"/>
      <c r="R531" s="1643"/>
      <c r="S531" s="1643"/>
      <c r="T531" s="1643"/>
      <c r="U531" s="1643"/>
      <c r="V531" s="1643"/>
      <c r="W531" s="1643"/>
      <c r="X531" s="1643"/>
      <c r="Y531" s="1643"/>
      <c r="Z531" s="1643"/>
      <c r="AA531" s="1643"/>
      <c r="AB531" s="1643"/>
      <c r="AC531" s="1643"/>
      <c r="AD531" s="1643"/>
      <c r="AE531" s="1643"/>
      <c r="AF531" s="1643"/>
      <c r="AG531" s="1643"/>
      <c r="AH531" s="1643"/>
      <c r="AI531" s="1643"/>
      <c r="AJ531" s="1643"/>
      <c r="AK531" s="1643"/>
      <c r="AL531" s="1643"/>
      <c r="AM531" s="1643"/>
    </row>
    <row r="532" spans="1:39" ht="15.75" customHeight="1" x14ac:dyDescent="0.3">
      <c r="A532" s="1643"/>
      <c r="B532" s="1643"/>
      <c r="C532" s="1643"/>
      <c r="D532" s="1643"/>
      <c r="E532" s="1643"/>
      <c r="F532" s="1643"/>
      <c r="G532" s="1643"/>
      <c r="H532" s="1643"/>
      <c r="I532" s="1643"/>
      <c r="J532" s="1643"/>
      <c r="K532" s="1643"/>
      <c r="L532" s="1643"/>
      <c r="M532" s="1643"/>
      <c r="N532" s="1643"/>
      <c r="O532" s="1643"/>
      <c r="P532" s="1643"/>
      <c r="Q532" s="1643"/>
      <c r="R532" s="1643"/>
      <c r="S532" s="1643"/>
      <c r="T532" s="1643"/>
      <c r="U532" s="1643"/>
      <c r="V532" s="1643"/>
      <c r="W532" s="1643"/>
      <c r="X532" s="1643"/>
      <c r="Y532" s="1643"/>
      <c r="Z532" s="1643"/>
      <c r="AA532" s="1643"/>
      <c r="AB532" s="1643"/>
      <c r="AC532" s="1643"/>
      <c r="AD532" s="1643"/>
      <c r="AE532" s="1643"/>
      <c r="AF532" s="1643"/>
      <c r="AG532" s="1643"/>
      <c r="AH532" s="1643"/>
      <c r="AI532" s="1643"/>
      <c r="AJ532" s="1643"/>
      <c r="AK532" s="1643"/>
      <c r="AL532" s="1643"/>
      <c r="AM532" s="1643"/>
    </row>
    <row r="533" spans="1:39" ht="15.75" customHeight="1" x14ac:dyDescent="0.3">
      <c r="A533" s="1643"/>
      <c r="B533" s="1643"/>
      <c r="C533" s="1643"/>
      <c r="D533" s="1643"/>
      <c r="E533" s="1643"/>
      <c r="F533" s="1643"/>
      <c r="G533" s="1643"/>
      <c r="H533" s="1643"/>
      <c r="I533" s="1643"/>
      <c r="J533" s="1643"/>
      <c r="K533" s="1643"/>
      <c r="L533" s="1643"/>
      <c r="M533" s="1643"/>
      <c r="N533" s="1643"/>
      <c r="O533" s="1643"/>
      <c r="P533" s="1643"/>
      <c r="Q533" s="1643"/>
      <c r="R533" s="1643"/>
      <c r="S533" s="1643"/>
      <c r="T533" s="1643"/>
      <c r="U533" s="1643"/>
      <c r="V533" s="1643"/>
      <c r="W533" s="1643"/>
      <c r="X533" s="1643"/>
      <c r="Y533" s="1643"/>
      <c r="Z533" s="1643"/>
      <c r="AA533" s="1643"/>
      <c r="AB533" s="1643"/>
      <c r="AC533" s="1643"/>
      <c r="AD533" s="1643"/>
      <c r="AE533" s="1643"/>
      <c r="AF533" s="1643"/>
      <c r="AG533" s="1643"/>
      <c r="AH533" s="1643"/>
      <c r="AI533" s="1643"/>
      <c r="AJ533" s="1643"/>
      <c r="AK533" s="1643"/>
      <c r="AL533" s="1643"/>
      <c r="AM533" s="1643"/>
    </row>
    <row r="534" spans="1:39" ht="15.75" customHeight="1" x14ac:dyDescent="0.3">
      <c r="A534" s="1643"/>
      <c r="B534" s="1643"/>
      <c r="C534" s="1643"/>
      <c r="D534" s="1643"/>
      <c r="E534" s="1643"/>
      <c r="F534" s="1643"/>
      <c r="G534" s="1643"/>
      <c r="H534" s="1643"/>
      <c r="I534" s="1643"/>
      <c r="J534" s="1643"/>
      <c r="K534" s="1643"/>
      <c r="L534" s="1643"/>
      <c r="M534" s="1643"/>
      <c r="N534" s="1643"/>
      <c r="O534" s="1643"/>
      <c r="P534" s="1643"/>
      <c r="Q534" s="1643"/>
      <c r="R534" s="1643"/>
      <c r="S534" s="1643"/>
      <c r="T534" s="1643"/>
      <c r="U534" s="1643"/>
      <c r="V534" s="1643"/>
      <c r="W534" s="1643"/>
      <c r="X534" s="1643"/>
      <c r="Y534" s="1643"/>
      <c r="Z534" s="1643"/>
      <c r="AA534" s="1643"/>
      <c r="AB534" s="1643"/>
      <c r="AC534" s="1643"/>
      <c r="AD534" s="1643"/>
      <c r="AE534" s="1643"/>
      <c r="AF534" s="1643"/>
      <c r="AG534" s="1643"/>
      <c r="AH534" s="1643"/>
      <c r="AI534" s="1643"/>
      <c r="AJ534" s="1643"/>
      <c r="AK534" s="1643"/>
      <c r="AL534" s="1643"/>
      <c r="AM534" s="1643"/>
    </row>
    <row r="535" spans="1:39" ht="15.75" customHeight="1" x14ac:dyDescent="0.3">
      <c r="A535" s="1643"/>
      <c r="B535" s="1643"/>
      <c r="C535" s="1643"/>
      <c r="D535" s="1643"/>
      <c r="E535" s="1643"/>
      <c r="F535" s="1643"/>
      <c r="G535" s="1643"/>
      <c r="H535" s="1643"/>
      <c r="I535" s="1643"/>
      <c r="J535" s="1643"/>
      <c r="K535" s="1643"/>
      <c r="L535" s="1643"/>
      <c r="M535" s="1643"/>
      <c r="N535" s="1643"/>
      <c r="O535" s="1643"/>
      <c r="P535" s="1643"/>
      <c r="Q535" s="1643"/>
      <c r="R535" s="1643"/>
      <c r="S535" s="1643"/>
      <c r="T535" s="1643"/>
      <c r="U535" s="1643"/>
      <c r="V535" s="1643"/>
      <c r="W535" s="1643"/>
      <c r="X535" s="1643"/>
      <c r="Y535" s="1643"/>
      <c r="Z535" s="1643"/>
      <c r="AA535" s="1643"/>
      <c r="AB535" s="1643"/>
      <c r="AC535" s="1643"/>
      <c r="AD535" s="1643"/>
      <c r="AE535" s="1643"/>
      <c r="AF535" s="1643"/>
      <c r="AG535" s="1643"/>
      <c r="AH535" s="1643"/>
      <c r="AI535" s="1643"/>
      <c r="AJ535" s="1643"/>
      <c r="AK535" s="1643"/>
      <c r="AL535" s="1643"/>
      <c r="AM535" s="1643"/>
    </row>
    <row r="536" spans="1:39" ht="15.75" customHeight="1" x14ac:dyDescent="0.3">
      <c r="A536" s="1643"/>
      <c r="B536" s="1643"/>
      <c r="C536" s="1643"/>
      <c r="D536" s="1643"/>
      <c r="E536" s="1643"/>
      <c r="F536" s="1643"/>
      <c r="G536" s="1643"/>
      <c r="H536" s="1643"/>
      <c r="I536" s="1643"/>
      <c r="J536" s="1643"/>
      <c r="K536" s="1643"/>
      <c r="L536" s="1643"/>
      <c r="M536" s="1643"/>
      <c r="N536" s="1643"/>
      <c r="O536" s="1643"/>
      <c r="P536" s="1643"/>
      <c r="Q536" s="1643"/>
      <c r="R536" s="1643"/>
      <c r="S536" s="1643"/>
      <c r="T536" s="1643"/>
      <c r="U536" s="1643"/>
      <c r="V536" s="1643"/>
      <c r="W536" s="1643"/>
      <c r="X536" s="1643"/>
      <c r="Y536" s="1643"/>
      <c r="Z536" s="1643"/>
      <c r="AA536" s="1643"/>
      <c r="AB536" s="1643"/>
      <c r="AC536" s="1643"/>
      <c r="AD536" s="1643"/>
      <c r="AE536" s="1643"/>
      <c r="AF536" s="1643"/>
      <c r="AG536" s="1643"/>
      <c r="AH536" s="1643"/>
      <c r="AI536" s="1643"/>
      <c r="AJ536" s="1643"/>
      <c r="AK536" s="1643"/>
      <c r="AL536" s="1643"/>
      <c r="AM536" s="1643"/>
    </row>
    <row r="537" spans="1:39" ht="15.75" customHeight="1" x14ac:dyDescent="0.3">
      <c r="A537" s="1643"/>
      <c r="B537" s="1643"/>
      <c r="C537" s="1643"/>
      <c r="D537" s="1643"/>
      <c r="E537" s="1643"/>
      <c r="F537" s="1643"/>
      <c r="G537" s="1643"/>
      <c r="H537" s="1643"/>
      <c r="I537" s="1643"/>
      <c r="J537" s="1643"/>
      <c r="K537" s="1643"/>
      <c r="L537" s="1643"/>
      <c r="M537" s="1643"/>
      <c r="N537" s="1643"/>
      <c r="O537" s="1643"/>
      <c r="P537" s="1643"/>
      <c r="Q537" s="1643"/>
      <c r="R537" s="1643"/>
      <c r="S537" s="1643"/>
      <c r="T537" s="1643"/>
      <c r="U537" s="1643"/>
      <c r="V537" s="1643"/>
      <c r="W537" s="1643"/>
      <c r="X537" s="1643"/>
      <c r="Y537" s="1643"/>
      <c r="Z537" s="1643"/>
      <c r="AA537" s="1643"/>
      <c r="AB537" s="1643"/>
      <c r="AC537" s="1643"/>
      <c r="AD537" s="1643"/>
      <c r="AE537" s="1643"/>
      <c r="AF537" s="1643"/>
      <c r="AG537" s="1643"/>
      <c r="AH537" s="1643"/>
      <c r="AI537" s="1643"/>
      <c r="AJ537" s="1643"/>
      <c r="AK537" s="1643"/>
      <c r="AL537" s="1643"/>
      <c r="AM537" s="1643"/>
    </row>
    <row r="538" spans="1:39" ht="15.75" customHeight="1" x14ac:dyDescent="0.3">
      <c r="A538" s="1643"/>
      <c r="B538" s="1643"/>
      <c r="C538" s="1643"/>
      <c r="D538" s="1643"/>
      <c r="E538" s="1643"/>
      <c r="F538" s="1643"/>
      <c r="G538" s="1643"/>
      <c r="H538" s="1643"/>
      <c r="I538" s="1643"/>
      <c r="J538" s="1643"/>
      <c r="K538" s="1643"/>
      <c r="L538" s="1643"/>
      <c r="M538" s="1643"/>
      <c r="N538" s="1643"/>
      <c r="O538" s="1643"/>
      <c r="P538" s="1643"/>
      <c r="Q538" s="1643"/>
      <c r="R538" s="1643"/>
      <c r="S538" s="1643"/>
      <c r="T538" s="1643"/>
      <c r="U538" s="1643"/>
      <c r="V538" s="1643"/>
      <c r="W538" s="1643"/>
      <c r="X538" s="1643"/>
      <c r="Y538" s="1643"/>
      <c r="Z538" s="1643"/>
      <c r="AA538" s="1643"/>
      <c r="AB538" s="1643"/>
      <c r="AC538" s="1643"/>
      <c r="AD538" s="1643"/>
      <c r="AE538" s="1643"/>
      <c r="AF538" s="1643"/>
      <c r="AG538" s="1643"/>
      <c r="AH538" s="1643"/>
      <c r="AI538" s="1643"/>
      <c r="AJ538" s="1643"/>
      <c r="AK538" s="1643"/>
      <c r="AL538" s="1643"/>
      <c r="AM538" s="1643"/>
    </row>
    <row r="539" spans="1:39" ht="15.75" customHeight="1" x14ac:dyDescent="0.3">
      <c r="A539" s="1643"/>
      <c r="B539" s="1643"/>
      <c r="C539" s="1643"/>
      <c r="D539" s="1643"/>
      <c r="E539" s="1643"/>
      <c r="F539" s="1643"/>
      <c r="G539" s="1643"/>
      <c r="H539" s="1643"/>
      <c r="I539" s="1643"/>
      <c r="J539" s="1643"/>
      <c r="K539" s="1643"/>
      <c r="L539" s="1643"/>
      <c r="M539" s="1643"/>
      <c r="N539" s="1643"/>
      <c r="O539" s="1643"/>
      <c r="P539" s="1643"/>
      <c r="Q539" s="1643"/>
      <c r="R539" s="1643"/>
      <c r="S539" s="1643"/>
      <c r="T539" s="1643"/>
      <c r="U539" s="1643"/>
      <c r="V539" s="1643"/>
      <c r="W539" s="1643"/>
      <c r="X539" s="1643"/>
      <c r="Y539" s="1643"/>
      <c r="Z539" s="1643"/>
      <c r="AA539" s="1643"/>
      <c r="AB539" s="1643"/>
      <c r="AC539" s="1643"/>
      <c r="AD539" s="1643"/>
      <c r="AE539" s="1643"/>
      <c r="AF539" s="1643"/>
      <c r="AG539" s="1643"/>
      <c r="AH539" s="1643"/>
      <c r="AI539" s="1643"/>
      <c r="AJ539" s="1643"/>
      <c r="AK539" s="1643"/>
      <c r="AL539" s="1643"/>
      <c r="AM539" s="1643"/>
    </row>
    <row r="540" spans="1:39" ht="15.75" customHeight="1" x14ac:dyDescent="0.3">
      <c r="A540" s="1643"/>
      <c r="B540" s="1643"/>
      <c r="C540" s="1643"/>
      <c r="D540" s="1643"/>
      <c r="E540" s="1643"/>
      <c r="F540" s="1643"/>
      <c r="G540" s="1643"/>
      <c r="H540" s="1643"/>
      <c r="I540" s="1643"/>
      <c r="J540" s="1643"/>
      <c r="K540" s="1643"/>
      <c r="L540" s="1643"/>
      <c r="M540" s="1643"/>
      <c r="N540" s="1643"/>
      <c r="O540" s="1643"/>
      <c r="P540" s="1643"/>
      <c r="Q540" s="1643"/>
      <c r="R540" s="1643"/>
      <c r="S540" s="1643"/>
      <c r="T540" s="1643"/>
      <c r="U540" s="1643"/>
      <c r="V540" s="1643"/>
      <c r="W540" s="1643"/>
      <c r="X540" s="1643"/>
      <c r="Y540" s="1643"/>
      <c r="Z540" s="1643"/>
      <c r="AA540" s="1643"/>
      <c r="AB540" s="1643"/>
      <c r="AC540" s="1643"/>
      <c r="AD540" s="1643"/>
      <c r="AE540" s="1643"/>
      <c r="AF540" s="1643"/>
      <c r="AG540" s="1643"/>
      <c r="AH540" s="1643"/>
      <c r="AI540" s="1643"/>
      <c r="AJ540" s="1643"/>
      <c r="AK540" s="1643"/>
      <c r="AL540" s="1643"/>
      <c r="AM540" s="1643"/>
    </row>
    <row r="541" spans="1:39" ht="15.75" customHeight="1" x14ac:dyDescent="0.3">
      <c r="A541" s="1643"/>
      <c r="B541" s="1643"/>
      <c r="C541" s="1643"/>
      <c r="D541" s="1643"/>
      <c r="E541" s="1643"/>
      <c r="F541" s="1643"/>
      <c r="G541" s="1643"/>
      <c r="H541" s="1643"/>
      <c r="I541" s="1643"/>
      <c r="J541" s="1643"/>
      <c r="K541" s="1643"/>
      <c r="L541" s="1643"/>
      <c r="M541" s="1643"/>
      <c r="N541" s="1643"/>
      <c r="O541" s="1643"/>
      <c r="P541" s="1643"/>
      <c r="Q541" s="1643"/>
      <c r="R541" s="1643"/>
      <c r="S541" s="1643"/>
      <c r="T541" s="1643"/>
      <c r="U541" s="1643"/>
      <c r="V541" s="1643"/>
      <c r="W541" s="1643"/>
      <c r="X541" s="1643"/>
      <c r="Y541" s="1643"/>
      <c r="Z541" s="1643"/>
      <c r="AA541" s="1643"/>
      <c r="AB541" s="1643"/>
      <c r="AC541" s="1643"/>
      <c r="AD541" s="1643"/>
      <c r="AE541" s="1643"/>
      <c r="AF541" s="1643"/>
      <c r="AG541" s="1643"/>
      <c r="AH541" s="1643"/>
      <c r="AI541" s="1643"/>
      <c r="AJ541" s="1643"/>
      <c r="AK541" s="1643"/>
      <c r="AL541" s="1643"/>
      <c r="AM541" s="1643"/>
    </row>
    <row r="542" spans="1:39" ht="15.75" customHeight="1" x14ac:dyDescent="0.3">
      <c r="A542" s="1643"/>
      <c r="B542" s="1643"/>
      <c r="C542" s="1643"/>
      <c r="D542" s="1643"/>
      <c r="E542" s="1643"/>
      <c r="F542" s="1643"/>
      <c r="G542" s="1643"/>
      <c r="H542" s="1643"/>
      <c r="I542" s="1643"/>
      <c r="J542" s="1643"/>
      <c r="K542" s="1643"/>
      <c r="L542" s="1643"/>
      <c r="M542" s="1643"/>
      <c r="N542" s="1643"/>
      <c r="O542" s="1643"/>
      <c r="P542" s="1643"/>
      <c r="Q542" s="1643"/>
      <c r="R542" s="1643"/>
      <c r="S542" s="1643"/>
      <c r="T542" s="1643"/>
      <c r="U542" s="1643"/>
      <c r="V542" s="1643"/>
      <c r="W542" s="1643"/>
      <c r="X542" s="1643"/>
      <c r="Y542" s="1643"/>
      <c r="Z542" s="1643"/>
      <c r="AA542" s="1643"/>
      <c r="AB542" s="1643"/>
      <c r="AC542" s="1643"/>
      <c r="AD542" s="1643"/>
      <c r="AE542" s="1643"/>
      <c r="AF542" s="1643"/>
      <c r="AG542" s="1643"/>
      <c r="AH542" s="1643"/>
      <c r="AI542" s="1643"/>
      <c r="AJ542" s="1643"/>
      <c r="AK542" s="1643"/>
      <c r="AL542" s="1643"/>
      <c r="AM542" s="1643"/>
    </row>
    <row r="543" spans="1:39" ht="15.75" customHeight="1" x14ac:dyDescent="0.3">
      <c r="A543" s="1643"/>
      <c r="B543" s="1643"/>
      <c r="C543" s="1643"/>
      <c r="D543" s="1643"/>
      <c r="E543" s="1643"/>
      <c r="F543" s="1643"/>
      <c r="G543" s="1643"/>
      <c r="H543" s="1643"/>
      <c r="I543" s="1643"/>
      <c r="J543" s="1643"/>
      <c r="K543" s="1643"/>
      <c r="L543" s="1643"/>
      <c r="M543" s="1643"/>
      <c r="N543" s="1643"/>
      <c r="O543" s="1643"/>
      <c r="P543" s="1643"/>
      <c r="Q543" s="1643"/>
      <c r="R543" s="1643"/>
      <c r="S543" s="1643"/>
      <c r="T543" s="1643"/>
      <c r="U543" s="1643"/>
      <c r="V543" s="1643"/>
      <c r="W543" s="1643"/>
      <c r="X543" s="1643"/>
      <c r="Y543" s="1643"/>
      <c r="Z543" s="1643"/>
      <c r="AA543" s="1643"/>
      <c r="AB543" s="1643"/>
      <c r="AC543" s="1643"/>
      <c r="AD543" s="1643"/>
      <c r="AE543" s="1643"/>
      <c r="AF543" s="1643"/>
      <c r="AG543" s="1643"/>
      <c r="AH543" s="1643"/>
      <c r="AI543" s="1643"/>
      <c r="AJ543" s="1643"/>
      <c r="AK543" s="1643"/>
      <c r="AL543" s="1643"/>
      <c r="AM543" s="1643"/>
    </row>
    <row r="544" spans="1:39" ht="15.75" customHeight="1" x14ac:dyDescent="0.3">
      <c r="A544" s="1643"/>
      <c r="B544" s="1643"/>
      <c r="C544" s="1643"/>
      <c r="D544" s="1643"/>
      <c r="E544" s="1643"/>
      <c r="F544" s="1643"/>
      <c r="G544" s="1643"/>
      <c r="H544" s="1643"/>
      <c r="I544" s="1643"/>
      <c r="J544" s="1643"/>
      <c r="K544" s="1643"/>
      <c r="L544" s="1643"/>
      <c r="M544" s="1643"/>
      <c r="N544" s="1643"/>
      <c r="O544" s="1643"/>
      <c r="P544" s="1643"/>
      <c r="Q544" s="1643"/>
      <c r="R544" s="1643"/>
      <c r="S544" s="1643"/>
      <c r="T544" s="1643"/>
      <c r="U544" s="1643"/>
      <c r="V544" s="1643"/>
      <c r="W544" s="1643"/>
      <c r="X544" s="1643"/>
      <c r="Y544" s="1643"/>
      <c r="Z544" s="1643"/>
      <c r="AA544" s="1643"/>
      <c r="AB544" s="1643"/>
      <c r="AC544" s="1643"/>
      <c r="AD544" s="1643"/>
      <c r="AE544" s="1643"/>
      <c r="AF544" s="1643"/>
      <c r="AG544" s="1643"/>
      <c r="AH544" s="1643"/>
      <c r="AI544" s="1643"/>
      <c r="AJ544" s="1643"/>
      <c r="AK544" s="1643"/>
      <c r="AL544" s="1643"/>
      <c r="AM544" s="1643"/>
    </row>
    <row r="545" spans="1:39" ht="15.75" customHeight="1" x14ac:dyDescent="0.3">
      <c r="A545" s="1643"/>
      <c r="B545" s="1643"/>
      <c r="C545" s="1643"/>
      <c r="D545" s="1643"/>
      <c r="E545" s="1643"/>
      <c r="F545" s="1643"/>
      <c r="G545" s="1643"/>
      <c r="H545" s="1643"/>
      <c r="I545" s="1643"/>
      <c r="J545" s="1643"/>
      <c r="K545" s="1643"/>
      <c r="L545" s="1643"/>
      <c r="M545" s="1643"/>
      <c r="N545" s="1643"/>
      <c r="O545" s="1643"/>
      <c r="P545" s="1643"/>
      <c r="Q545" s="1643"/>
      <c r="R545" s="1643"/>
      <c r="S545" s="1643"/>
      <c r="T545" s="1643"/>
      <c r="U545" s="1643"/>
      <c r="V545" s="1643"/>
      <c r="W545" s="1643"/>
      <c r="X545" s="1643"/>
      <c r="Y545" s="1643"/>
      <c r="Z545" s="1643"/>
      <c r="AA545" s="1643"/>
      <c r="AB545" s="1643"/>
      <c r="AC545" s="1643"/>
      <c r="AD545" s="1643"/>
      <c r="AE545" s="1643"/>
      <c r="AF545" s="1643"/>
      <c r="AG545" s="1643"/>
      <c r="AH545" s="1643"/>
      <c r="AI545" s="1643"/>
      <c r="AJ545" s="1643"/>
      <c r="AK545" s="1643"/>
      <c r="AL545" s="1643"/>
      <c r="AM545" s="1643"/>
    </row>
    <row r="546" spans="1:39" ht="15.75" customHeight="1" x14ac:dyDescent="0.3">
      <c r="A546" s="1643"/>
      <c r="B546" s="1643"/>
      <c r="C546" s="1643"/>
      <c r="D546" s="1643"/>
      <c r="E546" s="1643"/>
      <c r="F546" s="1643"/>
      <c r="G546" s="1643"/>
      <c r="H546" s="1643"/>
      <c r="I546" s="1643"/>
      <c r="J546" s="1643"/>
      <c r="K546" s="1643"/>
      <c r="L546" s="1643"/>
      <c r="M546" s="1643"/>
      <c r="N546" s="1643"/>
      <c r="O546" s="1643"/>
      <c r="P546" s="1643"/>
      <c r="Q546" s="1643"/>
      <c r="R546" s="1643"/>
      <c r="S546" s="1643"/>
      <c r="T546" s="1643"/>
      <c r="U546" s="1643"/>
      <c r="V546" s="1643"/>
      <c r="W546" s="1643"/>
      <c r="X546" s="1643"/>
      <c r="Y546" s="1643"/>
      <c r="Z546" s="1643"/>
      <c r="AA546" s="1643"/>
      <c r="AB546" s="1643"/>
      <c r="AC546" s="1643"/>
      <c r="AD546" s="1643"/>
      <c r="AE546" s="1643"/>
      <c r="AF546" s="1643"/>
      <c r="AG546" s="1643"/>
      <c r="AH546" s="1643"/>
      <c r="AI546" s="1643"/>
      <c r="AJ546" s="1643"/>
      <c r="AK546" s="1643"/>
      <c r="AL546" s="1643"/>
      <c r="AM546" s="1643"/>
    </row>
    <row r="547" spans="1:39" ht="15.75" customHeight="1" x14ac:dyDescent="0.3">
      <c r="A547" s="1643"/>
      <c r="B547" s="1643"/>
      <c r="C547" s="1643"/>
      <c r="D547" s="1643"/>
      <c r="E547" s="1643"/>
      <c r="F547" s="1643"/>
      <c r="G547" s="1643"/>
      <c r="H547" s="1643"/>
      <c r="I547" s="1643"/>
      <c r="J547" s="1643"/>
      <c r="K547" s="1643"/>
      <c r="L547" s="1643"/>
      <c r="M547" s="1643"/>
      <c r="N547" s="1643"/>
      <c r="O547" s="1643"/>
      <c r="P547" s="1643"/>
      <c r="Q547" s="1643"/>
      <c r="R547" s="1643"/>
      <c r="S547" s="1643"/>
      <c r="T547" s="1643"/>
      <c r="U547" s="1643"/>
      <c r="V547" s="1643"/>
      <c r="W547" s="1643"/>
      <c r="X547" s="1643"/>
      <c r="Y547" s="1643"/>
      <c r="Z547" s="1643"/>
      <c r="AA547" s="1643"/>
      <c r="AB547" s="1643"/>
      <c r="AC547" s="1643"/>
      <c r="AD547" s="1643"/>
      <c r="AE547" s="1643"/>
      <c r="AF547" s="1643"/>
      <c r="AG547" s="1643"/>
      <c r="AH547" s="1643"/>
      <c r="AI547" s="1643"/>
      <c r="AJ547" s="1643"/>
      <c r="AK547" s="1643"/>
      <c r="AL547" s="1643"/>
      <c r="AM547" s="1643"/>
    </row>
    <row r="548" spans="1:39" ht="15.75" customHeight="1" x14ac:dyDescent="0.3">
      <c r="A548" s="1643"/>
      <c r="B548" s="1643"/>
      <c r="C548" s="1643"/>
      <c r="D548" s="1643"/>
      <c r="E548" s="1643"/>
      <c r="F548" s="1643"/>
      <c r="G548" s="1643"/>
      <c r="H548" s="1643"/>
      <c r="I548" s="1643"/>
      <c r="J548" s="1643"/>
      <c r="K548" s="1643"/>
      <c r="L548" s="1643"/>
      <c r="M548" s="1643"/>
      <c r="N548" s="1643"/>
      <c r="O548" s="1643"/>
      <c r="P548" s="1643"/>
      <c r="Q548" s="1643"/>
      <c r="R548" s="1643"/>
      <c r="S548" s="1643"/>
      <c r="T548" s="1643"/>
      <c r="U548" s="1643"/>
      <c r="V548" s="1643"/>
      <c r="W548" s="1643"/>
      <c r="X548" s="1643"/>
      <c r="Y548" s="1643"/>
      <c r="Z548" s="1643"/>
      <c r="AA548" s="1643"/>
      <c r="AB548" s="1643"/>
      <c r="AC548" s="1643"/>
      <c r="AD548" s="1643"/>
      <c r="AE548" s="1643"/>
      <c r="AF548" s="1643"/>
      <c r="AG548" s="1643"/>
      <c r="AH548" s="1643"/>
      <c r="AI548" s="1643"/>
      <c r="AJ548" s="1643"/>
      <c r="AK548" s="1643"/>
      <c r="AL548" s="1643"/>
      <c r="AM548" s="1643"/>
    </row>
    <row r="549" spans="1:39" ht="15.75" customHeight="1" x14ac:dyDescent="0.3">
      <c r="A549" s="1643"/>
      <c r="B549" s="1643"/>
      <c r="C549" s="1643"/>
      <c r="D549" s="1643"/>
      <c r="E549" s="1643"/>
      <c r="F549" s="1643"/>
      <c r="G549" s="1643"/>
      <c r="H549" s="1643"/>
      <c r="I549" s="1643"/>
      <c r="J549" s="1643"/>
      <c r="K549" s="1643"/>
      <c r="L549" s="1643"/>
      <c r="M549" s="1643"/>
      <c r="N549" s="1643"/>
      <c r="O549" s="1643"/>
      <c r="P549" s="1643"/>
      <c r="Q549" s="1643"/>
      <c r="R549" s="1643"/>
      <c r="S549" s="1643"/>
      <c r="T549" s="1643"/>
      <c r="U549" s="1643"/>
      <c r="V549" s="1643"/>
      <c r="W549" s="1643"/>
      <c r="X549" s="1643"/>
      <c r="Y549" s="1643"/>
      <c r="Z549" s="1643"/>
      <c r="AA549" s="1643"/>
      <c r="AB549" s="1643"/>
      <c r="AC549" s="1643"/>
      <c r="AD549" s="1643"/>
      <c r="AE549" s="1643"/>
      <c r="AF549" s="1643"/>
      <c r="AG549" s="1643"/>
      <c r="AH549" s="1643"/>
      <c r="AI549" s="1643"/>
      <c r="AJ549" s="1643"/>
      <c r="AK549" s="1643"/>
      <c r="AL549" s="1643"/>
      <c r="AM549" s="1643"/>
    </row>
    <row r="550" spans="1:39" ht="15.75" customHeight="1" x14ac:dyDescent="0.3">
      <c r="A550" s="1643"/>
      <c r="B550" s="1643"/>
      <c r="C550" s="1643"/>
      <c r="D550" s="1643"/>
      <c r="E550" s="1643"/>
      <c r="F550" s="1643"/>
      <c r="G550" s="1643"/>
      <c r="H550" s="1643"/>
      <c r="I550" s="1643"/>
      <c r="J550" s="1643"/>
      <c r="K550" s="1643"/>
      <c r="L550" s="1643"/>
      <c r="M550" s="1643"/>
      <c r="N550" s="1643"/>
      <c r="O550" s="1643"/>
      <c r="P550" s="1643"/>
      <c r="Q550" s="1643"/>
      <c r="R550" s="1643"/>
      <c r="S550" s="1643"/>
      <c r="T550" s="1643"/>
      <c r="U550" s="1643"/>
      <c r="V550" s="1643"/>
      <c r="W550" s="1643"/>
      <c r="X550" s="1643"/>
      <c r="Y550" s="1643"/>
      <c r="Z550" s="1643"/>
      <c r="AA550" s="1643"/>
      <c r="AB550" s="1643"/>
      <c r="AC550" s="1643"/>
      <c r="AD550" s="1643"/>
      <c r="AE550" s="1643"/>
      <c r="AF550" s="1643"/>
      <c r="AG550" s="1643"/>
      <c r="AH550" s="1643"/>
      <c r="AI550" s="1643"/>
      <c r="AJ550" s="1643"/>
      <c r="AK550" s="1643"/>
      <c r="AL550" s="1643"/>
      <c r="AM550" s="1643"/>
    </row>
    <row r="551" spans="1:39" ht="15.75" customHeight="1" x14ac:dyDescent="0.3">
      <c r="A551" s="1643"/>
      <c r="B551" s="1643"/>
      <c r="C551" s="1643"/>
      <c r="D551" s="1643"/>
      <c r="E551" s="1643"/>
      <c r="F551" s="1643"/>
      <c r="G551" s="1643"/>
      <c r="H551" s="1643"/>
      <c r="I551" s="1643"/>
      <c r="J551" s="1643"/>
      <c r="K551" s="1643"/>
      <c r="L551" s="1643"/>
      <c r="M551" s="1643"/>
      <c r="N551" s="1643"/>
      <c r="O551" s="1643"/>
      <c r="P551" s="1643"/>
      <c r="Q551" s="1643"/>
      <c r="R551" s="1643"/>
      <c r="S551" s="1643"/>
      <c r="T551" s="1643"/>
      <c r="U551" s="1643"/>
      <c r="V551" s="1643"/>
      <c r="W551" s="1643"/>
      <c r="X551" s="1643"/>
      <c r="Y551" s="1643"/>
      <c r="Z551" s="1643"/>
      <c r="AA551" s="1643"/>
      <c r="AB551" s="1643"/>
      <c r="AC551" s="1643"/>
      <c r="AD551" s="1643"/>
      <c r="AE551" s="1643"/>
      <c r="AF551" s="1643"/>
      <c r="AG551" s="1643"/>
      <c r="AH551" s="1643"/>
      <c r="AI551" s="1643"/>
      <c r="AJ551" s="1643"/>
      <c r="AK551" s="1643"/>
      <c r="AL551" s="1643"/>
      <c r="AM551" s="1643"/>
    </row>
    <row r="552" spans="1:39" ht="15.75" customHeight="1" x14ac:dyDescent="0.3">
      <c r="A552" s="1643"/>
      <c r="B552" s="1643"/>
      <c r="C552" s="1643"/>
      <c r="D552" s="1643"/>
      <c r="E552" s="1643"/>
      <c r="F552" s="1643"/>
      <c r="G552" s="1643"/>
      <c r="H552" s="1643"/>
      <c r="I552" s="1643"/>
      <c r="J552" s="1643"/>
      <c r="K552" s="1643"/>
      <c r="L552" s="1643"/>
      <c r="M552" s="1643"/>
      <c r="N552" s="1643"/>
      <c r="O552" s="1643"/>
      <c r="P552" s="1643"/>
      <c r="Q552" s="1643"/>
      <c r="R552" s="1643"/>
      <c r="S552" s="1643"/>
      <c r="T552" s="1643"/>
      <c r="U552" s="1643"/>
      <c r="V552" s="1643"/>
      <c r="W552" s="1643"/>
      <c r="X552" s="1643"/>
      <c r="Y552" s="1643"/>
      <c r="Z552" s="1643"/>
      <c r="AA552" s="1643"/>
      <c r="AB552" s="1643"/>
      <c r="AC552" s="1643"/>
      <c r="AD552" s="1643"/>
      <c r="AE552" s="1643"/>
      <c r="AF552" s="1643"/>
      <c r="AG552" s="1643"/>
      <c r="AH552" s="1643"/>
      <c r="AI552" s="1643"/>
      <c r="AJ552" s="1643"/>
      <c r="AK552" s="1643"/>
      <c r="AL552" s="1643"/>
      <c r="AM552" s="1643"/>
    </row>
    <row r="553" spans="1:39" ht="15.75" customHeight="1" x14ac:dyDescent="0.3">
      <c r="A553" s="1643"/>
      <c r="B553" s="1643"/>
      <c r="C553" s="1643"/>
      <c r="D553" s="1643"/>
      <c r="E553" s="1643"/>
      <c r="F553" s="1643"/>
      <c r="G553" s="1643"/>
      <c r="H553" s="1643"/>
      <c r="I553" s="1643"/>
      <c r="J553" s="1643"/>
      <c r="K553" s="1643"/>
      <c r="L553" s="1643"/>
      <c r="M553" s="1643"/>
      <c r="N553" s="1643"/>
      <c r="O553" s="1643"/>
      <c r="P553" s="1643"/>
      <c r="Q553" s="1643"/>
      <c r="R553" s="1643"/>
      <c r="S553" s="1643"/>
      <c r="T553" s="1643"/>
      <c r="U553" s="1643"/>
      <c r="V553" s="1643"/>
      <c r="W553" s="1643"/>
      <c r="X553" s="1643"/>
      <c r="Y553" s="1643"/>
      <c r="Z553" s="1643"/>
      <c r="AA553" s="1643"/>
      <c r="AB553" s="1643"/>
      <c r="AC553" s="1643"/>
      <c r="AD553" s="1643"/>
      <c r="AE553" s="1643"/>
      <c r="AF553" s="1643"/>
      <c r="AG553" s="1643"/>
      <c r="AH553" s="1643"/>
      <c r="AI553" s="1643"/>
      <c r="AJ553" s="1643"/>
      <c r="AK553" s="1643"/>
      <c r="AL553" s="1643"/>
      <c r="AM553" s="1643"/>
    </row>
    <row r="554" spans="1:39" ht="15.75" customHeight="1" x14ac:dyDescent="0.3">
      <c r="A554" s="1643"/>
      <c r="B554" s="1643"/>
      <c r="C554" s="1643"/>
      <c r="D554" s="1643"/>
      <c r="E554" s="1643"/>
      <c r="F554" s="1643"/>
      <c r="G554" s="1643"/>
      <c r="H554" s="1643"/>
      <c r="I554" s="1643"/>
      <c r="J554" s="1643"/>
      <c r="K554" s="1643"/>
      <c r="L554" s="1643"/>
      <c r="M554" s="1643"/>
      <c r="N554" s="1643"/>
      <c r="O554" s="1643"/>
      <c r="P554" s="1643"/>
      <c r="Q554" s="1643"/>
      <c r="R554" s="1643"/>
      <c r="S554" s="1643"/>
      <c r="T554" s="1643"/>
      <c r="U554" s="1643"/>
      <c r="V554" s="1643"/>
      <c r="W554" s="1643"/>
      <c r="X554" s="1643"/>
      <c r="Y554" s="1643"/>
      <c r="Z554" s="1643"/>
      <c r="AA554" s="1643"/>
      <c r="AB554" s="1643"/>
      <c r="AC554" s="1643"/>
      <c r="AD554" s="1643"/>
      <c r="AE554" s="1643"/>
      <c r="AF554" s="1643"/>
      <c r="AG554" s="1643"/>
      <c r="AH554" s="1643"/>
      <c r="AI554" s="1643"/>
      <c r="AJ554" s="1643"/>
      <c r="AK554" s="1643"/>
      <c r="AL554" s="1643"/>
      <c r="AM554" s="1643"/>
    </row>
    <row r="555" spans="1:39" ht="15.75" customHeight="1" x14ac:dyDescent="0.3">
      <c r="A555" s="1643"/>
      <c r="B555" s="1643"/>
      <c r="C555" s="1643"/>
      <c r="D555" s="1643"/>
      <c r="E555" s="1643"/>
      <c r="F555" s="1643"/>
      <c r="G555" s="1643"/>
      <c r="H555" s="1643"/>
      <c r="I555" s="1643"/>
      <c r="J555" s="1643"/>
      <c r="K555" s="1643"/>
      <c r="L555" s="1643"/>
      <c r="M555" s="1643"/>
      <c r="N555" s="1643"/>
      <c r="O555" s="1643"/>
      <c r="P555" s="1643"/>
      <c r="Q555" s="1643"/>
      <c r="R555" s="1643"/>
      <c r="S555" s="1643"/>
      <c r="T555" s="1643"/>
      <c r="U555" s="1643"/>
      <c r="V555" s="1643"/>
      <c r="W555" s="1643"/>
      <c r="X555" s="1643"/>
      <c r="Y555" s="1643"/>
      <c r="Z555" s="1643"/>
      <c r="AA555" s="1643"/>
      <c r="AB555" s="1643"/>
      <c r="AC555" s="1643"/>
      <c r="AD555" s="1643"/>
      <c r="AE555" s="1643"/>
      <c r="AF555" s="1643"/>
      <c r="AG555" s="1643"/>
      <c r="AH555" s="1643"/>
      <c r="AI555" s="1643"/>
      <c r="AJ555" s="1643"/>
      <c r="AK555" s="1643"/>
      <c r="AL555" s="1643"/>
      <c r="AM555" s="1643"/>
    </row>
    <row r="556" spans="1:39" ht="15.75" customHeight="1" x14ac:dyDescent="0.3">
      <c r="A556" s="1643"/>
      <c r="B556" s="1643"/>
      <c r="C556" s="1643"/>
      <c r="D556" s="1643"/>
      <c r="E556" s="1643"/>
      <c r="F556" s="1643"/>
      <c r="G556" s="1643"/>
      <c r="H556" s="1643"/>
      <c r="I556" s="1643"/>
      <c r="J556" s="1643"/>
      <c r="K556" s="1643"/>
      <c r="L556" s="1643"/>
      <c r="M556" s="1643"/>
      <c r="N556" s="1643"/>
      <c r="O556" s="1643"/>
      <c r="P556" s="1643"/>
      <c r="Q556" s="1643"/>
      <c r="R556" s="1643"/>
      <c r="S556" s="1643"/>
      <c r="T556" s="1643"/>
      <c r="U556" s="1643"/>
      <c r="V556" s="1643"/>
      <c r="W556" s="1643"/>
      <c r="X556" s="1643"/>
      <c r="Y556" s="1643"/>
      <c r="Z556" s="1643"/>
      <c r="AA556" s="1643"/>
      <c r="AB556" s="1643"/>
      <c r="AC556" s="1643"/>
      <c r="AD556" s="1643"/>
      <c r="AE556" s="1643"/>
      <c r="AF556" s="1643"/>
      <c r="AG556" s="1643"/>
      <c r="AH556" s="1643"/>
      <c r="AI556" s="1643"/>
      <c r="AJ556" s="1643"/>
      <c r="AK556" s="1643"/>
      <c r="AL556" s="1643"/>
      <c r="AM556" s="1643"/>
    </row>
    <row r="557" spans="1:39" ht="15.75" customHeight="1" x14ac:dyDescent="0.3">
      <c r="A557" s="1643"/>
      <c r="B557" s="1643"/>
      <c r="C557" s="1643"/>
      <c r="D557" s="1643"/>
      <c r="E557" s="1643"/>
      <c r="F557" s="1643"/>
      <c r="G557" s="1643"/>
      <c r="H557" s="1643"/>
      <c r="I557" s="1643"/>
      <c r="J557" s="1643"/>
      <c r="K557" s="1643"/>
      <c r="L557" s="1643"/>
      <c r="M557" s="1643"/>
      <c r="N557" s="1643"/>
      <c r="O557" s="1643"/>
      <c r="P557" s="1643"/>
      <c r="Q557" s="1643"/>
      <c r="R557" s="1643"/>
      <c r="S557" s="1643"/>
      <c r="T557" s="1643"/>
      <c r="U557" s="1643"/>
      <c r="V557" s="1643"/>
      <c r="W557" s="1643"/>
      <c r="X557" s="1643"/>
      <c r="Y557" s="1643"/>
      <c r="Z557" s="1643"/>
      <c r="AA557" s="1643"/>
      <c r="AB557" s="1643"/>
      <c r="AC557" s="1643"/>
      <c r="AD557" s="1643"/>
      <c r="AE557" s="1643"/>
      <c r="AF557" s="1643"/>
      <c r="AG557" s="1643"/>
      <c r="AH557" s="1643"/>
      <c r="AI557" s="1643"/>
      <c r="AJ557" s="1643"/>
      <c r="AK557" s="1643"/>
      <c r="AL557" s="1643"/>
      <c r="AM557" s="1643"/>
    </row>
    <row r="558" spans="1:39" ht="15.75" customHeight="1" x14ac:dyDescent="0.3">
      <c r="A558" s="1643"/>
      <c r="B558" s="1643"/>
      <c r="C558" s="1643"/>
      <c r="D558" s="1643"/>
      <c r="E558" s="1643"/>
      <c r="F558" s="1643"/>
      <c r="G558" s="1643"/>
      <c r="H558" s="1643"/>
      <c r="I558" s="1643"/>
      <c r="J558" s="1643"/>
      <c r="K558" s="1643"/>
      <c r="L558" s="1643"/>
      <c r="M558" s="1643"/>
      <c r="N558" s="1643"/>
      <c r="O558" s="1643"/>
      <c r="P558" s="1643"/>
      <c r="Q558" s="1643"/>
      <c r="R558" s="1643"/>
      <c r="S558" s="1643"/>
      <c r="T558" s="1643"/>
      <c r="U558" s="1643"/>
      <c r="V558" s="1643"/>
      <c r="W558" s="1643"/>
      <c r="X558" s="1643"/>
      <c r="Y558" s="1643"/>
      <c r="Z558" s="1643"/>
      <c r="AA558" s="1643"/>
      <c r="AB558" s="1643"/>
      <c r="AC558" s="1643"/>
      <c r="AD558" s="1643"/>
      <c r="AE558" s="1643"/>
      <c r="AF558" s="1643"/>
      <c r="AG558" s="1643"/>
      <c r="AH558" s="1643"/>
      <c r="AI558" s="1643"/>
      <c r="AJ558" s="1643"/>
      <c r="AK558" s="1643"/>
      <c r="AL558" s="1643"/>
      <c r="AM558" s="1643"/>
    </row>
    <row r="559" spans="1:39" ht="15.75" customHeight="1" x14ac:dyDescent="0.3">
      <c r="A559" s="1643"/>
      <c r="B559" s="1643"/>
      <c r="C559" s="1643"/>
      <c r="D559" s="1643"/>
      <c r="E559" s="1643"/>
      <c r="F559" s="1643"/>
      <c r="G559" s="1643"/>
      <c r="H559" s="1643"/>
      <c r="I559" s="1643"/>
      <c r="J559" s="1643"/>
      <c r="K559" s="1643"/>
      <c r="L559" s="1643"/>
      <c r="M559" s="1643"/>
      <c r="N559" s="1643"/>
      <c r="O559" s="1643"/>
      <c r="P559" s="1643"/>
      <c r="Q559" s="1643"/>
      <c r="R559" s="1643"/>
      <c r="S559" s="1643"/>
      <c r="T559" s="1643"/>
      <c r="U559" s="1643"/>
      <c r="V559" s="1643"/>
      <c r="W559" s="1643"/>
      <c r="X559" s="1643"/>
      <c r="Y559" s="1643"/>
      <c r="Z559" s="1643"/>
      <c r="AA559" s="1643"/>
      <c r="AB559" s="1643"/>
      <c r="AC559" s="1643"/>
      <c r="AD559" s="1643"/>
      <c r="AE559" s="1643"/>
      <c r="AF559" s="1643"/>
      <c r="AG559" s="1643"/>
      <c r="AH559" s="1643"/>
      <c r="AI559" s="1643"/>
      <c r="AJ559" s="1643"/>
      <c r="AK559" s="1643"/>
      <c r="AL559" s="1643"/>
      <c r="AM559" s="1643"/>
    </row>
    <row r="560" spans="1:39" ht="15.75" customHeight="1" x14ac:dyDescent="0.3">
      <c r="A560" s="1643"/>
      <c r="B560" s="1643"/>
      <c r="C560" s="1643"/>
      <c r="D560" s="1643"/>
      <c r="E560" s="1643"/>
      <c r="F560" s="1643"/>
      <c r="G560" s="1643"/>
      <c r="H560" s="1643"/>
      <c r="I560" s="1643"/>
      <c r="J560" s="1643"/>
      <c r="K560" s="1643"/>
      <c r="L560" s="1643"/>
      <c r="M560" s="1643"/>
      <c r="N560" s="1643"/>
      <c r="O560" s="1643"/>
      <c r="P560" s="1643"/>
      <c r="Q560" s="1643"/>
      <c r="R560" s="1643"/>
      <c r="S560" s="1643"/>
      <c r="T560" s="1643"/>
      <c r="U560" s="1643"/>
      <c r="V560" s="1643"/>
      <c r="W560" s="1643"/>
      <c r="X560" s="1643"/>
      <c r="Y560" s="1643"/>
      <c r="Z560" s="1643"/>
      <c r="AA560" s="1643"/>
      <c r="AB560" s="1643"/>
      <c r="AC560" s="1643"/>
      <c r="AD560" s="1643"/>
      <c r="AE560" s="1643"/>
      <c r="AF560" s="1643"/>
      <c r="AG560" s="1643"/>
      <c r="AH560" s="1643"/>
      <c r="AI560" s="1643"/>
      <c r="AJ560" s="1643"/>
      <c r="AK560" s="1643"/>
      <c r="AL560" s="1643"/>
      <c r="AM560" s="1643"/>
    </row>
    <row r="561" spans="1:39" ht="15.75" customHeight="1" x14ac:dyDescent="0.3">
      <c r="A561" s="1643"/>
      <c r="B561" s="1643"/>
      <c r="C561" s="1643"/>
      <c r="D561" s="1643"/>
      <c r="E561" s="1643"/>
      <c r="F561" s="1643"/>
      <c r="G561" s="1643"/>
      <c r="H561" s="1643"/>
      <c r="I561" s="1643"/>
      <c r="J561" s="1643"/>
      <c r="K561" s="1643"/>
      <c r="L561" s="1643"/>
      <c r="M561" s="1643"/>
      <c r="N561" s="1643"/>
      <c r="O561" s="1643"/>
      <c r="P561" s="1643"/>
      <c r="Q561" s="1643"/>
      <c r="R561" s="1643"/>
      <c r="S561" s="1643"/>
      <c r="T561" s="1643"/>
      <c r="U561" s="1643"/>
      <c r="V561" s="1643"/>
      <c r="W561" s="1643"/>
      <c r="X561" s="1643"/>
      <c r="Y561" s="1643"/>
      <c r="Z561" s="1643"/>
      <c r="AA561" s="1643"/>
      <c r="AB561" s="1643"/>
      <c r="AC561" s="1643"/>
      <c r="AD561" s="1643"/>
      <c r="AE561" s="1643"/>
      <c r="AF561" s="1643"/>
      <c r="AG561" s="1643"/>
      <c r="AH561" s="1643"/>
      <c r="AI561" s="1643"/>
      <c r="AJ561" s="1643"/>
      <c r="AK561" s="1643"/>
      <c r="AL561" s="1643"/>
      <c r="AM561" s="1643"/>
    </row>
    <row r="562" spans="1:39" ht="15.75" customHeight="1" x14ac:dyDescent="0.3">
      <c r="A562" s="1643"/>
      <c r="B562" s="1643"/>
      <c r="C562" s="1643"/>
      <c r="D562" s="1643"/>
      <c r="E562" s="1643"/>
      <c r="F562" s="1643"/>
      <c r="G562" s="1643"/>
      <c r="H562" s="1643"/>
      <c r="I562" s="1643"/>
      <c r="J562" s="1643"/>
      <c r="K562" s="1643"/>
      <c r="L562" s="1643"/>
      <c r="M562" s="1643"/>
      <c r="N562" s="1643"/>
      <c r="O562" s="1643"/>
      <c r="P562" s="1643"/>
      <c r="Q562" s="1643"/>
      <c r="R562" s="1643"/>
      <c r="S562" s="1643"/>
      <c r="T562" s="1643"/>
      <c r="U562" s="1643"/>
      <c r="V562" s="1643"/>
      <c r="W562" s="1643"/>
      <c r="X562" s="1643"/>
      <c r="Y562" s="1643"/>
      <c r="Z562" s="1643"/>
      <c r="AA562" s="1643"/>
      <c r="AB562" s="1643"/>
      <c r="AC562" s="1643"/>
      <c r="AD562" s="1643"/>
      <c r="AE562" s="1643"/>
      <c r="AF562" s="1643"/>
      <c r="AG562" s="1643"/>
      <c r="AH562" s="1643"/>
      <c r="AI562" s="1643"/>
      <c r="AJ562" s="1643"/>
      <c r="AK562" s="1643"/>
      <c r="AL562" s="1643"/>
      <c r="AM562" s="1643"/>
    </row>
    <row r="563" spans="1:39" ht="15.75" customHeight="1" x14ac:dyDescent="0.3">
      <c r="A563" s="1643"/>
      <c r="B563" s="1643"/>
      <c r="C563" s="1643"/>
      <c r="D563" s="1643"/>
      <c r="E563" s="1643"/>
      <c r="F563" s="1643"/>
      <c r="G563" s="1643"/>
      <c r="H563" s="1643"/>
      <c r="I563" s="1643"/>
      <c r="J563" s="1643"/>
      <c r="K563" s="1643"/>
      <c r="L563" s="1643"/>
      <c r="M563" s="1643"/>
      <c r="N563" s="1643"/>
      <c r="O563" s="1643"/>
      <c r="P563" s="1643"/>
      <c r="Q563" s="1643"/>
      <c r="R563" s="1643"/>
      <c r="S563" s="1643"/>
      <c r="T563" s="1643"/>
      <c r="U563" s="1643"/>
      <c r="V563" s="1643"/>
      <c r="W563" s="1643"/>
      <c r="X563" s="1643"/>
      <c r="Y563" s="1643"/>
      <c r="Z563" s="1643"/>
      <c r="AA563" s="1643"/>
      <c r="AB563" s="1643"/>
      <c r="AC563" s="1643"/>
      <c r="AD563" s="1643"/>
      <c r="AE563" s="1643"/>
      <c r="AF563" s="1643"/>
      <c r="AG563" s="1643"/>
      <c r="AH563" s="1643"/>
      <c r="AI563" s="1643"/>
      <c r="AJ563" s="1643"/>
      <c r="AK563" s="1643"/>
      <c r="AL563" s="1643"/>
      <c r="AM563" s="1643"/>
    </row>
    <row r="564" spans="1:39" ht="15.75" customHeight="1" x14ac:dyDescent="0.3">
      <c r="A564" s="1643"/>
      <c r="B564" s="1643"/>
      <c r="C564" s="1643"/>
      <c r="D564" s="1643"/>
      <c r="E564" s="1643"/>
      <c r="F564" s="1643"/>
      <c r="G564" s="1643"/>
      <c r="H564" s="1643"/>
      <c r="I564" s="1643"/>
      <c r="J564" s="1643"/>
      <c r="K564" s="1643"/>
      <c r="L564" s="1643"/>
      <c r="M564" s="1643"/>
      <c r="N564" s="1643"/>
      <c r="O564" s="1643"/>
      <c r="P564" s="1643"/>
      <c r="Q564" s="1643"/>
      <c r="R564" s="1643"/>
      <c r="S564" s="1643"/>
      <c r="T564" s="1643"/>
      <c r="U564" s="1643"/>
      <c r="V564" s="1643"/>
      <c r="W564" s="1643"/>
      <c r="X564" s="1643"/>
      <c r="Y564" s="1643"/>
      <c r="Z564" s="1643"/>
      <c r="AA564" s="1643"/>
      <c r="AB564" s="1643"/>
      <c r="AC564" s="1643"/>
      <c r="AD564" s="1643"/>
      <c r="AE564" s="1643"/>
      <c r="AF564" s="1643"/>
      <c r="AG564" s="1643"/>
      <c r="AH564" s="1643"/>
      <c r="AI564" s="1643"/>
      <c r="AJ564" s="1643"/>
      <c r="AK564" s="1643"/>
      <c r="AL564" s="1643"/>
      <c r="AM564" s="1643"/>
    </row>
    <row r="565" spans="1:39" ht="15.75" customHeight="1" x14ac:dyDescent="0.3">
      <c r="A565" s="1643"/>
      <c r="B565" s="1643"/>
      <c r="C565" s="1643"/>
      <c r="D565" s="1643"/>
      <c r="E565" s="1643"/>
      <c r="F565" s="1643"/>
      <c r="G565" s="1643"/>
      <c r="H565" s="1643"/>
      <c r="I565" s="1643"/>
      <c r="J565" s="1643"/>
      <c r="K565" s="1643"/>
      <c r="L565" s="1643"/>
      <c r="M565" s="1643"/>
      <c r="N565" s="1643"/>
      <c r="O565" s="1643"/>
      <c r="P565" s="1643"/>
      <c r="Q565" s="1643"/>
      <c r="R565" s="1643"/>
      <c r="S565" s="1643"/>
      <c r="T565" s="1643"/>
      <c r="U565" s="1643"/>
      <c r="V565" s="1643"/>
      <c r="W565" s="1643"/>
      <c r="X565" s="1643"/>
      <c r="Y565" s="1643"/>
      <c r="Z565" s="1643"/>
      <c r="AA565" s="1643"/>
      <c r="AB565" s="1643"/>
      <c r="AC565" s="1643"/>
      <c r="AD565" s="1643"/>
      <c r="AE565" s="1643"/>
      <c r="AF565" s="1643"/>
      <c r="AG565" s="1643"/>
      <c r="AH565" s="1643"/>
      <c r="AI565" s="1643"/>
      <c r="AJ565" s="1643"/>
      <c r="AK565" s="1643"/>
      <c r="AL565" s="1643"/>
      <c r="AM565" s="1643"/>
    </row>
    <row r="566" spans="1:39" ht="15.75" customHeight="1" x14ac:dyDescent="0.3">
      <c r="A566" s="1643"/>
      <c r="B566" s="1643"/>
      <c r="C566" s="1643"/>
      <c r="D566" s="1643"/>
      <c r="E566" s="1643"/>
      <c r="F566" s="1643"/>
      <c r="G566" s="1643"/>
      <c r="H566" s="1643"/>
      <c r="I566" s="1643"/>
      <c r="J566" s="1643"/>
      <c r="K566" s="1643"/>
      <c r="L566" s="1643"/>
      <c r="M566" s="1643"/>
      <c r="N566" s="1643"/>
      <c r="O566" s="1643"/>
      <c r="P566" s="1643"/>
      <c r="Q566" s="1643"/>
      <c r="R566" s="1643"/>
      <c r="S566" s="1643"/>
      <c r="T566" s="1643"/>
      <c r="U566" s="1643"/>
      <c r="V566" s="1643"/>
      <c r="W566" s="1643"/>
      <c r="X566" s="1643"/>
      <c r="Y566" s="1643"/>
      <c r="Z566" s="1643"/>
      <c r="AA566" s="1643"/>
      <c r="AB566" s="1643"/>
      <c r="AC566" s="1643"/>
      <c r="AD566" s="1643"/>
      <c r="AE566" s="1643"/>
      <c r="AF566" s="1643"/>
      <c r="AG566" s="1643"/>
      <c r="AH566" s="1643"/>
      <c r="AI566" s="1643"/>
      <c r="AJ566" s="1643"/>
      <c r="AK566" s="1643"/>
      <c r="AL566" s="1643"/>
      <c r="AM566" s="1643"/>
    </row>
    <row r="567" spans="1:39" ht="15.75" customHeight="1" x14ac:dyDescent="0.3">
      <c r="A567" s="1643"/>
      <c r="B567" s="1643"/>
      <c r="C567" s="1643"/>
      <c r="D567" s="1643"/>
      <c r="E567" s="1643"/>
      <c r="F567" s="1643"/>
      <c r="G567" s="1643"/>
      <c r="H567" s="1643"/>
      <c r="I567" s="1643"/>
      <c r="J567" s="1643"/>
      <c r="K567" s="1643"/>
      <c r="L567" s="1643"/>
      <c r="M567" s="1643"/>
      <c r="N567" s="1643"/>
      <c r="O567" s="1643"/>
      <c r="P567" s="1643"/>
      <c r="Q567" s="1643"/>
      <c r="R567" s="1643"/>
      <c r="S567" s="1643"/>
      <c r="T567" s="1643"/>
      <c r="U567" s="1643"/>
      <c r="V567" s="1643"/>
      <c r="W567" s="1643"/>
      <c r="X567" s="1643"/>
      <c r="Y567" s="1643"/>
      <c r="Z567" s="1643"/>
      <c r="AA567" s="1643"/>
      <c r="AB567" s="1643"/>
      <c r="AC567" s="1643"/>
      <c r="AD567" s="1643"/>
      <c r="AE567" s="1643"/>
      <c r="AF567" s="1643"/>
      <c r="AG567" s="1643"/>
      <c r="AH567" s="1643"/>
      <c r="AI567" s="1643"/>
      <c r="AJ567" s="1643"/>
      <c r="AK567" s="1643"/>
      <c r="AL567" s="1643"/>
      <c r="AM567" s="1643"/>
    </row>
    <row r="568" spans="1:39" ht="15.75" customHeight="1" x14ac:dyDescent="0.3">
      <c r="A568" s="1643"/>
      <c r="B568" s="1643"/>
      <c r="C568" s="1643"/>
      <c r="D568" s="1643"/>
      <c r="E568" s="1643"/>
      <c r="F568" s="1643"/>
      <c r="G568" s="1643"/>
      <c r="H568" s="1643"/>
      <c r="I568" s="1643"/>
      <c r="J568" s="1643"/>
      <c r="K568" s="1643"/>
      <c r="L568" s="1643"/>
      <c r="M568" s="1643"/>
      <c r="N568" s="1643"/>
      <c r="O568" s="1643"/>
      <c r="P568" s="1643"/>
      <c r="Q568" s="1643"/>
      <c r="R568" s="1643"/>
      <c r="S568" s="1643"/>
      <c r="T568" s="1643"/>
      <c r="U568" s="1643"/>
      <c r="V568" s="1643"/>
      <c r="W568" s="1643"/>
      <c r="X568" s="1643"/>
      <c r="Y568" s="1643"/>
      <c r="Z568" s="1643"/>
      <c r="AA568" s="1643"/>
      <c r="AB568" s="1643"/>
      <c r="AC568" s="1643"/>
      <c r="AD568" s="1643"/>
      <c r="AE568" s="1643"/>
      <c r="AF568" s="1643"/>
      <c r="AG568" s="1643"/>
      <c r="AH568" s="1643"/>
      <c r="AI568" s="1643"/>
      <c r="AJ568" s="1643"/>
      <c r="AK568" s="1643"/>
      <c r="AL568" s="1643"/>
      <c r="AM568" s="1643"/>
    </row>
    <row r="569" spans="1:39" ht="15.75" customHeight="1" x14ac:dyDescent="0.3">
      <c r="A569" s="1643"/>
      <c r="B569" s="1643"/>
      <c r="C569" s="1643"/>
      <c r="D569" s="1643"/>
      <c r="E569" s="1643"/>
      <c r="F569" s="1643"/>
      <c r="G569" s="1643"/>
      <c r="H569" s="1643"/>
      <c r="I569" s="1643"/>
      <c r="J569" s="1643"/>
      <c r="K569" s="1643"/>
      <c r="L569" s="1643"/>
      <c r="M569" s="1643"/>
      <c r="N569" s="1643"/>
      <c r="O569" s="1643"/>
      <c r="P569" s="1643"/>
      <c r="Q569" s="1643"/>
      <c r="R569" s="1643"/>
      <c r="S569" s="1643"/>
      <c r="T569" s="1643"/>
      <c r="U569" s="1643"/>
      <c r="V569" s="1643"/>
      <c r="W569" s="1643"/>
      <c r="X569" s="1643"/>
      <c r="Y569" s="1643"/>
      <c r="Z569" s="1643"/>
      <c r="AA569" s="1643"/>
      <c r="AB569" s="1643"/>
      <c r="AC569" s="1643"/>
      <c r="AD569" s="1643"/>
      <c r="AE569" s="1643"/>
      <c r="AF569" s="1643"/>
      <c r="AG569" s="1643"/>
      <c r="AH569" s="1643"/>
      <c r="AI569" s="1643"/>
      <c r="AJ569" s="1643"/>
      <c r="AK569" s="1643"/>
      <c r="AL569" s="1643"/>
      <c r="AM569" s="1643"/>
    </row>
    <row r="570" spans="1:39" ht="15.75" customHeight="1" x14ac:dyDescent="0.3">
      <c r="A570" s="1643"/>
      <c r="B570" s="1643"/>
      <c r="C570" s="1643"/>
      <c r="D570" s="1643"/>
      <c r="E570" s="1643"/>
      <c r="F570" s="1643"/>
      <c r="G570" s="1643"/>
      <c r="H570" s="1643"/>
      <c r="I570" s="1643"/>
      <c r="J570" s="1643"/>
      <c r="K570" s="1643"/>
      <c r="L570" s="1643"/>
      <c r="M570" s="1643"/>
      <c r="N570" s="1643"/>
      <c r="O570" s="1643"/>
      <c r="P570" s="1643"/>
      <c r="Q570" s="1643"/>
      <c r="R570" s="1643"/>
      <c r="S570" s="1643"/>
      <c r="T570" s="1643"/>
      <c r="U570" s="1643"/>
      <c r="V570" s="1643"/>
      <c r="W570" s="1643"/>
      <c r="X570" s="1643"/>
      <c r="Y570" s="1643"/>
      <c r="Z570" s="1643"/>
      <c r="AA570" s="1643"/>
      <c r="AB570" s="1643"/>
      <c r="AC570" s="1643"/>
      <c r="AD570" s="1643"/>
      <c r="AE570" s="1643"/>
      <c r="AF570" s="1643"/>
      <c r="AG570" s="1643"/>
      <c r="AH570" s="1643"/>
      <c r="AI570" s="1643"/>
      <c r="AJ570" s="1643"/>
      <c r="AK570" s="1643"/>
      <c r="AL570" s="1643"/>
      <c r="AM570" s="1643"/>
    </row>
    <row r="571" spans="1:39" ht="15.75" customHeight="1" x14ac:dyDescent="0.3">
      <c r="A571" s="1643"/>
      <c r="B571" s="1643"/>
      <c r="C571" s="1643"/>
      <c r="D571" s="1643"/>
      <c r="E571" s="1643"/>
      <c r="F571" s="1643"/>
      <c r="G571" s="1643"/>
      <c r="H571" s="1643"/>
      <c r="I571" s="1643"/>
      <c r="J571" s="1643"/>
      <c r="K571" s="1643"/>
      <c r="L571" s="1643"/>
      <c r="M571" s="1643"/>
      <c r="N571" s="1643"/>
      <c r="O571" s="1643"/>
      <c r="P571" s="1643"/>
      <c r="Q571" s="1643"/>
      <c r="R571" s="1643"/>
      <c r="S571" s="1643"/>
      <c r="T571" s="1643"/>
      <c r="U571" s="1643"/>
      <c r="V571" s="1643"/>
      <c r="W571" s="1643"/>
      <c r="X571" s="1643"/>
      <c r="Y571" s="1643"/>
      <c r="Z571" s="1643"/>
      <c r="AA571" s="1643"/>
      <c r="AB571" s="1643"/>
      <c r="AC571" s="1643"/>
      <c r="AD571" s="1643"/>
      <c r="AE571" s="1643"/>
      <c r="AF571" s="1643"/>
      <c r="AG571" s="1643"/>
      <c r="AH571" s="1643"/>
      <c r="AI571" s="1643"/>
      <c r="AJ571" s="1643"/>
      <c r="AK571" s="1643"/>
      <c r="AL571" s="1643"/>
      <c r="AM571" s="1643"/>
    </row>
    <row r="572" spans="1:39" ht="15.75" customHeight="1" x14ac:dyDescent="0.3">
      <c r="A572" s="1643"/>
      <c r="B572" s="1643"/>
      <c r="C572" s="1643"/>
      <c r="D572" s="1643"/>
      <c r="E572" s="1643"/>
      <c r="F572" s="1643"/>
      <c r="G572" s="1643"/>
      <c r="H572" s="1643"/>
      <c r="I572" s="1643"/>
      <c r="J572" s="1643"/>
      <c r="K572" s="1643"/>
      <c r="L572" s="1643"/>
      <c r="M572" s="1643"/>
      <c r="N572" s="1643"/>
      <c r="O572" s="1643"/>
      <c r="P572" s="1643"/>
      <c r="Q572" s="1643"/>
      <c r="R572" s="1643"/>
      <c r="S572" s="1643"/>
      <c r="T572" s="1643"/>
      <c r="U572" s="1643"/>
      <c r="V572" s="1643"/>
      <c r="W572" s="1643"/>
      <c r="X572" s="1643"/>
      <c r="Y572" s="1643"/>
      <c r="Z572" s="1643"/>
      <c r="AA572" s="1643"/>
      <c r="AB572" s="1643"/>
      <c r="AC572" s="1643"/>
      <c r="AD572" s="1643"/>
      <c r="AE572" s="1643"/>
      <c r="AF572" s="1643"/>
      <c r="AG572" s="1643"/>
      <c r="AH572" s="1643"/>
      <c r="AI572" s="1643"/>
      <c r="AJ572" s="1643"/>
      <c r="AK572" s="1643"/>
      <c r="AL572" s="1643"/>
      <c r="AM572" s="1643"/>
    </row>
    <row r="573" spans="1:39" ht="15.75" customHeight="1" x14ac:dyDescent="0.3">
      <c r="A573" s="1643"/>
      <c r="B573" s="1643"/>
      <c r="C573" s="1643"/>
      <c r="D573" s="1643"/>
      <c r="E573" s="1643"/>
      <c r="F573" s="1643"/>
      <c r="G573" s="1643"/>
      <c r="H573" s="1643"/>
      <c r="I573" s="1643"/>
      <c r="J573" s="1643"/>
      <c r="K573" s="1643"/>
      <c r="L573" s="1643"/>
      <c r="M573" s="1643"/>
      <c r="N573" s="1643"/>
      <c r="O573" s="1643"/>
      <c r="P573" s="1643"/>
      <c r="Q573" s="1643"/>
      <c r="R573" s="1643"/>
      <c r="S573" s="1643"/>
      <c r="T573" s="1643"/>
      <c r="U573" s="1643"/>
      <c r="V573" s="1643"/>
      <c r="W573" s="1643"/>
      <c r="X573" s="1643"/>
      <c r="Y573" s="1643"/>
      <c r="Z573" s="1643"/>
      <c r="AA573" s="1643"/>
      <c r="AB573" s="1643"/>
      <c r="AC573" s="1643"/>
      <c r="AD573" s="1643"/>
      <c r="AE573" s="1643"/>
      <c r="AF573" s="1643"/>
      <c r="AG573" s="1643"/>
      <c r="AH573" s="1643"/>
      <c r="AI573" s="1643"/>
      <c r="AJ573" s="1643"/>
      <c r="AK573" s="1643"/>
      <c r="AL573" s="1643"/>
      <c r="AM573" s="1643"/>
    </row>
    <row r="574" spans="1:39" ht="15.75" customHeight="1" x14ac:dyDescent="0.3">
      <c r="A574" s="1643"/>
      <c r="B574" s="1643"/>
      <c r="C574" s="1643"/>
      <c r="D574" s="1643"/>
      <c r="E574" s="1643"/>
      <c r="F574" s="1643"/>
      <c r="G574" s="1643"/>
      <c r="H574" s="1643"/>
      <c r="I574" s="1643"/>
      <c r="J574" s="1643"/>
      <c r="K574" s="1643"/>
      <c r="L574" s="1643"/>
      <c r="M574" s="1643"/>
      <c r="N574" s="1643"/>
      <c r="O574" s="1643"/>
      <c r="P574" s="1643"/>
      <c r="Q574" s="1643"/>
      <c r="R574" s="1643"/>
      <c r="S574" s="1643"/>
      <c r="T574" s="1643"/>
      <c r="U574" s="1643"/>
      <c r="V574" s="1643"/>
      <c r="W574" s="1643"/>
      <c r="X574" s="1643"/>
      <c r="Y574" s="1643"/>
      <c r="Z574" s="1643"/>
      <c r="AA574" s="1643"/>
      <c r="AB574" s="1643"/>
      <c r="AC574" s="1643"/>
      <c r="AD574" s="1643"/>
      <c r="AE574" s="1643"/>
      <c r="AF574" s="1643"/>
      <c r="AG574" s="1643"/>
      <c r="AH574" s="1643"/>
      <c r="AI574" s="1643"/>
      <c r="AJ574" s="1643"/>
      <c r="AK574" s="1643"/>
      <c r="AL574" s="1643"/>
      <c r="AM574" s="1643"/>
    </row>
    <row r="575" spans="1:39" ht="15.75" customHeight="1" x14ac:dyDescent="0.3">
      <c r="A575" s="1643"/>
      <c r="B575" s="1643"/>
      <c r="C575" s="1643"/>
      <c r="D575" s="1643"/>
      <c r="E575" s="1643"/>
      <c r="F575" s="1643"/>
      <c r="G575" s="1643"/>
      <c r="H575" s="1643"/>
      <c r="I575" s="1643"/>
      <c r="J575" s="1643"/>
      <c r="K575" s="1643"/>
      <c r="L575" s="1643"/>
      <c r="M575" s="1643"/>
      <c r="N575" s="1643"/>
      <c r="O575" s="1643"/>
      <c r="P575" s="1643"/>
      <c r="Q575" s="1643"/>
      <c r="R575" s="1643"/>
      <c r="S575" s="1643"/>
      <c r="T575" s="1643"/>
      <c r="U575" s="1643"/>
      <c r="V575" s="1643"/>
      <c r="W575" s="1643"/>
      <c r="X575" s="1643"/>
      <c r="Y575" s="1643"/>
      <c r="Z575" s="1643"/>
      <c r="AA575" s="1643"/>
      <c r="AB575" s="1643"/>
      <c r="AC575" s="1643"/>
      <c r="AD575" s="1643"/>
      <c r="AE575" s="1643"/>
      <c r="AF575" s="1643"/>
      <c r="AG575" s="1643"/>
      <c r="AH575" s="1643"/>
      <c r="AI575" s="1643"/>
      <c r="AJ575" s="1643"/>
      <c r="AK575" s="1643"/>
      <c r="AL575" s="1643"/>
      <c r="AM575" s="1643"/>
    </row>
    <row r="576" spans="1:39" ht="15.75" customHeight="1" x14ac:dyDescent="0.3">
      <c r="A576" s="1643"/>
      <c r="B576" s="1643"/>
      <c r="C576" s="1643"/>
      <c r="D576" s="1643"/>
      <c r="E576" s="1643"/>
      <c r="F576" s="1643"/>
      <c r="G576" s="1643"/>
      <c r="H576" s="1643"/>
      <c r="I576" s="1643"/>
      <c r="J576" s="1643"/>
      <c r="K576" s="1643"/>
      <c r="L576" s="1643"/>
      <c r="M576" s="1643"/>
      <c r="N576" s="1643"/>
      <c r="O576" s="1643"/>
      <c r="P576" s="1643"/>
      <c r="Q576" s="1643"/>
      <c r="R576" s="1643"/>
      <c r="S576" s="1643"/>
      <c r="T576" s="1643"/>
      <c r="U576" s="1643"/>
      <c r="V576" s="1643"/>
      <c r="W576" s="1643"/>
      <c r="X576" s="1643"/>
      <c r="Y576" s="1643"/>
      <c r="Z576" s="1643"/>
      <c r="AA576" s="1643"/>
      <c r="AB576" s="1643"/>
      <c r="AC576" s="1643"/>
      <c r="AD576" s="1643"/>
      <c r="AE576" s="1643"/>
      <c r="AF576" s="1643"/>
      <c r="AG576" s="1643"/>
      <c r="AH576" s="1643"/>
      <c r="AI576" s="1643"/>
      <c r="AJ576" s="1643"/>
      <c r="AK576" s="1643"/>
      <c r="AL576" s="1643"/>
      <c r="AM576" s="1643"/>
    </row>
    <row r="577" spans="1:39" ht="15.75" customHeight="1" x14ac:dyDescent="0.3">
      <c r="A577" s="1643"/>
      <c r="B577" s="1643"/>
      <c r="C577" s="1643"/>
      <c r="D577" s="1643"/>
      <c r="E577" s="1643"/>
      <c r="F577" s="1643"/>
      <c r="G577" s="1643"/>
      <c r="H577" s="1643"/>
      <c r="I577" s="1643"/>
      <c r="J577" s="1643"/>
      <c r="K577" s="1643"/>
      <c r="L577" s="1643"/>
      <c r="M577" s="1643"/>
      <c r="N577" s="1643"/>
      <c r="O577" s="1643"/>
      <c r="P577" s="1643"/>
      <c r="Q577" s="1643"/>
      <c r="R577" s="1643"/>
      <c r="S577" s="1643"/>
      <c r="T577" s="1643"/>
      <c r="U577" s="1643"/>
      <c r="V577" s="1643"/>
      <c r="W577" s="1643"/>
      <c r="X577" s="1643"/>
      <c r="Y577" s="1643"/>
      <c r="Z577" s="1643"/>
      <c r="AA577" s="1643"/>
      <c r="AB577" s="1643"/>
      <c r="AC577" s="1643"/>
      <c r="AD577" s="1643"/>
      <c r="AE577" s="1643"/>
      <c r="AF577" s="1643"/>
      <c r="AG577" s="1643"/>
      <c r="AH577" s="1643"/>
      <c r="AI577" s="1643"/>
      <c r="AJ577" s="1643"/>
      <c r="AK577" s="1643"/>
      <c r="AL577" s="1643"/>
      <c r="AM577" s="1643"/>
    </row>
    <row r="578" spans="1:39" ht="15.75" customHeight="1" x14ac:dyDescent="0.3">
      <c r="A578" s="1643"/>
      <c r="B578" s="1643"/>
      <c r="C578" s="1643"/>
      <c r="D578" s="1643"/>
      <c r="E578" s="1643"/>
      <c r="F578" s="1643"/>
      <c r="G578" s="1643"/>
      <c r="H578" s="1643"/>
      <c r="I578" s="1643"/>
      <c r="J578" s="1643"/>
      <c r="K578" s="1643"/>
      <c r="L578" s="1643"/>
      <c r="M578" s="1643"/>
      <c r="N578" s="1643"/>
      <c r="O578" s="1643"/>
      <c r="P578" s="1643"/>
      <c r="Q578" s="1643"/>
      <c r="R578" s="1643"/>
      <c r="S578" s="1643"/>
      <c r="T578" s="1643"/>
      <c r="U578" s="1643"/>
      <c r="V578" s="1643"/>
      <c r="W578" s="1643"/>
      <c r="X578" s="1643"/>
      <c r="Y578" s="1643"/>
      <c r="Z578" s="1643"/>
      <c r="AA578" s="1643"/>
      <c r="AB578" s="1643"/>
      <c r="AC578" s="1643"/>
      <c r="AD578" s="1643"/>
      <c r="AE578" s="1643"/>
      <c r="AF578" s="1643"/>
      <c r="AG578" s="1643"/>
      <c r="AH578" s="1643"/>
      <c r="AI578" s="1643"/>
      <c r="AJ578" s="1643"/>
      <c r="AK578" s="1643"/>
      <c r="AL578" s="1643"/>
      <c r="AM578" s="1643"/>
    </row>
    <row r="579" spans="1:39" ht="15.75" customHeight="1" x14ac:dyDescent="0.3">
      <c r="A579" s="1643"/>
      <c r="B579" s="1643"/>
      <c r="C579" s="1643"/>
      <c r="D579" s="1643"/>
      <c r="E579" s="1643"/>
      <c r="F579" s="1643"/>
      <c r="G579" s="1643"/>
      <c r="H579" s="1643"/>
      <c r="I579" s="1643"/>
      <c r="J579" s="1643"/>
      <c r="K579" s="1643"/>
      <c r="L579" s="1643"/>
      <c r="M579" s="1643"/>
      <c r="N579" s="1643"/>
      <c r="O579" s="1643"/>
      <c r="P579" s="1643"/>
      <c r="Q579" s="1643"/>
      <c r="R579" s="1643"/>
      <c r="S579" s="1643"/>
      <c r="T579" s="1643"/>
      <c r="U579" s="1643"/>
      <c r="V579" s="1643"/>
      <c r="W579" s="1643"/>
      <c r="X579" s="1643"/>
      <c r="Y579" s="1643"/>
      <c r="Z579" s="1643"/>
      <c r="AA579" s="1643"/>
      <c r="AB579" s="1643"/>
      <c r="AC579" s="1643"/>
      <c r="AD579" s="1643"/>
      <c r="AE579" s="1643"/>
      <c r="AF579" s="1643"/>
      <c r="AG579" s="1643"/>
      <c r="AH579" s="1643"/>
      <c r="AI579" s="1643"/>
      <c r="AJ579" s="1643"/>
      <c r="AK579" s="1643"/>
      <c r="AL579" s="1643"/>
      <c r="AM579" s="1643"/>
    </row>
    <row r="580" spans="1:39" ht="15.75" customHeight="1" x14ac:dyDescent="0.3">
      <c r="A580" s="1643"/>
      <c r="B580" s="1643"/>
      <c r="C580" s="1643"/>
      <c r="D580" s="1643"/>
      <c r="E580" s="1643"/>
      <c r="F580" s="1643"/>
      <c r="G580" s="1643"/>
      <c r="H580" s="1643"/>
      <c r="I580" s="1643"/>
      <c r="J580" s="1643"/>
      <c r="K580" s="1643"/>
      <c r="L580" s="1643"/>
      <c r="M580" s="1643"/>
      <c r="N580" s="1643"/>
      <c r="O580" s="1643"/>
      <c r="P580" s="1643"/>
      <c r="Q580" s="1643"/>
      <c r="R580" s="1643"/>
      <c r="S580" s="1643"/>
      <c r="T580" s="1643"/>
      <c r="U580" s="1643"/>
      <c r="V580" s="1643"/>
      <c r="W580" s="1643"/>
      <c r="X580" s="1643"/>
      <c r="Y580" s="1643"/>
      <c r="Z580" s="1643"/>
      <c r="AA580" s="1643"/>
      <c r="AB580" s="1643"/>
      <c r="AC580" s="1643"/>
      <c r="AD580" s="1643"/>
      <c r="AE580" s="1643"/>
      <c r="AF580" s="1643"/>
      <c r="AG580" s="1643"/>
      <c r="AH580" s="1643"/>
      <c r="AI580" s="1643"/>
      <c r="AJ580" s="1643"/>
      <c r="AK580" s="1643"/>
      <c r="AL580" s="1643"/>
      <c r="AM580" s="1643"/>
    </row>
    <row r="581" spans="1:39" ht="15.75" customHeight="1" x14ac:dyDescent="0.3">
      <c r="A581" s="1643"/>
      <c r="B581" s="1643"/>
      <c r="C581" s="1643"/>
      <c r="D581" s="1643"/>
      <c r="E581" s="1643"/>
      <c r="F581" s="1643"/>
      <c r="G581" s="1643"/>
      <c r="H581" s="1643"/>
      <c r="I581" s="1643"/>
      <c r="J581" s="1643"/>
      <c r="K581" s="1643"/>
      <c r="L581" s="1643"/>
      <c r="M581" s="1643"/>
      <c r="N581" s="1643"/>
      <c r="O581" s="1643"/>
      <c r="P581" s="1643"/>
      <c r="Q581" s="1643"/>
      <c r="R581" s="1643"/>
      <c r="S581" s="1643"/>
      <c r="T581" s="1643"/>
      <c r="U581" s="1643"/>
      <c r="V581" s="1643"/>
      <c r="W581" s="1643"/>
      <c r="X581" s="1643"/>
      <c r="Y581" s="1643"/>
      <c r="Z581" s="1643"/>
      <c r="AA581" s="1643"/>
      <c r="AB581" s="1643"/>
      <c r="AC581" s="1643"/>
      <c r="AD581" s="1643"/>
      <c r="AE581" s="1643"/>
      <c r="AF581" s="1643"/>
      <c r="AG581" s="1643"/>
      <c r="AH581" s="1643"/>
      <c r="AI581" s="1643"/>
      <c r="AJ581" s="1643"/>
      <c r="AK581" s="1643"/>
      <c r="AL581" s="1643"/>
      <c r="AM581" s="1643"/>
    </row>
    <row r="582" spans="1:39" ht="15.75" customHeight="1" x14ac:dyDescent="0.3">
      <c r="A582" s="1643"/>
      <c r="B582" s="1643"/>
      <c r="C582" s="1643"/>
      <c r="D582" s="1643"/>
      <c r="E582" s="1643"/>
      <c r="F582" s="1643"/>
      <c r="G582" s="1643"/>
      <c r="H582" s="1643"/>
      <c r="I582" s="1643"/>
      <c r="J582" s="1643"/>
      <c r="K582" s="1643"/>
      <c r="L582" s="1643"/>
      <c r="M582" s="1643"/>
      <c r="N582" s="1643"/>
      <c r="O582" s="1643"/>
      <c r="P582" s="1643"/>
      <c r="Q582" s="1643"/>
      <c r="R582" s="1643"/>
      <c r="S582" s="1643"/>
      <c r="T582" s="1643"/>
      <c r="U582" s="1643"/>
      <c r="V582" s="1643"/>
      <c r="W582" s="1643"/>
      <c r="X582" s="1643"/>
      <c r="Y582" s="1643"/>
      <c r="Z582" s="1643"/>
      <c r="AA582" s="1643"/>
      <c r="AB582" s="1643"/>
      <c r="AC582" s="1643"/>
      <c r="AD582" s="1643"/>
      <c r="AE582" s="1643"/>
      <c r="AF582" s="1643"/>
      <c r="AG582" s="1643"/>
      <c r="AH582" s="1643"/>
      <c r="AI582" s="1643"/>
      <c r="AJ582" s="1643"/>
      <c r="AK582" s="1643"/>
      <c r="AL582" s="1643"/>
      <c r="AM582" s="1643"/>
    </row>
    <row r="583" spans="1:39" ht="15.75" customHeight="1" x14ac:dyDescent="0.3">
      <c r="A583" s="1643"/>
      <c r="B583" s="1643"/>
      <c r="C583" s="1643"/>
      <c r="D583" s="1643"/>
      <c r="E583" s="1643"/>
      <c r="F583" s="1643"/>
      <c r="G583" s="1643"/>
      <c r="H583" s="1643"/>
      <c r="I583" s="1643"/>
      <c r="J583" s="1643"/>
      <c r="K583" s="1643"/>
      <c r="L583" s="1643"/>
      <c r="M583" s="1643"/>
      <c r="N583" s="1643"/>
      <c r="O583" s="1643"/>
      <c r="P583" s="1643"/>
      <c r="Q583" s="1643"/>
      <c r="R583" s="1643"/>
      <c r="S583" s="1643"/>
      <c r="T583" s="1643"/>
      <c r="U583" s="1643"/>
      <c r="V583" s="1643"/>
      <c r="W583" s="1643"/>
      <c r="X583" s="1643"/>
      <c r="Y583" s="1643"/>
      <c r="Z583" s="1643"/>
      <c r="AA583" s="1643"/>
      <c r="AB583" s="1643"/>
      <c r="AC583" s="1643"/>
      <c r="AD583" s="1643"/>
      <c r="AE583" s="1643"/>
      <c r="AF583" s="1643"/>
      <c r="AG583" s="1643"/>
      <c r="AH583" s="1643"/>
      <c r="AI583" s="1643"/>
      <c r="AJ583" s="1643"/>
      <c r="AK583" s="1643"/>
      <c r="AL583" s="1643"/>
      <c r="AM583" s="1643"/>
    </row>
    <row r="584" spans="1:39" ht="15.75" customHeight="1" x14ac:dyDescent="0.3">
      <c r="A584" s="1643"/>
      <c r="B584" s="1643"/>
      <c r="C584" s="1643"/>
      <c r="D584" s="1643"/>
      <c r="E584" s="1643"/>
      <c r="F584" s="1643"/>
      <c r="G584" s="1643"/>
      <c r="H584" s="1643"/>
      <c r="I584" s="1643"/>
      <c r="J584" s="1643"/>
      <c r="K584" s="1643"/>
      <c r="L584" s="1643"/>
      <c r="M584" s="1643"/>
      <c r="N584" s="1643"/>
      <c r="O584" s="1643"/>
      <c r="P584" s="1643"/>
      <c r="Q584" s="1643"/>
      <c r="R584" s="1643"/>
      <c r="S584" s="1643"/>
      <c r="T584" s="1643"/>
      <c r="U584" s="1643"/>
      <c r="V584" s="1643"/>
      <c r="W584" s="1643"/>
      <c r="X584" s="1643"/>
      <c r="Y584" s="1643"/>
      <c r="Z584" s="1643"/>
      <c r="AA584" s="1643"/>
      <c r="AB584" s="1643"/>
      <c r="AC584" s="1643"/>
      <c r="AD584" s="1643"/>
      <c r="AE584" s="1643"/>
      <c r="AF584" s="1643"/>
      <c r="AG584" s="1643"/>
      <c r="AH584" s="1643"/>
      <c r="AI584" s="1643"/>
      <c r="AJ584" s="1643"/>
      <c r="AK584" s="1643"/>
      <c r="AL584" s="1643"/>
      <c r="AM584" s="1643"/>
    </row>
    <row r="585" spans="1:39" ht="15.75" customHeight="1" x14ac:dyDescent="0.3">
      <c r="A585" s="1643"/>
      <c r="B585" s="1643"/>
      <c r="C585" s="1643"/>
      <c r="D585" s="1643"/>
      <c r="E585" s="1643"/>
      <c r="F585" s="1643"/>
      <c r="G585" s="1643"/>
      <c r="H585" s="1643"/>
      <c r="I585" s="1643"/>
      <c r="J585" s="1643"/>
      <c r="K585" s="1643"/>
      <c r="L585" s="1643"/>
      <c r="M585" s="1643"/>
      <c r="N585" s="1643"/>
      <c r="O585" s="1643"/>
      <c r="P585" s="1643"/>
      <c r="Q585" s="1643"/>
      <c r="R585" s="1643"/>
      <c r="S585" s="1643"/>
      <c r="T585" s="1643"/>
      <c r="U585" s="1643"/>
      <c r="V585" s="1643"/>
      <c r="W585" s="1643"/>
      <c r="X585" s="1643"/>
      <c r="Y585" s="1643"/>
      <c r="Z585" s="1643"/>
      <c r="AA585" s="1643"/>
      <c r="AB585" s="1643"/>
      <c r="AC585" s="1643"/>
      <c r="AD585" s="1643"/>
      <c r="AE585" s="1643"/>
      <c r="AF585" s="1643"/>
      <c r="AG585" s="1643"/>
      <c r="AH585" s="1643"/>
      <c r="AI585" s="1643"/>
      <c r="AJ585" s="1643"/>
      <c r="AK585" s="1643"/>
      <c r="AL585" s="1643"/>
      <c r="AM585" s="1643"/>
    </row>
    <row r="586" spans="1:39" ht="15.75" customHeight="1" x14ac:dyDescent="0.3">
      <c r="A586" s="1643"/>
      <c r="B586" s="1643"/>
      <c r="C586" s="1643"/>
      <c r="D586" s="1643"/>
      <c r="E586" s="1643"/>
      <c r="F586" s="1643"/>
      <c r="G586" s="1643"/>
      <c r="H586" s="1643"/>
      <c r="I586" s="1643"/>
      <c r="J586" s="1643"/>
      <c r="K586" s="1643"/>
      <c r="L586" s="1643"/>
      <c r="M586" s="1643"/>
      <c r="N586" s="1643"/>
      <c r="O586" s="1643"/>
      <c r="P586" s="1643"/>
      <c r="Q586" s="1643"/>
      <c r="R586" s="1643"/>
      <c r="S586" s="1643"/>
      <c r="T586" s="1643"/>
      <c r="U586" s="1643"/>
      <c r="V586" s="1643"/>
      <c r="W586" s="1643"/>
      <c r="X586" s="1643"/>
      <c r="Y586" s="1643"/>
      <c r="Z586" s="1643"/>
      <c r="AA586" s="1643"/>
      <c r="AB586" s="1643"/>
      <c r="AC586" s="1643"/>
      <c r="AD586" s="1643"/>
      <c r="AE586" s="1643"/>
      <c r="AF586" s="1643"/>
      <c r="AG586" s="1643"/>
      <c r="AH586" s="1643"/>
      <c r="AI586" s="1643"/>
      <c r="AJ586" s="1643"/>
      <c r="AK586" s="1643"/>
      <c r="AL586" s="1643"/>
      <c r="AM586" s="1643"/>
    </row>
    <row r="587" spans="1:39" ht="15.75" customHeight="1" x14ac:dyDescent="0.3">
      <c r="A587" s="1643"/>
      <c r="B587" s="1643"/>
      <c r="C587" s="1643"/>
      <c r="D587" s="1643"/>
      <c r="E587" s="1643"/>
      <c r="F587" s="1643"/>
      <c r="G587" s="1643"/>
      <c r="H587" s="1643"/>
      <c r="I587" s="1643"/>
      <c r="J587" s="1643"/>
      <c r="K587" s="1643"/>
      <c r="L587" s="1643"/>
      <c r="M587" s="1643"/>
      <c r="N587" s="1643"/>
      <c r="O587" s="1643"/>
      <c r="P587" s="1643"/>
      <c r="Q587" s="1643"/>
      <c r="R587" s="1643"/>
      <c r="S587" s="1643"/>
      <c r="T587" s="1643"/>
      <c r="U587" s="1643"/>
      <c r="V587" s="1643"/>
      <c r="W587" s="1643"/>
      <c r="X587" s="1643"/>
      <c r="Y587" s="1643"/>
      <c r="Z587" s="1643"/>
      <c r="AA587" s="1643"/>
      <c r="AB587" s="1643"/>
      <c r="AC587" s="1643"/>
      <c r="AD587" s="1643"/>
      <c r="AE587" s="1643"/>
      <c r="AF587" s="1643"/>
      <c r="AG587" s="1643"/>
      <c r="AH587" s="1643"/>
      <c r="AI587" s="1643"/>
      <c r="AJ587" s="1643"/>
      <c r="AK587" s="1643"/>
      <c r="AL587" s="1643"/>
      <c r="AM587" s="1643"/>
    </row>
    <row r="588" spans="1:39" ht="15.75" customHeight="1" x14ac:dyDescent="0.3">
      <c r="A588" s="1643"/>
      <c r="B588" s="1643"/>
      <c r="C588" s="1643"/>
      <c r="D588" s="1643"/>
      <c r="E588" s="1643"/>
      <c r="F588" s="1643"/>
      <c r="G588" s="1643"/>
      <c r="H588" s="1643"/>
      <c r="I588" s="1643"/>
      <c r="J588" s="1643"/>
      <c r="K588" s="1643"/>
      <c r="L588" s="1643"/>
      <c r="M588" s="1643"/>
      <c r="N588" s="1643"/>
      <c r="O588" s="1643"/>
      <c r="P588" s="1643"/>
      <c r="Q588" s="1643"/>
      <c r="R588" s="1643"/>
      <c r="S588" s="1643"/>
      <c r="T588" s="1643"/>
      <c r="U588" s="1643"/>
      <c r="V588" s="1643"/>
      <c r="W588" s="1643"/>
      <c r="X588" s="1643"/>
      <c r="Y588" s="1643"/>
      <c r="Z588" s="1643"/>
      <c r="AA588" s="1643"/>
      <c r="AB588" s="1643"/>
      <c r="AC588" s="1643"/>
      <c r="AD588" s="1643"/>
      <c r="AE588" s="1643"/>
      <c r="AF588" s="1643"/>
      <c r="AG588" s="1643"/>
      <c r="AH588" s="1643"/>
      <c r="AI588" s="1643"/>
      <c r="AJ588" s="1643"/>
      <c r="AK588" s="1643"/>
      <c r="AL588" s="1643"/>
      <c r="AM588" s="1643"/>
    </row>
    <row r="589" spans="1:39" ht="15.75" customHeight="1" x14ac:dyDescent="0.3">
      <c r="A589" s="1643"/>
      <c r="B589" s="1643"/>
      <c r="C589" s="1643"/>
      <c r="D589" s="1643"/>
      <c r="E589" s="1643"/>
      <c r="F589" s="1643"/>
      <c r="G589" s="1643"/>
      <c r="H589" s="1643"/>
      <c r="I589" s="1643"/>
      <c r="J589" s="1643"/>
      <c r="K589" s="1643"/>
      <c r="L589" s="1643"/>
      <c r="M589" s="1643"/>
      <c r="N589" s="1643"/>
      <c r="O589" s="1643"/>
      <c r="P589" s="1643"/>
      <c r="Q589" s="1643"/>
      <c r="R589" s="1643"/>
      <c r="S589" s="1643"/>
      <c r="T589" s="1643"/>
      <c r="U589" s="1643"/>
      <c r="V589" s="1643"/>
      <c r="W589" s="1643"/>
      <c r="X589" s="1643"/>
      <c r="Y589" s="1643"/>
      <c r="Z589" s="1643"/>
      <c r="AA589" s="1643"/>
      <c r="AB589" s="1643"/>
      <c r="AC589" s="1643"/>
      <c r="AD589" s="1643"/>
      <c r="AE589" s="1643"/>
      <c r="AF589" s="1643"/>
      <c r="AG589" s="1643"/>
      <c r="AH589" s="1643"/>
      <c r="AI589" s="1643"/>
      <c r="AJ589" s="1643"/>
      <c r="AK589" s="1643"/>
      <c r="AL589" s="1643"/>
      <c r="AM589" s="1643"/>
    </row>
    <row r="590" spans="1:39" ht="15.75" customHeight="1" x14ac:dyDescent="0.3">
      <c r="A590" s="1643"/>
      <c r="B590" s="1643"/>
      <c r="C590" s="1643"/>
      <c r="D590" s="1643"/>
      <c r="E590" s="1643"/>
      <c r="F590" s="1643"/>
      <c r="G590" s="1643"/>
      <c r="H590" s="1643"/>
      <c r="I590" s="1643"/>
      <c r="J590" s="1643"/>
      <c r="K590" s="1643"/>
      <c r="L590" s="1643"/>
      <c r="M590" s="1643"/>
      <c r="N590" s="1643"/>
      <c r="O590" s="1643"/>
      <c r="P590" s="1643"/>
      <c r="Q590" s="1643"/>
      <c r="R590" s="1643"/>
      <c r="S590" s="1643"/>
      <c r="T590" s="1643"/>
      <c r="U590" s="1643"/>
      <c r="V590" s="1643"/>
      <c r="W590" s="1643"/>
      <c r="X590" s="1643"/>
      <c r="Y590" s="1643"/>
      <c r="Z590" s="1643"/>
      <c r="AA590" s="1643"/>
      <c r="AB590" s="1643"/>
      <c r="AC590" s="1643"/>
      <c r="AD590" s="1643"/>
      <c r="AE590" s="1643"/>
      <c r="AF590" s="1643"/>
      <c r="AG590" s="1643"/>
      <c r="AH590" s="1643"/>
      <c r="AI590" s="1643"/>
      <c r="AJ590" s="1643"/>
      <c r="AK590" s="1643"/>
      <c r="AL590" s="1643"/>
      <c r="AM590" s="1643"/>
    </row>
    <row r="591" spans="1:39" ht="15.75" customHeight="1" x14ac:dyDescent="0.3">
      <c r="A591" s="1643"/>
      <c r="B591" s="1643"/>
      <c r="C591" s="1643"/>
      <c r="D591" s="1643"/>
      <c r="E591" s="1643"/>
      <c r="F591" s="1643"/>
      <c r="G591" s="1643"/>
      <c r="H591" s="1643"/>
      <c r="I591" s="1643"/>
      <c r="J591" s="1643"/>
      <c r="K591" s="1643"/>
      <c r="L591" s="1643"/>
      <c r="M591" s="1643"/>
      <c r="N591" s="1643"/>
      <c r="O591" s="1643"/>
      <c r="P591" s="1643"/>
      <c r="Q591" s="1643"/>
      <c r="R591" s="1643"/>
      <c r="S591" s="1643"/>
      <c r="T591" s="1643"/>
      <c r="U591" s="1643"/>
      <c r="V591" s="1643"/>
      <c r="W591" s="1643"/>
      <c r="X591" s="1643"/>
      <c r="Y591" s="1643"/>
      <c r="Z591" s="1643"/>
      <c r="AA591" s="1643"/>
      <c r="AB591" s="1643"/>
      <c r="AC591" s="1643"/>
      <c r="AD591" s="1643"/>
      <c r="AE591" s="1643"/>
      <c r="AF591" s="1643"/>
      <c r="AG591" s="1643"/>
      <c r="AH591" s="1643"/>
      <c r="AI591" s="1643"/>
      <c r="AJ591" s="1643"/>
      <c r="AK591" s="1643"/>
      <c r="AL591" s="1643"/>
      <c r="AM591" s="1643"/>
    </row>
    <row r="592" spans="1:39" ht="15.75" customHeight="1" x14ac:dyDescent="0.3">
      <c r="A592" s="1643"/>
      <c r="B592" s="1643"/>
      <c r="C592" s="1643"/>
      <c r="D592" s="1643"/>
      <c r="E592" s="1643"/>
      <c r="F592" s="1643"/>
      <c r="G592" s="1643"/>
      <c r="H592" s="1643"/>
      <c r="I592" s="1643"/>
      <c r="J592" s="1643"/>
      <c r="K592" s="1643"/>
      <c r="L592" s="1643"/>
      <c r="M592" s="1643"/>
      <c r="N592" s="1643"/>
      <c r="O592" s="1643"/>
      <c r="P592" s="1643"/>
      <c r="Q592" s="1643"/>
      <c r="R592" s="1643"/>
      <c r="S592" s="1643"/>
      <c r="T592" s="1643"/>
      <c r="U592" s="1643"/>
      <c r="V592" s="1643"/>
      <c r="W592" s="1643"/>
      <c r="X592" s="1643"/>
      <c r="Y592" s="1643"/>
      <c r="Z592" s="1643"/>
      <c r="AA592" s="1643"/>
      <c r="AB592" s="1643"/>
      <c r="AC592" s="1643"/>
      <c r="AD592" s="1643"/>
      <c r="AE592" s="1643"/>
      <c r="AF592" s="1643"/>
      <c r="AG592" s="1643"/>
      <c r="AH592" s="1643"/>
      <c r="AI592" s="1643"/>
      <c r="AJ592" s="1643"/>
      <c r="AK592" s="1643"/>
      <c r="AL592" s="1643"/>
      <c r="AM592" s="1643"/>
    </row>
    <row r="593" spans="1:39" ht="15.75" customHeight="1" x14ac:dyDescent="0.3">
      <c r="A593" s="1643"/>
      <c r="B593" s="1643"/>
      <c r="C593" s="1643"/>
      <c r="D593" s="1643"/>
      <c r="E593" s="1643"/>
      <c r="F593" s="1643"/>
      <c r="G593" s="1643"/>
      <c r="H593" s="1643"/>
      <c r="I593" s="1643"/>
      <c r="J593" s="1643"/>
      <c r="K593" s="1643"/>
      <c r="L593" s="1643"/>
      <c r="M593" s="1643"/>
      <c r="N593" s="1643"/>
      <c r="O593" s="1643"/>
      <c r="P593" s="1643"/>
      <c r="Q593" s="1643"/>
      <c r="R593" s="1643"/>
      <c r="S593" s="1643"/>
      <c r="T593" s="1643"/>
      <c r="U593" s="1643"/>
      <c r="V593" s="1643"/>
      <c r="W593" s="1643"/>
      <c r="X593" s="1643"/>
      <c r="Y593" s="1643"/>
      <c r="Z593" s="1643"/>
      <c r="AA593" s="1643"/>
      <c r="AB593" s="1643"/>
      <c r="AC593" s="1643"/>
      <c r="AD593" s="1643"/>
      <c r="AE593" s="1643"/>
      <c r="AF593" s="1643"/>
      <c r="AG593" s="1643"/>
      <c r="AH593" s="1643"/>
      <c r="AI593" s="1643"/>
      <c r="AJ593" s="1643"/>
      <c r="AK593" s="1643"/>
      <c r="AL593" s="1643"/>
      <c r="AM593" s="1643"/>
    </row>
    <row r="594" spans="1:39" ht="15.75" customHeight="1" x14ac:dyDescent="0.3">
      <c r="A594" s="1643"/>
      <c r="B594" s="1643"/>
      <c r="C594" s="1643"/>
      <c r="D594" s="1643"/>
      <c r="E594" s="1643"/>
      <c r="F594" s="1643"/>
      <c r="G594" s="1643"/>
      <c r="H594" s="1643"/>
      <c r="I594" s="1643"/>
      <c r="J594" s="1643"/>
      <c r="K594" s="1643"/>
      <c r="L594" s="1643"/>
      <c r="M594" s="1643"/>
      <c r="N594" s="1643"/>
      <c r="O594" s="1643"/>
      <c r="P594" s="1643"/>
      <c r="Q594" s="1643"/>
      <c r="R594" s="1643"/>
      <c r="S594" s="1643"/>
      <c r="T594" s="1643"/>
      <c r="U594" s="1643"/>
      <c r="V594" s="1643"/>
      <c r="W594" s="1643"/>
      <c r="X594" s="1643"/>
      <c r="Y594" s="1643"/>
      <c r="Z594" s="1643"/>
      <c r="AA594" s="1643"/>
      <c r="AB594" s="1643"/>
      <c r="AC594" s="1643"/>
      <c r="AD594" s="1643"/>
      <c r="AE594" s="1643"/>
      <c r="AF594" s="1643"/>
      <c r="AG594" s="1643"/>
      <c r="AH594" s="1643"/>
      <c r="AI594" s="1643"/>
      <c r="AJ594" s="1643"/>
      <c r="AK594" s="1643"/>
      <c r="AL594" s="1643"/>
      <c r="AM594" s="1643"/>
    </row>
    <row r="595" spans="1:39" ht="15.75" customHeight="1" x14ac:dyDescent="0.3">
      <c r="A595" s="1643"/>
      <c r="B595" s="1643"/>
      <c r="C595" s="1643"/>
      <c r="D595" s="1643"/>
      <c r="E595" s="1643"/>
      <c r="F595" s="1643"/>
      <c r="G595" s="1643"/>
      <c r="H595" s="1643"/>
      <c r="I595" s="1643"/>
      <c r="J595" s="1643"/>
      <c r="K595" s="1643"/>
      <c r="L595" s="1643"/>
      <c r="M595" s="1643"/>
      <c r="N595" s="1643"/>
      <c r="O595" s="1643"/>
      <c r="P595" s="1643"/>
      <c r="Q595" s="1643"/>
      <c r="R595" s="1643"/>
      <c r="S595" s="1643"/>
      <c r="T595" s="1643"/>
      <c r="U595" s="1643"/>
      <c r="V595" s="1643"/>
      <c r="W595" s="1643"/>
      <c r="X595" s="1643"/>
      <c r="Y595" s="1643"/>
      <c r="Z595" s="1643"/>
      <c r="AA595" s="1643"/>
      <c r="AB595" s="1643"/>
      <c r="AC595" s="1643"/>
      <c r="AD595" s="1643"/>
      <c r="AE595" s="1643"/>
      <c r="AF595" s="1643"/>
      <c r="AG595" s="1643"/>
      <c r="AH595" s="1643"/>
      <c r="AI595" s="1643"/>
      <c r="AJ595" s="1643"/>
      <c r="AK595" s="1643"/>
      <c r="AL595" s="1643"/>
      <c r="AM595" s="1643"/>
    </row>
    <row r="596" spans="1:39" ht="15.75" customHeight="1" x14ac:dyDescent="0.3">
      <c r="A596" s="1643"/>
      <c r="B596" s="1643"/>
      <c r="C596" s="1643"/>
      <c r="D596" s="1643"/>
      <c r="E596" s="1643"/>
      <c r="F596" s="1643"/>
      <c r="G596" s="1643"/>
      <c r="H596" s="1643"/>
      <c r="I596" s="1643"/>
      <c r="J596" s="1643"/>
      <c r="K596" s="1643"/>
      <c r="L596" s="1643"/>
      <c r="M596" s="1643"/>
      <c r="N596" s="1643"/>
      <c r="O596" s="1643"/>
      <c r="P596" s="1643"/>
      <c r="Q596" s="1643"/>
      <c r="R596" s="1643"/>
      <c r="S596" s="1643"/>
      <c r="T596" s="1643"/>
      <c r="U596" s="1643"/>
      <c r="V596" s="1643"/>
      <c r="W596" s="1643"/>
      <c r="X596" s="1643"/>
      <c r="Y596" s="1643"/>
      <c r="Z596" s="1643"/>
      <c r="AA596" s="1643"/>
      <c r="AB596" s="1643"/>
      <c r="AC596" s="1643"/>
      <c r="AD596" s="1643"/>
      <c r="AE596" s="1643"/>
      <c r="AF596" s="1643"/>
      <c r="AG596" s="1643"/>
      <c r="AH596" s="1643"/>
      <c r="AI596" s="1643"/>
      <c r="AJ596" s="1643"/>
      <c r="AK596" s="1643"/>
      <c r="AL596" s="1643"/>
      <c r="AM596" s="1643"/>
    </row>
    <row r="597" spans="1:39" ht="15.75" customHeight="1" x14ac:dyDescent="0.3">
      <c r="A597" s="1643"/>
      <c r="B597" s="1643"/>
      <c r="C597" s="1643"/>
      <c r="D597" s="1643"/>
      <c r="E597" s="1643"/>
      <c r="F597" s="1643"/>
      <c r="G597" s="1643"/>
      <c r="H597" s="1643"/>
      <c r="I597" s="1643"/>
      <c r="J597" s="1643"/>
      <c r="K597" s="1643"/>
      <c r="L597" s="1643"/>
      <c r="M597" s="1643"/>
      <c r="N597" s="1643"/>
      <c r="O597" s="1643"/>
      <c r="P597" s="1643"/>
      <c r="Q597" s="1643"/>
      <c r="R597" s="1643"/>
      <c r="S597" s="1643"/>
      <c r="T597" s="1643"/>
      <c r="U597" s="1643"/>
      <c r="V597" s="1643"/>
      <c r="W597" s="1643"/>
      <c r="X597" s="1643"/>
      <c r="Y597" s="1643"/>
      <c r="Z597" s="1643"/>
      <c r="AA597" s="1643"/>
      <c r="AB597" s="1643"/>
      <c r="AC597" s="1643"/>
      <c r="AD597" s="1643"/>
      <c r="AE597" s="1643"/>
      <c r="AF597" s="1643"/>
      <c r="AG597" s="1643"/>
      <c r="AH597" s="1643"/>
      <c r="AI597" s="1643"/>
      <c r="AJ597" s="1643"/>
      <c r="AK597" s="1643"/>
      <c r="AL597" s="1643"/>
      <c r="AM597" s="1643"/>
    </row>
    <row r="598" spans="1:39" ht="15.75" customHeight="1" x14ac:dyDescent="0.3">
      <c r="A598" s="1643"/>
      <c r="B598" s="1643"/>
      <c r="C598" s="1643"/>
      <c r="D598" s="1643"/>
      <c r="E598" s="1643"/>
      <c r="F598" s="1643"/>
      <c r="G598" s="1643"/>
      <c r="H598" s="1643"/>
      <c r="I598" s="1643"/>
      <c r="J598" s="1643"/>
      <c r="K598" s="1643"/>
      <c r="L598" s="1643"/>
      <c r="M598" s="1643"/>
      <c r="N598" s="1643"/>
      <c r="O598" s="1643"/>
      <c r="P598" s="1643"/>
      <c r="Q598" s="1643"/>
      <c r="R598" s="1643"/>
      <c r="S598" s="1643"/>
      <c r="T598" s="1643"/>
      <c r="U598" s="1643"/>
      <c r="V598" s="1643"/>
      <c r="W598" s="1643"/>
      <c r="X598" s="1643"/>
      <c r="Y598" s="1643"/>
      <c r="Z598" s="1643"/>
      <c r="AA598" s="1643"/>
      <c r="AB598" s="1643"/>
      <c r="AC598" s="1643"/>
      <c r="AD598" s="1643"/>
      <c r="AE598" s="1643"/>
      <c r="AF598" s="1643"/>
      <c r="AG598" s="1643"/>
      <c r="AH598" s="1643"/>
      <c r="AI598" s="1643"/>
      <c r="AJ598" s="1643"/>
      <c r="AK598" s="1643"/>
      <c r="AL598" s="1643"/>
      <c r="AM598" s="1643"/>
    </row>
    <row r="599" spans="1:39" ht="15.75" customHeight="1" x14ac:dyDescent="0.3">
      <c r="A599" s="1643"/>
      <c r="B599" s="1643"/>
      <c r="C599" s="1643"/>
      <c r="D599" s="1643"/>
      <c r="E599" s="1643"/>
      <c r="F599" s="1643"/>
      <c r="G599" s="1643"/>
      <c r="H599" s="1643"/>
      <c r="I599" s="1643"/>
      <c r="J599" s="1643"/>
      <c r="K599" s="1643"/>
      <c r="L599" s="1643"/>
      <c r="M599" s="1643"/>
      <c r="N599" s="1643"/>
      <c r="O599" s="1643"/>
      <c r="P599" s="1643"/>
      <c r="Q599" s="1643"/>
      <c r="R599" s="1643"/>
      <c r="S599" s="1643"/>
      <c r="T599" s="1643"/>
      <c r="U599" s="1643"/>
      <c r="V599" s="1643"/>
      <c r="W599" s="1643"/>
      <c r="X599" s="1643"/>
      <c r="Y599" s="1643"/>
      <c r="Z599" s="1643"/>
      <c r="AA599" s="1643"/>
      <c r="AB599" s="1643"/>
      <c r="AC599" s="1643"/>
      <c r="AD599" s="1643"/>
      <c r="AE599" s="1643"/>
      <c r="AF599" s="1643"/>
      <c r="AG599" s="1643"/>
      <c r="AH599" s="1643"/>
      <c r="AI599" s="1643"/>
      <c r="AJ599" s="1643"/>
      <c r="AK599" s="1643"/>
      <c r="AL599" s="1643"/>
      <c r="AM599" s="1643"/>
    </row>
    <row r="600" spans="1:39" ht="15.75" customHeight="1" x14ac:dyDescent="0.3">
      <c r="A600" s="1643"/>
      <c r="B600" s="1643"/>
      <c r="C600" s="1643"/>
      <c r="D600" s="1643"/>
      <c r="E600" s="1643"/>
      <c r="F600" s="1643"/>
      <c r="G600" s="1643"/>
      <c r="H600" s="1643"/>
      <c r="I600" s="1643"/>
      <c r="J600" s="1643"/>
      <c r="K600" s="1643"/>
      <c r="L600" s="1643"/>
      <c r="M600" s="1643"/>
      <c r="N600" s="1643"/>
      <c r="O600" s="1643"/>
      <c r="P600" s="1643"/>
      <c r="Q600" s="1643"/>
      <c r="R600" s="1643"/>
      <c r="S600" s="1643"/>
      <c r="T600" s="1643"/>
      <c r="U600" s="1643"/>
      <c r="V600" s="1643"/>
      <c r="W600" s="1643"/>
      <c r="X600" s="1643"/>
      <c r="Y600" s="1643"/>
      <c r="Z600" s="1643"/>
      <c r="AA600" s="1643"/>
      <c r="AB600" s="1643"/>
      <c r="AC600" s="1643"/>
      <c r="AD600" s="1643"/>
      <c r="AE600" s="1643"/>
      <c r="AF600" s="1643"/>
      <c r="AG600" s="1643"/>
      <c r="AH600" s="1643"/>
      <c r="AI600" s="1643"/>
      <c r="AJ600" s="1643"/>
      <c r="AK600" s="1643"/>
      <c r="AL600" s="1643"/>
      <c r="AM600" s="1643"/>
    </row>
    <row r="601" spans="1:39" ht="15.75" customHeight="1" x14ac:dyDescent="0.3">
      <c r="A601" s="1643"/>
      <c r="B601" s="1643"/>
      <c r="C601" s="1643"/>
      <c r="D601" s="1643"/>
      <c r="E601" s="1643"/>
      <c r="F601" s="1643"/>
      <c r="G601" s="1643"/>
      <c r="H601" s="1643"/>
      <c r="I601" s="1643"/>
      <c r="J601" s="1643"/>
      <c r="K601" s="1643"/>
      <c r="L601" s="1643"/>
      <c r="M601" s="1643"/>
      <c r="N601" s="1643"/>
      <c r="O601" s="1643"/>
      <c r="P601" s="1643"/>
      <c r="Q601" s="1643"/>
      <c r="R601" s="1643"/>
      <c r="S601" s="1643"/>
      <c r="T601" s="1643"/>
      <c r="U601" s="1643"/>
      <c r="V601" s="1643"/>
      <c r="W601" s="1643"/>
      <c r="X601" s="1643"/>
      <c r="Y601" s="1643"/>
      <c r="Z601" s="1643"/>
      <c r="AA601" s="1643"/>
      <c r="AB601" s="1643"/>
      <c r="AC601" s="1643"/>
      <c r="AD601" s="1643"/>
      <c r="AE601" s="1643"/>
      <c r="AF601" s="1643"/>
      <c r="AG601" s="1643"/>
      <c r="AH601" s="1643"/>
      <c r="AI601" s="1643"/>
      <c r="AJ601" s="1643"/>
      <c r="AK601" s="1643"/>
      <c r="AL601" s="1643"/>
      <c r="AM601" s="1643"/>
    </row>
    <row r="602" spans="1:39" ht="15.75" customHeight="1" x14ac:dyDescent="0.3">
      <c r="A602" s="1643"/>
      <c r="B602" s="1643"/>
      <c r="C602" s="1643"/>
      <c r="D602" s="1643"/>
      <c r="E602" s="1643"/>
      <c r="F602" s="1643"/>
      <c r="G602" s="1643"/>
      <c r="H602" s="1643"/>
      <c r="I602" s="1643"/>
      <c r="J602" s="1643"/>
      <c r="K602" s="1643"/>
      <c r="L602" s="1643"/>
      <c r="M602" s="1643"/>
      <c r="N602" s="1643"/>
      <c r="O602" s="1643"/>
      <c r="P602" s="1643"/>
      <c r="Q602" s="1643"/>
      <c r="R602" s="1643"/>
      <c r="S602" s="1643"/>
      <c r="T602" s="1643"/>
      <c r="U602" s="1643"/>
      <c r="V602" s="1643"/>
      <c r="W602" s="1643"/>
      <c r="X602" s="1643"/>
      <c r="Y602" s="1643"/>
      <c r="Z602" s="1643"/>
      <c r="AA602" s="1643"/>
      <c r="AB602" s="1643"/>
      <c r="AC602" s="1643"/>
      <c r="AD602" s="1643"/>
      <c r="AE602" s="1643"/>
      <c r="AF602" s="1643"/>
      <c r="AG602" s="1643"/>
      <c r="AH602" s="1643"/>
      <c r="AI602" s="1643"/>
      <c r="AJ602" s="1643"/>
      <c r="AK602" s="1643"/>
      <c r="AL602" s="1643"/>
      <c r="AM602" s="1643"/>
    </row>
    <row r="603" spans="1:39" ht="15.75" customHeight="1" x14ac:dyDescent="0.3">
      <c r="A603" s="1643"/>
      <c r="B603" s="1643"/>
      <c r="C603" s="1643"/>
      <c r="D603" s="1643"/>
      <c r="E603" s="1643"/>
      <c r="F603" s="1643"/>
      <c r="G603" s="1643"/>
      <c r="H603" s="1643"/>
      <c r="I603" s="1643"/>
      <c r="J603" s="1643"/>
      <c r="K603" s="1643"/>
      <c r="L603" s="1643"/>
      <c r="M603" s="1643"/>
      <c r="N603" s="1643"/>
      <c r="O603" s="1643"/>
      <c r="P603" s="1643"/>
      <c r="Q603" s="1643"/>
      <c r="R603" s="1643"/>
      <c r="S603" s="1643"/>
      <c r="T603" s="1643"/>
      <c r="U603" s="1643"/>
      <c r="V603" s="1643"/>
      <c r="W603" s="1643"/>
      <c r="X603" s="1643"/>
      <c r="Y603" s="1643"/>
      <c r="Z603" s="1643"/>
      <c r="AA603" s="1643"/>
      <c r="AB603" s="1643"/>
      <c r="AC603" s="1643"/>
      <c r="AD603" s="1643"/>
      <c r="AE603" s="1643"/>
      <c r="AF603" s="1643"/>
      <c r="AG603" s="1643"/>
      <c r="AH603" s="1643"/>
      <c r="AI603" s="1643"/>
      <c r="AJ603" s="1643"/>
      <c r="AK603" s="1643"/>
      <c r="AL603" s="1643"/>
      <c r="AM603" s="1643"/>
    </row>
    <row r="604" spans="1:39" ht="15.75" customHeight="1" x14ac:dyDescent="0.3">
      <c r="A604" s="1643"/>
      <c r="B604" s="1643"/>
      <c r="C604" s="1643"/>
      <c r="D604" s="1643"/>
      <c r="E604" s="1643"/>
      <c r="F604" s="1643"/>
      <c r="G604" s="1643"/>
      <c r="H604" s="1643"/>
      <c r="I604" s="1643"/>
      <c r="J604" s="1643"/>
      <c r="K604" s="1643"/>
      <c r="L604" s="1643"/>
      <c r="M604" s="1643"/>
      <c r="N604" s="1643"/>
      <c r="O604" s="1643"/>
      <c r="P604" s="1643"/>
      <c r="Q604" s="1643"/>
      <c r="R604" s="1643"/>
      <c r="S604" s="1643"/>
      <c r="T604" s="1643"/>
      <c r="U604" s="1643"/>
      <c r="V604" s="1643"/>
      <c r="W604" s="1643"/>
      <c r="X604" s="1643"/>
      <c r="Y604" s="1643"/>
      <c r="Z604" s="1643"/>
      <c r="AA604" s="1643"/>
      <c r="AB604" s="1643"/>
      <c r="AC604" s="1643"/>
      <c r="AD604" s="1643"/>
      <c r="AE604" s="1643"/>
      <c r="AF604" s="1643"/>
      <c r="AG604" s="1643"/>
      <c r="AH604" s="1643"/>
      <c r="AI604" s="1643"/>
      <c r="AJ604" s="1643"/>
      <c r="AK604" s="1643"/>
      <c r="AL604" s="1643"/>
      <c r="AM604" s="1643"/>
    </row>
    <row r="605" spans="1:39" ht="15.75" customHeight="1" x14ac:dyDescent="0.3">
      <c r="A605" s="1643"/>
      <c r="B605" s="1643"/>
      <c r="C605" s="1643"/>
      <c r="D605" s="1643"/>
      <c r="E605" s="1643"/>
      <c r="F605" s="1643"/>
      <c r="G605" s="1643"/>
      <c r="H605" s="1643"/>
      <c r="I605" s="1643"/>
      <c r="J605" s="1643"/>
      <c r="K605" s="1643"/>
      <c r="L605" s="1643"/>
      <c r="M605" s="1643"/>
      <c r="N605" s="1643"/>
      <c r="O605" s="1643"/>
      <c r="P605" s="1643"/>
      <c r="Q605" s="1643"/>
      <c r="R605" s="1643"/>
      <c r="S605" s="1643"/>
      <c r="T605" s="1643"/>
      <c r="U605" s="1643"/>
      <c r="V605" s="1643"/>
      <c r="W605" s="1643"/>
      <c r="X605" s="1643"/>
      <c r="Y605" s="1643"/>
      <c r="Z605" s="1643"/>
      <c r="AA605" s="1643"/>
      <c r="AB605" s="1643"/>
      <c r="AC605" s="1643"/>
      <c r="AD605" s="1643"/>
      <c r="AE605" s="1643"/>
      <c r="AF605" s="1643"/>
      <c r="AG605" s="1643"/>
      <c r="AH605" s="1643"/>
      <c r="AI605" s="1643"/>
      <c r="AJ605" s="1643"/>
      <c r="AK605" s="1643"/>
      <c r="AL605" s="1643"/>
      <c r="AM605" s="1643"/>
    </row>
    <row r="606" spans="1:39" ht="15.75" customHeight="1" x14ac:dyDescent="0.3">
      <c r="A606" s="1643"/>
      <c r="B606" s="1643"/>
      <c r="C606" s="1643"/>
      <c r="D606" s="1643"/>
      <c r="E606" s="1643"/>
      <c r="F606" s="1643"/>
      <c r="G606" s="1643"/>
      <c r="H606" s="1643"/>
      <c r="I606" s="1643"/>
      <c r="J606" s="1643"/>
      <c r="K606" s="1643"/>
      <c r="L606" s="1643"/>
      <c r="M606" s="1643"/>
      <c r="N606" s="1643"/>
      <c r="O606" s="1643"/>
      <c r="P606" s="1643"/>
      <c r="Q606" s="1643"/>
      <c r="R606" s="1643"/>
      <c r="S606" s="1643"/>
      <c r="T606" s="1643"/>
      <c r="U606" s="1643"/>
      <c r="V606" s="1643"/>
      <c r="W606" s="1643"/>
      <c r="X606" s="1643"/>
      <c r="Y606" s="1643"/>
      <c r="Z606" s="1643"/>
      <c r="AA606" s="1643"/>
      <c r="AB606" s="1643"/>
      <c r="AC606" s="1643"/>
      <c r="AD606" s="1643"/>
      <c r="AE606" s="1643"/>
      <c r="AF606" s="1643"/>
      <c r="AG606" s="1643"/>
      <c r="AH606" s="1643"/>
      <c r="AI606" s="1643"/>
      <c r="AJ606" s="1643"/>
      <c r="AK606" s="1643"/>
      <c r="AL606" s="1643"/>
      <c r="AM606" s="1643"/>
    </row>
    <row r="607" spans="1:39" ht="15.75" customHeight="1" x14ac:dyDescent="0.3">
      <c r="A607" s="1643"/>
      <c r="B607" s="1643"/>
      <c r="C607" s="1643"/>
      <c r="D607" s="1643"/>
      <c r="E607" s="1643"/>
      <c r="F607" s="1643"/>
      <c r="G607" s="1643"/>
      <c r="H607" s="1643"/>
      <c r="I607" s="1643"/>
      <c r="J607" s="1643"/>
      <c r="K607" s="1643"/>
      <c r="L607" s="1643"/>
      <c r="M607" s="1643"/>
      <c r="N607" s="1643"/>
      <c r="O607" s="1643"/>
      <c r="P607" s="1643"/>
      <c r="Q607" s="1643"/>
      <c r="R607" s="1643"/>
      <c r="S607" s="1643"/>
      <c r="T607" s="1643"/>
      <c r="U607" s="1643"/>
      <c r="V607" s="1643"/>
      <c r="W607" s="1643"/>
      <c r="X607" s="1643"/>
      <c r="Y607" s="1643"/>
      <c r="Z607" s="1643"/>
      <c r="AA607" s="1643"/>
      <c r="AB607" s="1643"/>
      <c r="AC607" s="1643"/>
      <c r="AD607" s="1643"/>
      <c r="AE607" s="1643"/>
      <c r="AF607" s="1643"/>
      <c r="AG607" s="1643"/>
      <c r="AH607" s="1643"/>
      <c r="AI607" s="1643"/>
      <c r="AJ607" s="1643"/>
      <c r="AK607" s="1643"/>
      <c r="AL607" s="1643"/>
      <c r="AM607" s="1643"/>
    </row>
    <row r="608" spans="1:39" ht="15.75" customHeight="1" x14ac:dyDescent="0.3">
      <c r="A608" s="1643"/>
      <c r="B608" s="1643"/>
      <c r="C608" s="1643"/>
      <c r="D608" s="1643"/>
      <c r="E608" s="1643"/>
      <c r="F608" s="1643"/>
      <c r="G608" s="1643"/>
      <c r="H608" s="1643"/>
      <c r="I608" s="1643"/>
      <c r="J608" s="1643"/>
      <c r="K608" s="1643"/>
      <c r="L608" s="1643"/>
      <c r="M608" s="1643"/>
      <c r="N608" s="1643"/>
      <c r="O608" s="1643"/>
      <c r="P608" s="1643"/>
      <c r="Q608" s="1643"/>
      <c r="R608" s="1643"/>
      <c r="S608" s="1643"/>
      <c r="T608" s="1643"/>
      <c r="U608" s="1643"/>
      <c r="V608" s="1643"/>
      <c r="W608" s="1643"/>
      <c r="X608" s="1643"/>
      <c r="Y608" s="1643"/>
      <c r="Z608" s="1643"/>
      <c r="AA608" s="1643"/>
      <c r="AB608" s="1643"/>
      <c r="AC608" s="1643"/>
      <c r="AD608" s="1643"/>
      <c r="AE608" s="1643"/>
      <c r="AF608" s="1643"/>
      <c r="AG608" s="1643"/>
      <c r="AH608" s="1643"/>
      <c r="AI608" s="1643"/>
      <c r="AJ608" s="1643"/>
      <c r="AK608" s="1643"/>
      <c r="AL608" s="1643"/>
      <c r="AM608" s="1643"/>
    </row>
    <row r="609" spans="1:39" ht="15.75" customHeight="1" x14ac:dyDescent="0.3">
      <c r="A609" s="1643"/>
      <c r="B609" s="1643"/>
      <c r="C609" s="1643"/>
      <c r="D609" s="1643"/>
      <c r="E609" s="1643"/>
      <c r="F609" s="1643"/>
      <c r="G609" s="1643"/>
      <c r="H609" s="1643"/>
      <c r="I609" s="1643"/>
      <c r="J609" s="1643"/>
      <c r="K609" s="1643"/>
      <c r="L609" s="1643"/>
      <c r="M609" s="1643"/>
      <c r="N609" s="1643"/>
      <c r="O609" s="1643"/>
      <c r="P609" s="1643"/>
      <c r="Q609" s="1643"/>
      <c r="R609" s="1643"/>
      <c r="S609" s="1643"/>
      <c r="T609" s="1643"/>
      <c r="U609" s="1643"/>
      <c r="V609" s="1643"/>
      <c r="W609" s="1643"/>
      <c r="X609" s="1643"/>
      <c r="Y609" s="1643"/>
      <c r="Z609" s="1643"/>
      <c r="AA609" s="1643"/>
      <c r="AB609" s="1643"/>
      <c r="AC609" s="1643"/>
      <c r="AD609" s="1643"/>
      <c r="AE609" s="1643"/>
      <c r="AF609" s="1643"/>
      <c r="AG609" s="1643"/>
      <c r="AH609" s="1643"/>
      <c r="AI609" s="1643"/>
      <c r="AJ609" s="1643"/>
      <c r="AK609" s="1643"/>
      <c r="AL609" s="1643"/>
      <c r="AM609" s="1643"/>
    </row>
    <row r="610" spans="1:39" ht="15.75" customHeight="1" x14ac:dyDescent="0.3">
      <c r="A610" s="1643"/>
      <c r="B610" s="1643"/>
      <c r="C610" s="1643"/>
      <c r="D610" s="1643"/>
      <c r="E610" s="1643"/>
      <c r="F610" s="1643"/>
      <c r="G610" s="1643"/>
      <c r="H610" s="1643"/>
      <c r="I610" s="1643"/>
      <c r="J610" s="1643"/>
      <c r="K610" s="1643"/>
      <c r="L610" s="1643"/>
      <c r="M610" s="1643"/>
      <c r="N610" s="1643"/>
      <c r="O610" s="1643"/>
      <c r="P610" s="1643"/>
      <c r="Q610" s="1643"/>
      <c r="R610" s="1643"/>
      <c r="S610" s="1643"/>
      <c r="T610" s="1643"/>
      <c r="U610" s="1643"/>
      <c r="V610" s="1643"/>
      <c r="W610" s="1643"/>
      <c r="X610" s="1643"/>
      <c r="Y610" s="1643"/>
      <c r="Z610" s="1643"/>
      <c r="AA610" s="1643"/>
      <c r="AB610" s="1643"/>
      <c r="AC610" s="1643"/>
      <c r="AD610" s="1643"/>
      <c r="AE610" s="1643"/>
      <c r="AF610" s="1643"/>
      <c r="AG610" s="1643"/>
      <c r="AH610" s="1643"/>
      <c r="AI610" s="1643"/>
      <c r="AJ610" s="1643"/>
      <c r="AK610" s="1643"/>
      <c r="AL610" s="1643"/>
      <c r="AM610" s="1643"/>
    </row>
    <row r="611" spans="1:39" ht="15.75" customHeight="1" x14ac:dyDescent="0.3">
      <c r="A611" s="1643"/>
      <c r="B611" s="1643"/>
      <c r="C611" s="1643"/>
      <c r="D611" s="1643"/>
      <c r="E611" s="1643"/>
      <c r="F611" s="1643"/>
      <c r="G611" s="1643"/>
      <c r="H611" s="1643"/>
      <c r="I611" s="1643"/>
      <c r="J611" s="1643"/>
      <c r="K611" s="1643"/>
      <c r="L611" s="1643"/>
      <c r="M611" s="1643"/>
      <c r="N611" s="1643"/>
      <c r="O611" s="1643"/>
      <c r="P611" s="1643"/>
      <c r="Q611" s="1643"/>
      <c r="R611" s="1643"/>
      <c r="S611" s="1643"/>
      <c r="T611" s="1643"/>
      <c r="U611" s="1643"/>
      <c r="V611" s="1643"/>
      <c r="W611" s="1643"/>
      <c r="X611" s="1643"/>
      <c r="Y611" s="1643"/>
      <c r="Z611" s="1643"/>
      <c r="AA611" s="1643"/>
      <c r="AB611" s="1643"/>
      <c r="AC611" s="1643"/>
      <c r="AD611" s="1643"/>
      <c r="AE611" s="1643"/>
      <c r="AF611" s="1643"/>
      <c r="AG611" s="1643"/>
      <c r="AH611" s="1643"/>
      <c r="AI611" s="1643"/>
      <c r="AJ611" s="1643"/>
      <c r="AK611" s="1643"/>
      <c r="AL611" s="1643"/>
      <c r="AM611" s="1643"/>
    </row>
    <row r="612" spans="1:39" ht="15.75" customHeight="1" x14ac:dyDescent="0.3">
      <c r="A612" s="1643"/>
      <c r="B612" s="1643"/>
      <c r="C612" s="1643"/>
      <c r="D612" s="1643"/>
      <c r="E612" s="1643"/>
      <c r="F612" s="1643"/>
      <c r="G612" s="1643"/>
      <c r="H612" s="1643"/>
      <c r="I612" s="1643"/>
      <c r="J612" s="1643"/>
      <c r="K612" s="1643"/>
      <c r="L612" s="1643"/>
      <c r="M612" s="1643"/>
      <c r="N612" s="1643"/>
      <c r="O612" s="1643"/>
      <c r="P612" s="1643"/>
      <c r="Q612" s="1643"/>
      <c r="R612" s="1643"/>
      <c r="S612" s="1643"/>
      <c r="T612" s="1643"/>
      <c r="U612" s="1643"/>
      <c r="V612" s="1643"/>
      <c r="W612" s="1643"/>
      <c r="X612" s="1643"/>
      <c r="Y612" s="1643"/>
      <c r="Z612" s="1643"/>
      <c r="AA612" s="1643"/>
      <c r="AB612" s="1643"/>
      <c r="AC612" s="1643"/>
      <c r="AD612" s="1643"/>
      <c r="AE612" s="1643"/>
      <c r="AF612" s="1643"/>
      <c r="AG612" s="1643"/>
      <c r="AH612" s="1643"/>
      <c r="AI612" s="1643"/>
      <c r="AJ612" s="1643"/>
      <c r="AK612" s="1643"/>
      <c r="AL612" s="1643"/>
      <c r="AM612" s="1643"/>
    </row>
    <row r="613" spans="1:39" ht="15.75" customHeight="1" x14ac:dyDescent="0.3">
      <c r="A613" s="1643"/>
      <c r="B613" s="1643"/>
      <c r="C613" s="1643"/>
      <c r="D613" s="1643"/>
      <c r="E613" s="1643"/>
      <c r="F613" s="1643"/>
      <c r="G613" s="1643"/>
      <c r="H613" s="1643"/>
      <c r="I613" s="1643"/>
      <c r="J613" s="1643"/>
      <c r="K613" s="1643"/>
      <c r="L613" s="1643"/>
      <c r="M613" s="1643"/>
      <c r="N613" s="1643"/>
      <c r="O613" s="1643"/>
      <c r="P613" s="1643"/>
      <c r="Q613" s="1643"/>
      <c r="R613" s="1643"/>
      <c r="S613" s="1643"/>
      <c r="T613" s="1643"/>
      <c r="U613" s="1643"/>
      <c r="V613" s="1643"/>
      <c r="W613" s="1643"/>
      <c r="X613" s="1643"/>
      <c r="Y613" s="1643"/>
      <c r="Z613" s="1643"/>
      <c r="AA613" s="1643"/>
      <c r="AB613" s="1643"/>
      <c r="AC613" s="1643"/>
      <c r="AD613" s="1643"/>
      <c r="AE613" s="1643"/>
      <c r="AF613" s="1643"/>
      <c r="AG613" s="1643"/>
      <c r="AH613" s="1643"/>
      <c r="AI613" s="1643"/>
      <c r="AJ613" s="1643"/>
      <c r="AK613" s="1643"/>
      <c r="AL613" s="1643"/>
      <c r="AM613" s="1643"/>
    </row>
    <row r="614" spans="1:39" ht="15.75" customHeight="1" x14ac:dyDescent="0.3">
      <c r="A614" s="1643"/>
      <c r="B614" s="1643"/>
      <c r="C614" s="1643"/>
      <c r="D614" s="1643"/>
      <c r="E614" s="1643"/>
      <c r="F614" s="1643"/>
      <c r="G614" s="1643"/>
      <c r="H614" s="1643"/>
      <c r="I614" s="1643"/>
      <c r="J614" s="1643"/>
      <c r="K614" s="1643"/>
      <c r="L614" s="1643"/>
      <c r="M614" s="1643"/>
      <c r="N614" s="1643"/>
      <c r="O614" s="1643"/>
      <c r="P614" s="1643"/>
      <c r="Q614" s="1643"/>
      <c r="R614" s="1643"/>
      <c r="S614" s="1643"/>
      <c r="T614" s="1643"/>
      <c r="U614" s="1643"/>
      <c r="V614" s="1643"/>
      <c r="W614" s="1643"/>
      <c r="X614" s="1643"/>
      <c r="Y614" s="1643"/>
      <c r="Z614" s="1643"/>
      <c r="AA614" s="1643"/>
      <c r="AB614" s="1643"/>
      <c r="AC614" s="1643"/>
      <c r="AD614" s="1643"/>
      <c r="AE614" s="1643"/>
      <c r="AF614" s="1643"/>
      <c r="AG614" s="1643"/>
      <c r="AH614" s="1643"/>
      <c r="AI614" s="1643"/>
      <c r="AJ614" s="1643"/>
      <c r="AK614" s="1643"/>
      <c r="AL614" s="1643"/>
      <c r="AM614" s="1643"/>
    </row>
    <row r="615" spans="1:39" ht="15.75" customHeight="1" x14ac:dyDescent="0.3">
      <c r="A615" s="1643"/>
      <c r="B615" s="1643"/>
      <c r="C615" s="1643"/>
      <c r="D615" s="1643"/>
      <c r="E615" s="1643"/>
      <c r="F615" s="1643"/>
      <c r="G615" s="1643"/>
      <c r="H615" s="1643"/>
      <c r="I615" s="1643"/>
      <c r="J615" s="1643"/>
      <c r="K615" s="1643"/>
      <c r="L615" s="1643"/>
      <c r="M615" s="1643"/>
      <c r="N615" s="1643"/>
      <c r="O615" s="1643"/>
      <c r="P615" s="1643"/>
      <c r="Q615" s="1643"/>
      <c r="R615" s="1643"/>
      <c r="S615" s="1643"/>
      <c r="T615" s="1643"/>
      <c r="U615" s="1643"/>
      <c r="V615" s="1643"/>
      <c r="W615" s="1643"/>
      <c r="X615" s="1643"/>
      <c r="Y615" s="1643"/>
      <c r="Z615" s="1643"/>
      <c r="AA615" s="1643"/>
      <c r="AB615" s="1643"/>
      <c r="AC615" s="1643"/>
      <c r="AD615" s="1643"/>
      <c r="AE615" s="1643"/>
      <c r="AF615" s="1643"/>
      <c r="AG615" s="1643"/>
      <c r="AH615" s="1643"/>
      <c r="AI615" s="1643"/>
      <c r="AJ615" s="1643"/>
      <c r="AK615" s="1643"/>
      <c r="AL615" s="1643"/>
      <c r="AM615" s="1643"/>
    </row>
    <row r="616" spans="1:39" ht="15.75" customHeight="1" x14ac:dyDescent="0.3">
      <c r="A616" s="1643"/>
      <c r="B616" s="1643"/>
      <c r="C616" s="1643"/>
      <c r="D616" s="1643"/>
      <c r="E616" s="1643"/>
      <c r="F616" s="1643"/>
      <c r="G616" s="1643"/>
      <c r="H616" s="1643"/>
      <c r="I616" s="1643"/>
      <c r="J616" s="1643"/>
      <c r="K616" s="1643"/>
      <c r="L616" s="1643"/>
      <c r="M616" s="1643"/>
      <c r="N616" s="1643"/>
      <c r="O616" s="1643"/>
      <c r="P616" s="1643"/>
      <c r="Q616" s="1643"/>
      <c r="R616" s="1643"/>
      <c r="S616" s="1643"/>
      <c r="T616" s="1643"/>
      <c r="U616" s="1643"/>
      <c r="V616" s="1643"/>
      <c r="W616" s="1643"/>
      <c r="X616" s="1643"/>
      <c r="Y616" s="1643"/>
      <c r="Z616" s="1643"/>
      <c r="AA616" s="1643"/>
      <c r="AB616" s="1643"/>
      <c r="AC616" s="1643"/>
      <c r="AD616" s="1643"/>
      <c r="AE616" s="1643"/>
      <c r="AF616" s="1643"/>
      <c r="AG616" s="1643"/>
      <c r="AH616" s="1643"/>
      <c r="AI616" s="1643"/>
      <c r="AJ616" s="1643"/>
      <c r="AK616" s="1643"/>
      <c r="AL616" s="1643"/>
      <c r="AM616" s="1643"/>
    </row>
    <row r="617" spans="1:39" ht="15.75" customHeight="1" x14ac:dyDescent="0.3">
      <c r="A617" s="1643"/>
      <c r="B617" s="1643"/>
      <c r="C617" s="1643"/>
      <c r="D617" s="1643"/>
      <c r="E617" s="1643"/>
      <c r="F617" s="1643"/>
      <c r="G617" s="1643"/>
      <c r="H617" s="1643"/>
      <c r="I617" s="1643"/>
      <c r="J617" s="1643"/>
      <c r="K617" s="1643"/>
      <c r="L617" s="1643"/>
      <c r="M617" s="1643"/>
      <c r="N617" s="1643"/>
      <c r="O617" s="1643"/>
      <c r="P617" s="1643"/>
      <c r="Q617" s="1643"/>
      <c r="R617" s="1643"/>
      <c r="S617" s="1643"/>
      <c r="T617" s="1643"/>
      <c r="U617" s="1643"/>
      <c r="V617" s="1643"/>
      <c r="W617" s="1643"/>
      <c r="X617" s="1643"/>
      <c r="Y617" s="1643"/>
      <c r="Z617" s="1643"/>
      <c r="AA617" s="1643"/>
      <c r="AB617" s="1643"/>
      <c r="AC617" s="1643"/>
      <c r="AD617" s="1643"/>
      <c r="AE617" s="1643"/>
      <c r="AF617" s="1643"/>
      <c r="AG617" s="1643"/>
      <c r="AH617" s="1643"/>
      <c r="AI617" s="1643"/>
      <c r="AJ617" s="1643"/>
      <c r="AK617" s="1643"/>
      <c r="AL617" s="1643"/>
      <c r="AM617" s="1643"/>
    </row>
    <row r="618" spans="1:39" ht="15.75" customHeight="1" x14ac:dyDescent="0.3">
      <c r="A618" s="1643"/>
      <c r="B618" s="1643"/>
      <c r="C618" s="1643"/>
      <c r="D618" s="1643"/>
      <c r="E618" s="1643"/>
      <c r="F618" s="1643"/>
      <c r="G618" s="1643"/>
      <c r="H618" s="1643"/>
      <c r="I618" s="1643"/>
      <c r="J618" s="1643"/>
      <c r="K618" s="1643"/>
      <c r="L618" s="1643"/>
      <c r="M618" s="1643"/>
      <c r="N618" s="1643"/>
      <c r="O618" s="1643"/>
      <c r="P618" s="1643"/>
      <c r="Q618" s="1643"/>
      <c r="R618" s="1643"/>
      <c r="S618" s="1643"/>
      <c r="T618" s="1643"/>
      <c r="U618" s="1643"/>
      <c r="V618" s="1643"/>
      <c r="W618" s="1643"/>
      <c r="X618" s="1643"/>
      <c r="Y618" s="1643"/>
      <c r="Z618" s="1643"/>
      <c r="AA618" s="1643"/>
      <c r="AB618" s="1643"/>
      <c r="AC618" s="1643"/>
      <c r="AD618" s="1643"/>
      <c r="AE618" s="1643"/>
      <c r="AF618" s="1643"/>
      <c r="AG618" s="1643"/>
      <c r="AH618" s="1643"/>
      <c r="AI618" s="1643"/>
      <c r="AJ618" s="1643"/>
      <c r="AK618" s="1643"/>
      <c r="AL618" s="1643"/>
      <c r="AM618" s="1643"/>
    </row>
    <row r="619" spans="1:39" ht="15.75" customHeight="1" x14ac:dyDescent="0.3">
      <c r="A619" s="1643"/>
      <c r="B619" s="1643"/>
      <c r="C619" s="1643"/>
      <c r="D619" s="1643"/>
      <c r="E619" s="1643"/>
      <c r="F619" s="1643"/>
      <c r="G619" s="1643"/>
      <c r="H619" s="1643"/>
      <c r="I619" s="1643"/>
      <c r="J619" s="1643"/>
      <c r="K619" s="1643"/>
      <c r="L619" s="1643"/>
      <c r="M619" s="1643"/>
      <c r="N619" s="1643"/>
      <c r="O619" s="1643"/>
      <c r="P619" s="1643"/>
      <c r="Q619" s="1643"/>
      <c r="R619" s="1643"/>
      <c r="S619" s="1643"/>
      <c r="T619" s="1643"/>
      <c r="U619" s="1643"/>
      <c r="V619" s="1643"/>
      <c r="W619" s="1643"/>
      <c r="X619" s="1643"/>
      <c r="Y619" s="1643"/>
      <c r="Z619" s="1643"/>
      <c r="AA619" s="1643"/>
      <c r="AB619" s="1643"/>
      <c r="AC619" s="1643"/>
      <c r="AD619" s="1643"/>
      <c r="AE619" s="1643"/>
      <c r="AF619" s="1643"/>
      <c r="AG619" s="1643"/>
      <c r="AH619" s="1643"/>
      <c r="AI619" s="1643"/>
      <c r="AJ619" s="1643"/>
      <c r="AK619" s="1643"/>
      <c r="AL619" s="1643"/>
      <c r="AM619" s="1643"/>
    </row>
    <row r="620" spans="1:39" ht="15.75" customHeight="1" x14ac:dyDescent="0.3">
      <c r="A620" s="1643"/>
      <c r="B620" s="1643"/>
      <c r="C620" s="1643"/>
      <c r="D620" s="1643"/>
      <c r="E620" s="1643"/>
      <c r="F620" s="1643"/>
      <c r="G620" s="1643"/>
      <c r="H620" s="1643"/>
      <c r="I620" s="1643"/>
      <c r="J620" s="1643"/>
      <c r="K620" s="1643"/>
      <c r="L620" s="1643"/>
      <c r="M620" s="1643"/>
      <c r="N620" s="1643"/>
      <c r="O620" s="1643"/>
      <c r="P620" s="1643"/>
      <c r="Q620" s="1643"/>
      <c r="R620" s="1643"/>
      <c r="S620" s="1643"/>
      <c r="T620" s="1643"/>
      <c r="U620" s="1643"/>
      <c r="V620" s="1643"/>
      <c r="W620" s="1643"/>
      <c r="X620" s="1643"/>
      <c r="Y620" s="1643"/>
      <c r="Z620" s="1643"/>
      <c r="AA620" s="1643"/>
      <c r="AB620" s="1643"/>
      <c r="AC620" s="1643"/>
      <c r="AD620" s="1643"/>
      <c r="AE620" s="1643"/>
      <c r="AF620" s="1643"/>
      <c r="AG620" s="1643"/>
      <c r="AH620" s="1643"/>
      <c r="AI620" s="1643"/>
      <c r="AJ620" s="1643"/>
      <c r="AK620" s="1643"/>
      <c r="AL620" s="1643"/>
      <c r="AM620" s="1643"/>
    </row>
    <row r="621" spans="1:39" ht="15.75" customHeight="1" x14ac:dyDescent="0.3">
      <c r="A621" s="1643"/>
      <c r="B621" s="1643"/>
      <c r="C621" s="1643"/>
      <c r="D621" s="1643"/>
      <c r="E621" s="1643"/>
      <c r="F621" s="1643"/>
      <c r="G621" s="1643"/>
      <c r="H621" s="1643"/>
      <c r="I621" s="1643"/>
      <c r="J621" s="1643"/>
      <c r="K621" s="1643"/>
      <c r="L621" s="1643"/>
      <c r="M621" s="1643"/>
      <c r="N621" s="1643"/>
      <c r="O621" s="1643"/>
      <c r="P621" s="1643"/>
      <c r="Q621" s="1643"/>
      <c r="R621" s="1643"/>
      <c r="S621" s="1643"/>
      <c r="T621" s="1643"/>
      <c r="U621" s="1643"/>
      <c r="V621" s="1643"/>
      <c r="W621" s="1643"/>
      <c r="X621" s="1643"/>
      <c r="Y621" s="1643"/>
      <c r="Z621" s="1643"/>
      <c r="AA621" s="1643"/>
      <c r="AB621" s="1643"/>
      <c r="AC621" s="1643"/>
      <c r="AD621" s="1643"/>
      <c r="AE621" s="1643"/>
      <c r="AF621" s="1643"/>
      <c r="AG621" s="1643"/>
      <c r="AH621" s="1643"/>
      <c r="AI621" s="1643"/>
      <c r="AJ621" s="1643"/>
      <c r="AK621" s="1643"/>
      <c r="AL621" s="1643"/>
      <c r="AM621" s="1643"/>
    </row>
    <row r="622" spans="1:39" ht="15.75" customHeight="1" x14ac:dyDescent="0.3">
      <c r="A622" s="1643"/>
      <c r="B622" s="1643"/>
      <c r="C622" s="1643"/>
      <c r="D622" s="1643"/>
      <c r="E622" s="1643"/>
      <c r="F622" s="1643"/>
      <c r="G622" s="1643"/>
      <c r="H622" s="1643"/>
      <c r="I622" s="1643"/>
      <c r="J622" s="1643"/>
      <c r="K622" s="1643"/>
      <c r="L622" s="1643"/>
      <c r="M622" s="1643"/>
      <c r="N622" s="1643"/>
      <c r="O622" s="1643"/>
      <c r="P622" s="1643"/>
      <c r="Q622" s="1643"/>
      <c r="R622" s="1643"/>
      <c r="S622" s="1643"/>
      <c r="T622" s="1643"/>
      <c r="U622" s="1643"/>
      <c r="V622" s="1643"/>
      <c r="W622" s="1643"/>
      <c r="X622" s="1643"/>
      <c r="Y622" s="1643"/>
      <c r="Z622" s="1643"/>
      <c r="AA622" s="1643"/>
      <c r="AB622" s="1643"/>
      <c r="AC622" s="1643"/>
      <c r="AD622" s="1643"/>
      <c r="AE622" s="1643"/>
      <c r="AF622" s="1643"/>
      <c r="AG622" s="1643"/>
      <c r="AH622" s="1643"/>
      <c r="AI622" s="1643"/>
      <c r="AJ622" s="1643"/>
      <c r="AK622" s="1643"/>
      <c r="AL622" s="1643"/>
      <c r="AM622" s="1643"/>
    </row>
    <row r="623" spans="1:39" ht="15.75" customHeight="1" x14ac:dyDescent="0.3">
      <c r="A623" s="1643"/>
      <c r="B623" s="1643"/>
      <c r="C623" s="1643"/>
      <c r="D623" s="1643"/>
      <c r="E623" s="1643"/>
      <c r="F623" s="1643"/>
      <c r="G623" s="1643"/>
      <c r="H623" s="1643"/>
      <c r="I623" s="1643"/>
      <c r="J623" s="1643"/>
      <c r="K623" s="1643"/>
      <c r="L623" s="1643"/>
      <c r="M623" s="1643"/>
      <c r="N623" s="1643"/>
      <c r="O623" s="1643"/>
      <c r="P623" s="1643"/>
      <c r="Q623" s="1643"/>
      <c r="R623" s="1643"/>
      <c r="S623" s="1643"/>
      <c r="T623" s="1643"/>
      <c r="U623" s="1643"/>
      <c r="V623" s="1643"/>
      <c r="W623" s="1643"/>
      <c r="X623" s="1643"/>
      <c r="Y623" s="1643"/>
      <c r="Z623" s="1643"/>
      <c r="AA623" s="1643"/>
      <c r="AB623" s="1643"/>
      <c r="AC623" s="1643"/>
      <c r="AD623" s="1643"/>
      <c r="AE623" s="1643"/>
      <c r="AF623" s="1643"/>
      <c r="AG623" s="1643"/>
      <c r="AH623" s="1643"/>
      <c r="AI623" s="1643"/>
      <c r="AJ623" s="1643"/>
      <c r="AK623" s="1643"/>
      <c r="AL623" s="1643"/>
      <c r="AM623" s="1643"/>
    </row>
    <row r="624" spans="1:39" ht="15.75" customHeight="1" x14ac:dyDescent="0.3">
      <c r="A624" s="1643"/>
      <c r="B624" s="1643"/>
      <c r="C624" s="1643"/>
      <c r="D624" s="1643"/>
      <c r="E624" s="1643"/>
      <c r="F624" s="1643"/>
      <c r="G624" s="1643"/>
      <c r="H624" s="1643"/>
      <c r="I624" s="1643"/>
      <c r="J624" s="1643"/>
      <c r="K624" s="1643"/>
      <c r="L624" s="1643"/>
      <c r="M624" s="1643"/>
      <c r="N624" s="1643"/>
      <c r="O624" s="1643"/>
      <c r="P624" s="1643"/>
      <c r="Q624" s="1643"/>
      <c r="R624" s="1643"/>
      <c r="S624" s="1643"/>
      <c r="T624" s="1643"/>
      <c r="U624" s="1643"/>
      <c r="V624" s="1643"/>
      <c r="W624" s="1643"/>
      <c r="X624" s="1643"/>
      <c r="Y624" s="1643"/>
      <c r="Z624" s="1643"/>
      <c r="AA624" s="1643"/>
      <c r="AB624" s="1643"/>
      <c r="AC624" s="1643"/>
      <c r="AD624" s="1643"/>
      <c r="AE624" s="1643"/>
      <c r="AF624" s="1643"/>
      <c r="AG624" s="1643"/>
      <c r="AH624" s="1643"/>
      <c r="AI624" s="1643"/>
      <c r="AJ624" s="1643"/>
      <c r="AK624" s="1643"/>
      <c r="AL624" s="1643"/>
      <c r="AM624" s="1643"/>
    </row>
    <row r="625" spans="1:39" ht="15.75" customHeight="1" x14ac:dyDescent="0.3">
      <c r="A625" s="1643"/>
      <c r="B625" s="1643"/>
      <c r="C625" s="1643"/>
      <c r="D625" s="1643"/>
      <c r="E625" s="1643"/>
      <c r="F625" s="1643"/>
      <c r="G625" s="1643"/>
      <c r="H625" s="1643"/>
      <c r="I625" s="1643"/>
      <c r="J625" s="1643"/>
      <c r="K625" s="1643"/>
      <c r="L625" s="1643"/>
      <c r="M625" s="1643"/>
      <c r="N625" s="1643"/>
      <c r="O625" s="1643"/>
      <c r="P625" s="1643"/>
      <c r="Q625" s="1643"/>
      <c r="R625" s="1643"/>
      <c r="S625" s="1643"/>
      <c r="T625" s="1643"/>
      <c r="U625" s="1643"/>
      <c r="V625" s="1643"/>
      <c r="W625" s="1643"/>
      <c r="X625" s="1643"/>
      <c r="Y625" s="1643"/>
      <c r="Z625" s="1643"/>
      <c r="AA625" s="1643"/>
      <c r="AB625" s="1643"/>
      <c r="AC625" s="1643"/>
      <c r="AD625" s="1643"/>
      <c r="AE625" s="1643"/>
      <c r="AF625" s="1643"/>
      <c r="AG625" s="1643"/>
      <c r="AH625" s="1643"/>
      <c r="AI625" s="1643"/>
      <c r="AJ625" s="1643"/>
      <c r="AK625" s="1643"/>
      <c r="AL625" s="1643"/>
      <c r="AM625" s="1643"/>
    </row>
    <row r="626" spans="1:39" ht="15.75" customHeight="1" x14ac:dyDescent="0.3">
      <c r="A626" s="1643"/>
      <c r="B626" s="1643"/>
      <c r="C626" s="1643"/>
      <c r="D626" s="1643"/>
      <c r="E626" s="1643"/>
      <c r="F626" s="1643"/>
      <c r="G626" s="1643"/>
      <c r="H626" s="1643"/>
      <c r="I626" s="1643"/>
      <c r="J626" s="1643"/>
      <c r="K626" s="1643"/>
      <c r="L626" s="1643"/>
      <c r="M626" s="1643"/>
      <c r="N626" s="1643"/>
      <c r="O626" s="1643"/>
      <c r="P626" s="1643"/>
      <c r="Q626" s="1643"/>
      <c r="R626" s="1643"/>
      <c r="S626" s="1643"/>
      <c r="T626" s="1643"/>
      <c r="U626" s="1643"/>
      <c r="V626" s="1643"/>
      <c r="W626" s="1643"/>
      <c r="X626" s="1643"/>
      <c r="Y626" s="1643"/>
      <c r="Z626" s="1643"/>
      <c r="AA626" s="1643"/>
      <c r="AB626" s="1643"/>
      <c r="AC626" s="1643"/>
      <c r="AD626" s="1643"/>
      <c r="AE626" s="1643"/>
      <c r="AF626" s="1643"/>
      <c r="AG626" s="1643"/>
      <c r="AH626" s="1643"/>
      <c r="AI626" s="1643"/>
      <c r="AJ626" s="1643"/>
      <c r="AK626" s="1643"/>
      <c r="AL626" s="1643"/>
      <c r="AM626" s="1643"/>
    </row>
    <row r="627" spans="1:39" ht="15.75" customHeight="1" x14ac:dyDescent="0.3">
      <c r="A627" s="1643"/>
      <c r="B627" s="1643"/>
      <c r="C627" s="1643"/>
      <c r="D627" s="1643"/>
      <c r="E627" s="1643"/>
      <c r="F627" s="1643"/>
      <c r="G627" s="1643"/>
      <c r="H627" s="1643"/>
      <c r="I627" s="1643"/>
      <c r="J627" s="1643"/>
      <c r="K627" s="1643"/>
      <c r="L627" s="1643"/>
      <c r="M627" s="1643"/>
      <c r="N627" s="1643"/>
      <c r="O627" s="1643"/>
      <c r="P627" s="1643"/>
      <c r="Q627" s="1643"/>
      <c r="R627" s="1643"/>
      <c r="S627" s="1643"/>
      <c r="T627" s="1643"/>
      <c r="U627" s="1643"/>
      <c r="V627" s="1643"/>
      <c r="W627" s="1643"/>
      <c r="X627" s="1643"/>
      <c r="Y627" s="1643"/>
      <c r="Z627" s="1643"/>
      <c r="AA627" s="1643"/>
      <c r="AB627" s="1643"/>
      <c r="AC627" s="1643"/>
      <c r="AD627" s="1643"/>
      <c r="AE627" s="1643"/>
      <c r="AF627" s="1643"/>
      <c r="AG627" s="1643"/>
      <c r="AH627" s="1643"/>
      <c r="AI627" s="1643"/>
      <c r="AJ627" s="1643"/>
      <c r="AK627" s="1643"/>
      <c r="AL627" s="1643"/>
      <c r="AM627" s="1643"/>
    </row>
    <row r="628" spans="1:39" ht="15.75" customHeight="1" x14ac:dyDescent="0.3">
      <c r="A628" s="1643"/>
      <c r="B628" s="1643"/>
      <c r="C628" s="1643"/>
      <c r="D628" s="1643"/>
      <c r="E628" s="1643"/>
      <c r="F628" s="1643"/>
      <c r="G628" s="1643"/>
      <c r="H628" s="1643"/>
      <c r="I628" s="1643"/>
      <c r="J628" s="1643"/>
      <c r="K628" s="1643"/>
      <c r="L628" s="1643"/>
      <c r="M628" s="1643"/>
      <c r="N628" s="1643"/>
      <c r="O628" s="1643"/>
      <c r="P628" s="1643"/>
      <c r="Q628" s="1643"/>
      <c r="R628" s="1643"/>
      <c r="S628" s="1643"/>
      <c r="T628" s="1643"/>
      <c r="U628" s="1643"/>
      <c r="V628" s="1643"/>
      <c r="W628" s="1643"/>
      <c r="X628" s="1643"/>
      <c r="Y628" s="1643"/>
      <c r="Z628" s="1643"/>
      <c r="AA628" s="1643"/>
      <c r="AB628" s="1643"/>
      <c r="AC628" s="1643"/>
      <c r="AD628" s="1643"/>
      <c r="AE628" s="1643"/>
      <c r="AF628" s="1643"/>
      <c r="AG628" s="1643"/>
      <c r="AH628" s="1643"/>
      <c r="AI628" s="1643"/>
      <c r="AJ628" s="1643"/>
      <c r="AK628" s="1643"/>
      <c r="AL628" s="1643"/>
      <c r="AM628" s="1643"/>
    </row>
    <row r="629" spans="1:39" ht="15.75" customHeight="1" x14ac:dyDescent="0.3">
      <c r="A629" s="1643"/>
      <c r="B629" s="1643"/>
      <c r="C629" s="1643"/>
      <c r="D629" s="1643"/>
      <c r="E629" s="1643"/>
      <c r="F629" s="1643"/>
      <c r="G629" s="1643"/>
      <c r="H629" s="1643"/>
      <c r="I629" s="1643"/>
      <c r="J629" s="1643"/>
      <c r="K629" s="1643"/>
      <c r="L629" s="1643"/>
      <c r="M629" s="1643"/>
      <c r="N629" s="1643"/>
      <c r="O629" s="1643"/>
      <c r="P629" s="1643"/>
      <c r="Q629" s="1643"/>
      <c r="R629" s="1643"/>
      <c r="S629" s="1643"/>
      <c r="T629" s="1643"/>
      <c r="U629" s="1643"/>
      <c r="V629" s="1643"/>
      <c r="W629" s="1643"/>
      <c r="X629" s="1643"/>
      <c r="Y629" s="1643"/>
      <c r="Z629" s="1643"/>
      <c r="AA629" s="1643"/>
      <c r="AB629" s="1643"/>
      <c r="AC629" s="1643"/>
      <c r="AD629" s="1643"/>
      <c r="AE629" s="1643"/>
      <c r="AF629" s="1643"/>
      <c r="AG629" s="1643"/>
      <c r="AH629" s="1643"/>
      <c r="AI629" s="1643"/>
      <c r="AJ629" s="1643"/>
      <c r="AK629" s="1643"/>
      <c r="AL629" s="1643"/>
      <c r="AM629" s="1643"/>
    </row>
    <row r="630" spans="1:39" ht="15.75" customHeight="1" x14ac:dyDescent="0.3">
      <c r="A630" s="1643"/>
      <c r="B630" s="1643"/>
      <c r="C630" s="1643"/>
      <c r="D630" s="1643"/>
      <c r="E630" s="1643"/>
      <c r="F630" s="1643"/>
      <c r="G630" s="1643"/>
      <c r="H630" s="1643"/>
      <c r="I630" s="1643"/>
      <c r="J630" s="1643"/>
      <c r="K630" s="1643"/>
      <c r="L630" s="1643"/>
      <c r="M630" s="1643"/>
      <c r="N630" s="1643"/>
      <c r="O630" s="1643"/>
      <c r="P630" s="1643"/>
      <c r="Q630" s="1643"/>
      <c r="R630" s="1643"/>
      <c r="S630" s="1643"/>
      <c r="T630" s="1643"/>
      <c r="U630" s="1643"/>
      <c r="V630" s="1643"/>
      <c r="W630" s="1643"/>
      <c r="X630" s="1643"/>
      <c r="Y630" s="1643"/>
      <c r="Z630" s="1643"/>
      <c r="AA630" s="1643"/>
      <c r="AB630" s="1643"/>
      <c r="AC630" s="1643"/>
      <c r="AD630" s="1643"/>
      <c r="AE630" s="1643"/>
      <c r="AF630" s="1643"/>
      <c r="AG630" s="1643"/>
      <c r="AH630" s="1643"/>
      <c r="AI630" s="1643"/>
      <c r="AJ630" s="1643"/>
      <c r="AK630" s="1643"/>
      <c r="AL630" s="1643"/>
      <c r="AM630" s="1643"/>
    </row>
    <row r="631" spans="1:39" ht="15.75" customHeight="1" x14ac:dyDescent="0.3">
      <c r="A631" s="1643"/>
      <c r="B631" s="1643"/>
      <c r="C631" s="1643"/>
      <c r="D631" s="1643"/>
      <c r="E631" s="1643"/>
      <c r="F631" s="1643"/>
      <c r="G631" s="1643"/>
      <c r="H631" s="1643"/>
      <c r="I631" s="1643"/>
      <c r="J631" s="1643"/>
      <c r="K631" s="1643"/>
      <c r="L631" s="1643"/>
      <c r="M631" s="1643"/>
      <c r="N631" s="1643"/>
      <c r="O631" s="1643"/>
      <c r="P631" s="1643"/>
      <c r="Q631" s="1643"/>
      <c r="R631" s="1643"/>
      <c r="S631" s="1643"/>
      <c r="T631" s="1643"/>
      <c r="U631" s="1643"/>
      <c r="V631" s="1643"/>
      <c r="W631" s="1643"/>
      <c r="X631" s="1643"/>
      <c r="Y631" s="1643"/>
      <c r="Z631" s="1643"/>
      <c r="AA631" s="1643"/>
      <c r="AB631" s="1643"/>
      <c r="AC631" s="1643"/>
      <c r="AD631" s="1643"/>
      <c r="AE631" s="1643"/>
      <c r="AF631" s="1643"/>
      <c r="AG631" s="1643"/>
      <c r="AH631" s="1643"/>
      <c r="AI631" s="1643"/>
      <c r="AJ631" s="1643"/>
      <c r="AK631" s="1643"/>
      <c r="AL631" s="1643"/>
      <c r="AM631" s="1643"/>
    </row>
    <row r="632" spans="1:39" ht="15.75" customHeight="1" x14ac:dyDescent="0.3">
      <c r="A632" s="1643"/>
      <c r="B632" s="1643"/>
      <c r="C632" s="1643"/>
      <c r="D632" s="1643"/>
      <c r="E632" s="1643"/>
      <c r="F632" s="1643"/>
      <c r="G632" s="1643"/>
      <c r="H632" s="1643"/>
      <c r="I632" s="1643"/>
      <c r="J632" s="1643"/>
      <c r="K632" s="1643"/>
      <c r="L632" s="1643"/>
      <c r="M632" s="1643"/>
      <c r="N632" s="1643"/>
      <c r="O632" s="1643"/>
      <c r="P632" s="1643"/>
      <c r="Q632" s="1643"/>
      <c r="R632" s="1643"/>
      <c r="S632" s="1643"/>
      <c r="T632" s="1643"/>
      <c r="U632" s="1643"/>
      <c r="V632" s="1643"/>
      <c r="W632" s="1643"/>
      <c r="X632" s="1643"/>
      <c r="Y632" s="1643"/>
      <c r="Z632" s="1643"/>
      <c r="AA632" s="1643"/>
      <c r="AB632" s="1643"/>
      <c r="AC632" s="1643"/>
      <c r="AD632" s="1643"/>
      <c r="AE632" s="1643"/>
      <c r="AF632" s="1643"/>
      <c r="AG632" s="1643"/>
      <c r="AH632" s="1643"/>
      <c r="AI632" s="1643"/>
      <c r="AJ632" s="1643"/>
      <c r="AK632" s="1643"/>
      <c r="AL632" s="1643"/>
      <c r="AM632" s="1643"/>
    </row>
    <row r="633" spans="1:39" ht="15.75" customHeight="1" x14ac:dyDescent="0.3">
      <c r="A633" s="1643"/>
      <c r="B633" s="1643"/>
      <c r="C633" s="1643"/>
      <c r="D633" s="1643"/>
      <c r="E633" s="1643"/>
      <c r="F633" s="1643"/>
      <c r="G633" s="1643"/>
      <c r="H633" s="1643"/>
      <c r="I633" s="1643"/>
      <c r="J633" s="1643"/>
      <c r="K633" s="1643"/>
      <c r="L633" s="1643"/>
      <c r="M633" s="1643"/>
      <c r="N633" s="1643"/>
      <c r="O633" s="1643"/>
      <c r="P633" s="1643"/>
      <c r="Q633" s="1643"/>
      <c r="R633" s="1643"/>
      <c r="S633" s="1643"/>
      <c r="T633" s="1643"/>
      <c r="U633" s="1643"/>
      <c r="V633" s="1643"/>
      <c r="W633" s="1643"/>
      <c r="X633" s="1643"/>
      <c r="Y633" s="1643"/>
      <c r="Z633" s="1643"/>
      <c r="AA633" s="1643"/>
      <c r="AB633" s="1643"/>
      <c r="AC633" s="1643"/>
      <c r="AD633" s="1643"/>
      <c r="AE633" s="1643"/>
      <c r="AF633" s="1643"/>
      <c r="AG633" s="1643"/>
      <c r="AH633" s="1643"/>
      <c r="AI633" s="1643"/>
      <c r="AJ633" s="1643"/>
      <c r="AK633" s="1643"/>
      <c r="AL633" s="1643"/>
      <c r="AM633" s="1643"/>
    </row>
    <row r="634" spans="1:39" ht="15.75" customHeight="1" x14ac:dyDescent="0.3">
      <c r="A634" s="1643"/>
      <c r="B634" s="1643"/>
      <c r="C634" s="1643"/>
      <c r="D634" s="1643"/>
      <c r="E634" s="1643"/>
      <c r="F634" s="1643"/>
      <c r="G634" s="1643"/>
      <c r="H634" s="1643"/>
      <c r="I634" s="1643"/>
      <c r="J634" s="1643"/>
      <c r="K634" s="1643"/>
      <c r="L634" s="1643"/>
      <c r="M634" s="1643"/>
      <c r="N634" s="1643"/>
      <c r="O634" s="1643"/>
      <c r="P634" s="1643"/>
      <c r="Q634" s="1643"/>
      <c r="R634" s="1643"/>
      <c r="S634" s="1643"/>
      <c r="T634" s="1643"/>
      <c r="U634" s="1643"/>
      <c r="V634" s="1643"/>
      <c r="W634" s="1643"/>
      <c r="X634" s="1643"/>
      <c r="Y634" s="1643"/>
      <c r="Z634" s="1643"/>
      <c r="AA634" s="1643"/>
      <c r="AB634" s="1643"/>
      <c r="AC634" s="1643"/>
      <c r="AD634" s="1643"/>
      <c r="AE634" s="1643"/>
      <c r="AF634" s="1643"/>
      <c r="AG634" s="1643"/>
      <c r="AH634" s="1643"/>
      <c r="AI634" s="1643"/>
      <c r="AJ634" s="1643"/>
      <c r="AK634" s="1643"/>
      <c r="AL634" s="1643"/>
      <c r="AM634" s="1643"/>
    </row>
    <row r="635" spans="1:39" ht="15.75" customHeight="1" x14ac:dyDescent="0.3">
      <c r="A635" s="1643"/>
      <c r="B635" s="1643"/>
      <c r="C635" s="1643"/>
      <c r="D635" s="1643"/>
      <c r="E635" s="1643"/>
      <c r="F635" s="1643"/>
      <c r="G635" s="1643"/>
      <c r="H635" s="1643"/>
      <c r="I635" s="1643"/>
      <c r="J635" s="1643"/>
      <c r="K635" s="1643"/>
      <c r="L635" s="1643"/>
      <c r="M635" s="1643"/>
      <c r="N635" s="1643"/>
      <c r="O635" s="1643"/>
      <c r="P635" s="1643"/>
      <c r="Q635" s="1643"/>
      <c r="R635" s="1643"/>
      <c r="S635" s="1643"/>
      <c r="T635" s="1643"/>
      <c r="U635" s="1643"/>
      <c r="V635" s="1643"/>
      <c r="W635" s="1643"/>
      <c r="X635" s="1643"/>
      <c r="Y635" s="1643"/>
      <c r="Z635" s="1643"/>
      <c r="AA635" s="1643"/>
      <c r="AB635" s="1643"/>
      <c r="AC635" s="1643"/>
      <c r="AD635" s="1643"/>
      <c r="AE635" s="1643"/>
      <c r="AF635" s="1643"/>
      <c r="AG635" s="1643"/>
      <c r="AH635" s="1643"/>
      <c r="AI635" s="1643"/>
      <c r="AJ635" s="1643"/>
      <c r="AK635" s="1643"/>
      <c r="AL635" s="1643"/>
      <c r="AM635" s="1643"/>
    </row>
    <row r="636" spans="1:39" ht="15.75" customHeight="1" x14ac:dyDescent="0.3">
      <c r="A636" s="1643"/>
      <c r="B636" s="1643"/>
      <c r="C636" s="1643"/>
      <c r="D636" s="1643"/>
      <c r="E636" s="1643"/>
      <c r="F636" s="1643"/>
      <c r="G636" s="1643"/>
      <c r="H636" s="1643"/>
      <c r="I636" s="1643"/>
      <c r="J636" s="1643"/>
      <c r="K636" s="1643"/>
      <c r="L636" s="1643"/>
      <c r="M636" s="1643"/>
      <c r="N636" s="1643"/>
      <c r="O636" s="1643"/>
      <c r="P636" s="1643"/>
      <c r="Q636" s="1643"/>
      <c r="R636" s="1643"/>
      <c r="S636" s="1643"/>
      <c r="T636" s="1643"/>
      <c r="U636" s="1643"/>
      <c r="V636" s="1643"/>
      <c r="W636" s="1643"/>
      <c r="X636" s="1643"/>
      <c r="Y636" s="1643"/>
      <c r="Z636" s="1643"/>
      <c r="AA636" s="1643"/>
      <c r="AB636" s="1643"/>
      <c r="AC636" s="1643"/>
      <c r="AD636" s="1643"/>
      <c r="AE636" s="1643"/>
      <c r="AF636" s="1643"/>
      <c r="AG636" s="1643"/>
      <c r="AH636" s="1643"/>
      <c r="AI636" s="1643"/>
      <c r="AJ636" s="1643"/>
      <c r="AK636" s="1643"/>
      <c r="AL636" s="1643"/>
      <c r="AM636" s="1643"/>
    </row>
    <row r="637" spans="1:39" ht="15.75" customHeight="1" x14ac:dyDescent="0.3">
      <c r="A637" s="1643"/>
      <c r="B637" s="1643"/>
      <c r="C637" s="1643"/>
      <c r="D637" s="1643"/>
      <c r="E637" s="1643"/>
      <c r="F637" s="1643"/>
      <c r="G637" s="1643"/>
      <c r="H637" s="1643"/>
      <c r="I637" s="1643"/>
      <c r="J637" s="1643"/>
      <c r="K637" s="1643"/>
      <c r="L637" s="1643"/>
      <c r="M637" s="1643"/>
      <c r="N637" s="1643"/>
      <c r="O637" s="1643"/>
      <c r="P637" s="1643"/>
      <c r="Q637" s="1643"/>
      <c r="R637" s="1643"/>
      <c r="S637" s="1643"/>
      <c r="T637" s="1643"/>
      <c r="U637" s="1643"/>
      <c r="V637" s="1643"/>
      <c r="W637" s="1643"/>
      <c r="X637" s="1643"/>
      <c r="Y637" s="1643"/>
      <c r="Z637" s="1643"/>
      <c r="AA637" s="1643"/>
      <c r="AB637" s="1643"/>
      <c r="AC637" s="1643"/>
      <c r="AD637" s="1643"/>
      <c r="AE637" s="1643"/>
      <c r="AF637" s="1643"/>
      <c r="AG637" s="1643"/>
      <c r="AH637" s="1643"/>
      <c r="AI637" s="1643"/>
      <c r="AJ637" s="1643"/>
      <c r="AK637" s="1643"/>
      <c r="AL637" s="1643"/>
      <c r="AM637" s="1643"/>
    </row>
    <row r="638" spans="1:39" ht="15.75" customHeight="1" x14ac:dyDescent="0.3">
      <c r="A638" s="1643"/>
      <c r="B638" s="1643"/>
      <c r="C638" s="1643"/>
      <c r="D638" s="1643"/>
      <c r="E638" s="1643"/>
      <c r="F638" s="1643"/>
      <c r="G638" s="1643"/>
      <c r="H638" s="1643"/>
      <c r="I638" s="1643"/>
      <c r="J638" s="1643"/>
      <c r="K638" s="1643"/>
      <c r="L638" s="1643"/>
      <c r="M638" s="1643"/>
      <c r="N638" s="1643"/>
      <c r="O638" s="1643"/>
      <c r="P638" s="1643"/>
      <c r="Q638" s="1643"/>
      <c r="R638" s="1643"/>
      <c r="S638" s="1643"/>
      <c r="T638" s="1643"/>
      <c r="U638" s="1643"/>
      <c r="V638" s="1643"/>
      <c r="W638" s="1643"/>
      <c r="X638" s="1643"/>
      <c r="Y638" s="1643"/>
      <c r="Z638" s="1643"/>
      <c r="AA638" s="1643"/>
      <c r="AB638" s="1643"/>
      <c r="AC638" s="1643"/>
      <c r="AD638" s="1643"/>
      <c r="AE638" s="1643"/>
      <c r="AF638" s="1643"/>
      <c r="AG638" s="1643"/>
      <c r="AH638" s="1643"/>
      <c r="AI638" s="1643"/>
      <c r="AJ638" s="1643"/>
      <c r="AK638" s="1643"/>
      <c r="AL638" s="1643"/>
      <c r="AM638" s="1643"/>
    </row>
    <row r="639" spans="1:39" ht="15.75" customHeight="1" x14ac:dyDescent="0.3">
      <c r="A639" s="1643"/>
      <c r="B639" s="1643"/>
      <c r="C639" s="1643"/>
      <c r="D639" s="1643"/>
      <c r="E639" s="1643"/>
      <c r="F639" s="1643"/>
      <c r="G639" s="1643"/>
      <c r="H639" s="1643"/>
      <c r="I639" s="1643"/>
      <c r="J639" s="1643"/>
      <c r="K639" s="1643"/>
      <c r="L639" s="1643"/>
      <c r="M639" s="1643"/>
      <c r="N639" s="1643"/>
      <c r="O639" s="1643"/>
      <c r="P639" s="1643"/>
      <c r="Q639" s="1643"/>
      <c r="R639" s="1643"/>
      <c r="S639" s="1643"/>
      <c r="T639" s="1643"/>
      <c r="U639" s="1643"/>
      <c r="V639" s="1643"/>
      <c r="W639" s="1643"/>
      <c r="X639" s="1643"/>
      <c r="Y639" s="1643"/>
      <c r="Z639" s="1643"/>
      <c r="AA639" s="1643"/>
      <c r="AB639" s="1643"/>
      <c r="AC639" s="1643"/>
      <c r="AD639" s="1643"/>
      <c r="AE639" s="1643"/>
      <c r="AF639" s="1643"/>
      <c r="AG639" s="1643"/>
      <c r="AH639" s="1643"/>
      <c r="AI639" s="1643"/>
      <c r="AJ639" s="1643"/>
      <c r="AK639" s="1643"/>
      <c r="AL639" s="1643"/>
      <c r="AM639" s="1643"/>
    </row>
    <row r="640" spans="1:39" ht="15.75" customHeight="1" x14ac:dyDescent="0.3">
      <c r="A640" s="1643"/>
      <c r="B640" s="1643"/>
      <c r="C640" s="1643"/>
      <c r="D640" s="1643"/>
      <c r="E640" s="1643"/>
      <c r="F640" s="1643"/>
      <c r="G640" s="1643"/>
      <c r="H640" s="1643"/>
      <c r="I640" s="1643"/>
      <c r="J640" s="1643"/>
      <c r="K640" s="1643"/>
      <c r="L640" s="1643"/>
      <c r="M640" s="1643"/>
      <c r="N640" s="1643"/>
      <c r="O640" s="1643"/>
      <c r="P640" s="1643"/>
      <c r="Q640" s="1643"/>
      <c r="R640" s="1643"/>
      <c r="S640" s="1643"/>
      <c r="T640" s="1643"/>
      <c r="U640" s="1643"/>
      <c r="V640" s="1643"/>
      <c r="W640" s="1643"/>
      <c r="X640" s="1643"/>
      <c r="Y640" s="1643"/>
      <c r="Z640" s="1643"/>
      <c r="AA640" s="1643"/>
      <c r="AB640" s="1643"/>
      <c r="AC640" s="1643"/>
      <c r="AD640" s="1643"/>
      <c r="AE640" s="1643"/>
      <c r="AF640" s="1643"/>
      <c r="AG640" s="1643"/>
      <c r="AH640" s="1643"/>
      <c r="AI640" s="1643"/>
      <c r="AJ640" s="1643"/>
      <c r="AK640" s="1643"/>
      <c r="AL640" s="1643"/>
      <c r="AM640" s="1643"/>
    </row>
    <row r="641" spans="1:39" ht="15.75" customHeight="1" x14ac:dyDescent="0.3">
      <c r="A641" s="1643"/>
      <c r="B641" s="1643"/>
      <c r="C641" s="1643"/>
      <c r="D641" s="1643"/>
      <c r="E641" s="1643"/>
      <c r="F641" s="1643"/>
      <c r="G641" s="1643"/>
      <c r="H641" s="1643"/>
      <c r="I641" s="1643"/>
      <c r="J641" s="1643"/>
      <c r="K641" s="1643"/>
      <c r="L641" s="1643"/>
      <c r="M641" s="1643"/>
      <c r="N641" s="1643"/>
      <c r="O641" s="1643"/>
      <c r="P641" s="1643"/>
      <c r="Q641" s="1643"/>
      <c r="R641" s="1643"/>
      <c r="S641" s="1643"/>
      <c r="T641" s="1643"/>
      <c r="U641" s="1643"/>
      <c r="V641" s="1643"/>
      <c r="W641" s="1643"/>
      <c r="X641" s="1643"/>
      <c r="Y641" s="1643"/>
      <c r="Z641" s="1643"/>
      <c r="AA641" s="1643"/>
      <c r="AB641" s="1643"/>
      <c r="AC641" s="1643"/>
      <c r="AD641" s="1643"/>
      <c r="AE641" s="1643"/>
      <c r="AF641" s="1643"/>
      <c r="AG641" s="1643"/>
      <c r="AH641" s="1643"/>
      <c r="AI641" s="1643"/>
      <c r="AJ641" s="1643"/>
      <c r="AK641" s="1643"/>
      <c r="AL641" s="1643"/>
      <c r="AM641" s="1643"/>
    </row>
    <row r="642" spans="1:39" ht="15.75" customHeight="1" x14ac:dyDescent="0.3">
      <c r="A642" s="1643"/>
      <c r="B642" s="1643"/>
      <c r="C642" s="1643"/>
      <c r="D642" s="1643"/>
      <c r="E642" s="1643"/>
      <c r="F642" s="1643"/>
      <c r="G642" s="1643"/>
      <c r="H642" s="1643"/>
      <c r="I642" s="1643"/>
      <c r="J642" s="1643"/>
      <c r="K642" s="1643"/>
      <c r="L642" s="1643"/>
      <c r="M642" s="1643"/>
      <c r="N642" s="1643"/>
      <c r="O642" s="1643"/>
      <c r="P642" s="1643"/>
      <c r="Q642" s="1643"/>
      <c r="R642" s="1643"/>
      <c r="S642" s="1643"/>
      <c r="T642" s="1643"/>
      <c r="U642" s="1643"/>
      <c r="V642" s="1643"/>
      <c r="W642" s="1643"/>
      <c r="X642" s="1643"/>
      <c r="Y642" s="1643"/>
      <c r="Z642" s="1643"/>
      <c r="AA642" s="1643"/>
      <c r="AB642" s="1643"/>
      <c r="AC642" s="1643"/>
      <c r="AD642" s="1643"/>
      <c r="AE642" s="1643"/>
      <c r="AF642" s="1643"/>
      <c r="AG642" s="1643"/>
      <c r="AH642" s="1643"/>
      <c r="AI642" s="1643"/>
      <c r="AJ642" s="1643"/>
      <c r="AK642" s="1643"/>
      <c r="AL642" s="1643"/>
      <c r="AM642" s="1643"/>
    </row>
    <row r="643" spans="1:39" ht="15.75" customHeight="1" x14ac:dyDescent="0.3">
      <c r="A643" s="1643"/>
      <c r="B643" s="1643"/>
      <c r="C643" s="1643"/>
      <c r="D643" s="1643"/>
      <c r="E643" s="1643"/>
      <c r="F643" s="1643"/>
      <c r="G643" s="1643"/>
      <c r="H643" s="1643"/>
      <c r="I643" s="1643"/>
      <c r="J643" s="1643"/>
      <c r="K643" s="1643"/>
      <c r="L643" s="1643"/>
      <c r="M643" s="1643"/>
      <c r="N643" s="1643"/>
      <c r="O643" s="1643"/>
      <c r="P643" s="1643"/>
      <c r="Q643" s="1643"/>
      <c r="R643" s="1643"/>
      <c r="S643" s="1643"/>
      <c r="T643" s="1643"/>
      <c r="U643" s="1643"/>
      <c r="V643" s="1643"/>
      <c r="W643" s="1643"/>
      <c r="X643" s="1643"/>
      <c r="Y643" s="1643"/>
      <c r="Z643" s="1643"/>
      <c r="AA643" s="1643"/>
      <c r="AB643" s="1643"/>
      <c r="AC643" s="1643"/>
      <c r="AD643" s="1643"/>
      <c r="AE643" s="1643"/>
      <c r="AF643" s="1643"/>
      <c r="AG643" s="1643"/>
      <c r="AH643" s="1643"/>
      <c r="AI643" s="1643"/>
      <c r="AJ643" s="1643"/>
      <c r="AK643" s="1643"/>
      <c r="AL643" s="1643"/>
      <c r="AM643" s="1643"/>
    </row>
    <row r="644" spans="1:39" ht="15.75" customHeight="1" x14ac:dyDescent="0.3">
      <c r="A644" s="1643"/>
      <c r="B644" s="1643"/>
      <c r="C644" s="1643"/>
      <c r="D644" s="1643"/>
      <c r="E644" s="1643"/>
      <c r="F644" s="1643"/>
      <c r="G644" s="1643"/>
      <c r="H644" s="1643"/>
      <c r="I644" s="1643"/>
      <c r="J644" s="1643"/>
      <c r="K644" s="1643"/>
      <c r="L644" s="1643"/>
      <c r="M644" s="1643"/>
      <c r="N644" s="1643"/>
      <c r="O644" s="1643"/>
      <c r="P644" s="1643"/>
      <c r="Q644" s="1643"/>
      <c r="R644" s="1643"/>
      <c r="S644" s="1643"/>
      <c r="T644" s="1643"/>
      <c r="U644" s="1643"/>
      <c r="V644" s="1643"/>
      <c r="W644" s="1643"/>
      <c r="X644" s="1643"/>
      <c r="Y644" s="1643"/>
      <c r="Z644" s="1643"/>
      <c r="AA644" s="1643"/>
      <c r="AB644" s="1643"/>
      <c r="AC644" s="1643"/>
      <c r="AD644" s="1643"/>
      <c r="AE644" s="1643"/>
      <c r="AF644" s="1643"/>
      <c r="AG644" s="1643"/>
      <c r="AH644" s="1643"/>
      <c r="AI644" s="1643"/>
      <c r="AJ644" s="1643"/>
      <c r="AK644" s="1643"/>
      <c r="AL644" s="1643"/>
      <c r="AM644" s="1643"/>
    </row>
    <row r="645" spans="1:39" ht="15.75" customHeight="1" x14ac:dyDescent="0.3">
      <c r="A645" s="1643"/>
      <c r="B645" s="1643"/>
      <c r="C645" s="1643"/>
      <c r="D645" s="1643"/>
      <c r="E645" s="1643"/>
      <c r="F645" s="1643"/>
      <c r="G645" s="1643"/>
      <c r="H645" s="1643"/>
      <c r="I645" s="1643"/>
      <c r="J645" s="1643"/>
      <c r="K645" s="1643"/>
      <c r="L645" s="1643"/>
      <c r="M645" s="1643"/>
      <c r="N645" s="1643"/>
      <c r="O645" s="1643"/>
      <c r="P645" s="1643"/>
      <c r="Q645" s="1643"/>
      <c r="R645" s="1643"/>
      <c r="S645" s="1643"/>
      <c r="T645" s="1643"/>
      <c r="U645" s="1643"/>
      <c r="V645" s="1643"/>
      <c r="W645" s="1643"/>
      <c r="X645" s="1643"/>
      <c r="Y645" s="1643"/>
      <c r="Z645" s="1643"/>
      <c r="AA645" s="1643"/>
      <c r="AB645" s="1643"/>
      <c r="AC645" s="1643"/>
      <c r="AD645" s="1643"/>
      <c r="AE645" s="1643"/>
      <c r="AF645" s="1643"/>
      <c r="AG645" s="1643"/>
      <c r="AH645" s="1643"/>
      <c r="AI645" s="1643"/>
      <c r="AJ645" s="1643"/>
      <c r="AK645" s="1643"/>
      <c r="AL645" s="1643"/>
      <c r="AM645" s="1643"/>
    </row>
    <row r="646" spans="1:39" ht="15.75" customHeight="1" x14ac:dyDescent="0.3">
      <c r="A646" s="1643"/>
      <c r="B646" s="1643"/>
      <c r="C646" s="1643"/>
      <c r="D646" s="1643"/>
      <c r="E646" s="1643"/>
      <c r="F646" s="1643"/>
      <c r="G646" s="1643"/>
      <c r="H646" s="1643"/>
      <c r="I646" s="1643"/>
      <c r="J646" s="1643"/>
      <c r="K646" s="1643"/>
      <c r="L646" s="1643"/>
      <c r="M646" s="1643"/>
      <c r="N646" s="1643"/>
      <c r="O646" s="1643"/>
      <c r="P646" s="1643"/>
      <c r="Q646" s="1643"/>
      <c r="R646" s="1643"/>
      <c r="S646" s="1643"/>
      <c r="T646" s="1643"/>
      <c r="U646" s="1643"/>
      <c r="V646" s="1643"/>
      <c r="W646" s="1643"/>
      <c r="X646" s="1643"/>
      <c r="Y646" s="1643"/>
      <c r="Z646" s="1643"/>
      <c r="AA646" s="1643"/>
      <c r="AB646" s="1643"/>
      <c r="AC646" s="1643"/>
      <c r="AD646" s="1643"/>
      <c r="AE646" s="1643"/>
      <c r="AF646" s="1643"/>
      <c r="AG646" s="1643"/>
      <c r="AH646" s="1643"/>
      <c r="AI646" s="1643"/>
      <c r="AJ646" s="1643"/>
      <c r="AK646" s="1643"/>
      <c r="AL646" s="1643"/>
      <c r="AM646" s="1643"/>
    </row>
    <row r="647" spans="1:39" ht="15.75" customHeight="1" x14ac:dyDescent="0.3">
      <c r="A647" s="1643"/>
      <c r="B647" s="1643"/>
      <c r="C647" s="1643"/>
      <c r="D647" s="1643"/>
      <c r="E647" s="1643"/>
      <c r="F647" s="1643"/>
      <c r="G647" s="1643"/>
      <c r="H647" s="1643"/>
      <c r="I647" s="1643"/>
      <c r="J647" s="1643"/>
      <c r="K647" s="1643"/>
      <c r="L647" s="1643"/>
      <c r="M647" s="1643"/>
      <c r="N647" s="1643"/>
      <c r="O647" s="1643"/>
      <c r="P647" s="1643"/>
      <c r="Q647" s="1643"/>
      <c r="R647" s="1643"/>
      <c r="S647" s="1643"/>
      <c r="T647" s="1643"/>
      <c r="U647" s="1643"/>
      <c r="V647" s="1643"/>
      <c r="W647" s="1643"/>
      <c r="X647" s="1643"/>
      <c r="Y647" s="1643"/>
      <c r="Z647" s="1643"/>
      <c r="AA647" s="1643"/>
      <c r="AB647" s="1643"/>
      <c r="AC647" s="1643"/>
      <c r="AD647" s="1643"/>
      <c r="AE647" s="1643"/>
      <c r="AF647" s="1643"/>
      <c r="AG647" s="1643"/>
      <c r="AH647" s="1643"/>
      <c r="AI647" s="1643"/>
      <c r="AJ647" s="1643"/>
      <c r="AK647" s="1643"/>
      <c r="AL647" s="1643"/>
      <c r="AM647" s="1643"/>
    </row>
    <row r="648" spans="1:39" ht="15.75" customHeight="1" x14ac:dyDescent="0.3">
      <c r="A648" s="1643"/>
      <c r="B648" s="1643"/>
      <c r="C648" s="1643"/>
      <c r="D648" s="1643"/>
      <c r="E648" s="1643"/>
      <c r="F648" s="1643"/>
      <c r="G648" s="1643"/>
      <c r="H648" s="1643"/>
      <c r="I648" s="1643"/>
      <c r="J648" s="1643"/>
      <c r="K648" s="1643"/>
      <c r="L648" s="1643"/>
      <c r="M648" s="1643"/>
      <c r="N648" s="1643"/>
      <c r="O648" s="1643"/>
      <c r="P648" s="1643"/>
      <c r="Q648" s="1643"/>
      <c r="R648" s="1643"/>
      <c r="S648" s="1643"/>
      <c r="T648" s="1643"/>
      <c r="U648" s="1643"/>
      <c r="V648" s="1643"/>
      <c r="W648" s="1643"/>
      <c r="X648" s="1643"/>
      <c r="Y648" s="1643"/>
      <c r="Z648" s="1643"/>
      <c r="AA648" s="1643"/>
      <c r="AB648" s="1643"/>
      <c r="AC648" s="1643"/>
      <c r="AD648" s="1643"/>
      <c r="AE648" s="1643"/>
      <c r="AF648" s="1643"/>
      <c r="AG648" s="1643"/>
      <c r="AH648" s="1643"/>
      <c r="AI648" s="1643"/>
      <c r="AJ648" s="1643"/>
      <c r="AK648" s="1643"/>
      <c r="AL648" s="1643"/>
      <c r="AM648" s="1643"/>
    </row>
    <row r="649" spans="1:39" ht="15.75" customHeight="1" x14ac:dyDescent="0.3">
      <c r="A649" s="1643"/>
      <c r="B649" s="1643"/>
      <c r="C649" s="1643"/>
      <c r="D649" s="1643"/>
      <c r="E649" s="1643"/>
      <c r="F649" s="1643"/>
      <c r="G649" s="1643"/>
      <c r="H649" s="1643"/>
      <c r="I649" s="1643"/>
      <c r="J649" s="1643"/>
      <c r="K649" s="1643"/>
      <c r="L649" s="1643"/>
      <c r="M649" s="1643"/>
      <c r="N649" s="1643"/>
      <c r="O649" s="1643"/>
      <c r="P649" s="1643"/>
      <c r="Q649" s="1643"/>
      <c r="R649" s="1643"/>
      <c r="S649" s="1643"/>
      <c r="T649" s="1643"/>
      <c r="U649" s="1643"/>
      <c r="V649" s="1643"/>
      <c r="W649" s="1643"/>
      <c r="X649" s="1643"/>
      <c r="Y649" s="1643"/>
      <c r="Z649" s="1643"/>
      <c r="AA649" s="1643"/>
      <c r="AB649" s="1643"/>
      <c r="AC649" s="1643"/>
      <c r="AD649" s="1643"/>
      <c r="AE649" s="1643"/>
      <c r="AF649" s="1643"/>
      <c r="AG649" s="1643"/>
      <c r="AH649" s="1643"/>
      <c r="AI649" s="1643"/>
      <c r="AJ649" s="1643"/>
      <c r="AK649" s="1643"/>
      <c r="AL649" s="1643"/>
      <c r="AM649" s="1643"/>
    </row>
    <row r="650" spans="1:39" ht="15.75" customHeight="1" x14ac:dyDescent="0.3">
      <c r="A650" s="1643"/>
      <c r="B650" s="1643"/>
      <c r="C650" s="1643"/>
      <c r="D650" s="1643"/>
      <c r="E650" s="1643"/>
      <c r="F650" s="1643"/>
      <c r="G650" s="1643"/>
      <c r="H650" s="1643"/>
      <c r="I650" s="1643"/>
      <c r="J650" s="1643"/>
      <c r="K650" s="1643"/>
      <c r="L650" s="1643"/>
      <c r="M650" s="1643"/>
      <c r="N650" s="1643"/>
      <c r="O650" s="1643"/>
      <c r="P650" s="1643"/>
      <c r="Q650" s="1643"/>
      <c r="R650" s="1643"/>
      <c r="S650" s="1643"/>
      <c r="T650" s="1643"/>
      <c r="U650" s="1643"/>
      <c r="V650" s="1643"/>
      <c r="W650" s="1643"/>
      <c r="X650" s="1643"/>
      <c r="Y650" s="1643"/>
      <c r="Z650" s="1643"/>
      <c r="AA650" s="1643"/>
      <c r="AB650" s="1643"/>
      <c r="AC650" s="1643"/>
      <c r="AD650" s="1643"/>
      <c r="AE650" s="1643"/>
      <c r="AF650" s="1643"/>
      <c r="AG650" s="1643"/>
      <c r="AH650" s="1643"/>
      <c r="AI650" s="1643"/>
      <c r="AJ650" s="1643"/>
      <c r="AK650" s="1643"/>
      <c r="AL650" s="1643"/>
      <c r="AM650" s="1643"/>
    </row>
    <row r="651" spans="1:39" ht="15.75" customHeight="1" x14ac:dyDescent="0.3">
      <c r="A651" s="1643"/>
      <c r="B651" s="1643"/>
      <c r="C651" s="1643"/>
      <c r="D651" s="1643"/>
      <c r="E651" s="1643"/>
      <c r="F651" s="1643"/>
      <c r="G651" s="1643"/>
      <c r="H651" s="1643"/>
      <c r="I651" s="1643"/>
      <c r="J651" s="1643"/>
      <c r="K651" s="1643"/>
      <c r="L651" s="1643"/>
      <c r="M651" s="1643"/>
      <c r="N651" s="1643"/>
      <c r="O651" s="1643"/>
      <c r="P651" s="1643"/>
      <c r="Q651" s="1643"/>
      <c r="R651" s="1643"/>
      <c r="S651" s="1643"/>
      <c r="T651" s="1643"/>
      <c r="U651" s="1643"/>
      <c r="V651" s="1643"/>
      <c r="W651" s="1643"/>
      <c r="X651" s="1643"/>
      <c r="Y651" s="1643"/>
      <c r="Z651" s="1643"/>
      <c r="AA651" s="1643"/>
      <c r="AB651" s="1643"/>
      <c r="AC651" s="1643"/>
      <c r="AD651" s="1643"/>
      <c r="AE651" s="1643"/>
      <c r="AF651" s="1643"/>
      <c r="AG651" s="1643"/>
      <c r="AH651" s="1643"/>
      <c r="AI651" s="1643"/>
      <c r="AJ651" s="1643"/>
      <c r="AK651" s="1643"/>
      <c r="AL651" s="1643"/>
      <c r="AM651" s="1643"/>
    </row>
    <row r="652" spans="1:39" ht="15.75" customHeight="1" x14ac:dyDescent="0.3">
      <c r="A652" s="1643"/>
      <c r="B652" s="1643"/>
      <c r="C652" s="1643"/>
      <c r="D652" s="1643"/>
      <c r="E652" s="1643"/>
      <c r="F652" s="1643"/>
      <c r="G652" s="1643"/>
      <c r="H652" s="1643"/>
      <c r="I652" s="1643"/>
      <c r="J652" s="1643"/>
      <c r="K652" s="1643"/>
      <c r="L652" s="1643"/>
      <c r="M652" s="1643"/>
      <c r="N652" s="1643"/>
      <c r="O652" s="1643"/>
      <c r="P652" s="1643"/>
      <c r="Q652" s="1643"/>
      <c r="R652" s="1643"/>
      <c r="S652" s="1643"/>
      <c r="T652" s="1643"/>
      <c r="U652" s="1643"/>
      <c r="V652" s="1643"/>
      <c r="W652" s="1643"/>
      <c r="X652" s="1643"/>
      <c r="Y652" s="1643"/>
      <c r="Z652" s="1643"/>
      <c r="AA652" s="1643"/>
      <c r="AB652" s="1643"/>
      <c r="AC652" s="1643"/>
      <c r="AD652" s="1643"/>
      <c r="AE652" s="1643"/>
      <c r="AF652" s="1643"/>
      <c r="AG652" s="1643"/>
      <c r="AH652" s="1643"/>
      <c r="AI652" s="1643"/>
      <c r="AJ652" s="1643"/>
      <c r="AK652" s="1643"/>
      <c r="AL652" s="1643"/>
      <c r="AM652" s="1643"/>
    </row>
    <row r="653" spans="1:39" ht="15.75" customHeight="1" x14ac:dyDescent="0.3">
      <c r="A653" s="1643"/>
      <c r="B653" s="1643"/>
      <c r="C653" s="1643"/>
      <c r="D653" s="1643"/>
      <c r="E653" s="1643"/>
      <c r="F653" s="1643"/>
      <c r="G653" s="1643"/>
      <c r="H653" s="1643"/>
      <c r="I653" s="1643"/>
      <c r="J653" s="1643"/>
      <c r="K653" s="1643"/>
      <c r="L653" s="1643"/>
      <c r="M653" s="1643"/>
      <c r="N653" s="1643"/>
      <c r="O653" s="1643"/>
      <c r="P653" s="1643"/>
      <c r="Q653" s="1643"/>
      <c r="R653" s="1643"/>
      <c r="S653" s="1643"/>
      <c r="T653" s="1643"/>
      <c r="U653" s="1643"/>
      <c r="V653" s="1643"/>
      <c r="W653" s="1643"/>
      <c r="X653" s="1643"/>
      <c r="Y653" s="1643"/>
      <c r="Z653" s="1643"/>
      <c r="AA653" s="1643"/>
      <c r="AB653" s="1643"/>
      <c r="AC653" s="1643"/>
      <c r="AD653" s="1643"/>
      <c r="AE653" s="1643"/>
      <c r="AF653" s="1643"/>
      <c r="AG653" s="1643"/>
      <c r="AH653" s="1643"/>
      <c r="AI653" s="1643"/>
      <c r="AJ653" s="1643"/>
      <c r="AK653" s="1643"/>
      <c r="AL653" s="1643"/>
      <c r="AM653" s="1643"/>
    </row>
    <row r="654" spans="1:39" ht="15.75" customHeight="1" x14ac:dyDescent="0.3">
      <c r="A654" s="1643"/>
      <c r="B654" s="1643"/>
      <c r="C654" s="1643"/>
      <c r="D654" s="1643"/>
      <c r="E654" s="1643"/>
      <c r="F654" s="1643"/>
      <c r="G654" s="1643"/>
      <c r="H654" s="1643"/>
      <c r="I654" s="1643"/>
      <c r="J654" s="1643"/>
      <c r="K654" s="1643"/>
      <c r="L654" s="1643"/>
      <c r="M654" s="1643"/>
      <c r="N654" s="1643"/>
      <c r="O654" s="1643"/>
      <c r="P654" s="1643"/>
      <c r="Q654" s="1643"/>
      <c r="R654" s="1643"/>
      <c r="S654" s="1643"/>
      <c r="T654" s="1643"/>
      <c r="U654" s="1643"/>
      <c r="V654" s="1643"/>
      <c r="W654" s="1643"/>
      <c r="X654" s="1643"/>
      <c r="Y654" s="1643"/>
      <c r="Z654" s="1643"/>
      <c r="AA654" s="1643"/>
      <c r="AB654" s="1643"/>
      <c r="AC654" s="1643"/>
      <c r="AD654" s="1643"/>
      <c r="AE654" s="1643"/>
      <c r="AF654" s="1643"/>
      <c r="AG654" s="1643"/>
      <c r="AH654" s="1643"/>
      <c r="AI654" s="1643"/>
      <c r="AJ654" s="1643"/>
      <c r="AK654" s="1643"/>
      <c r="AL654" s="1643"/>
      <c r="AM654" s="1643"/>
    </row>
    <row r="655" spans="1:39" ht="15.75" customHeight="1" x14ac:dyDescent="0.3">
      <c r="A655" s="1643"/>
      <c r="B655" s="1643"/>
      <c r="C655" s="1643"/>
      <c r="D655" s="1643"/>
      <c r="E655" s="1643"/>
      <c r="F655" s="1643"/>
      <c r="G655" s="1643"/>
      <c r="H655" s="1643"/>
      <c r="I655" s="1643"/>
      <c r="J655" s="1643"/>
      <c r="K655" s="1643"/>
      <c r="L655" s="1643"/>
      <c r="M655" s="1643"/>
      <c r="N655" s="1643"/>
      <c r="O655" s="1643"/>
      <c r="P655" s="1643"/>
      <c r="Q655" s="1643"/>
      <c r="R655" s="1643"/>
      <c r="S655" s="1643"/>
      <c r="T655" s="1643"/>
      <c r="U655" s="1643"/>
      <c r="V655" s="1643"/>
      <c r="W655" s="1643"/>
      <c r="X655" s="1643"/>
      <c r="Y655" s="1643"/>
      <c r="Z655" s="1643"/>
      <c r="AA655" s="1643"/>
      <c r="AB655" s="1643"/>
      <c r="AC655" s="1643"/>
      <c r="AD655" s="1643"/>
      <c r="AE655" s="1643"/>
      <c r="AF655" s="1643"/>
      <c r="AG655" s="1643"/>
      <c r="AH655" s="1643"/>
      <c r="AI655" s="1643"/>
      <c r="AJ655" s="1643"/>
      <c r="AK655" s="1643"/>
      <c r="AL655" s="1643"/>
      <c r="AM655" s="1643"/>
    </row>
    <row r="656" spans="1:39" ht="15.75" customHeight="1" x14ac:dyDescent="0.3">
      <c r="A656" s="1643"/>
      <c r="B656" s="1643"/>
      <c r="C656" s="1643"/>
      <c r="D656" s="1643"/>
      <c r="E656" s="1643"/>
      <c r="F656" s="1643"/>
      <c r="G656" s="1643"/>
      <c r="H656" s="1643"/>
      <c r="I656" s="1643"/>
      <c r="J656" s="1643"/>
      <c r="K656" s="1643"/>
      <c r="L656" s="1643"/>
      <c r="M656" s="1643"/>
      <c r="N656" s="1643"/>
      <c r="O656" s="1643"/>
      <c r="P656" s="1643"/>
      <c r="Q656" s="1643"/>
      <c r="R656" s="1643"/>
      <c r="S656" s="1643"/>
      <c r="T656" s="1643"/>
      <c r="U656" s="1643"/>
      <c r="V656" s="1643"/>
      <c r="W656" s="1643"/>
      <c r="X656" s="1643"/>
      <c r="Y656" s="1643"/>
      <c r="Z656" s="1643"/>
      <c r="AA656" s="1643"/>
      <c r="AB656" s="1643"/>
      <c r="AC656" s="1643"/>
      <c r="AD656" s="1643"/>
      <c r="AE656" s="1643"/>
      <c r="AF656" s="1643"/>
      <c r="AG656" s="1643"/>
      <c r="AH656" s="1643"/>
      <c r="AI656" s="1643"/>
      <c r="AJ656" s="1643"/>
      <c r="AK656" s="1643"/>
      <c r="AL656" s="1643"/>
      <c r="AM656" s="1643"/>
    </row>
    <row r="657" spans="1:39" ht="15.75" customHeight="1" x14ac:dyDescent="0.3">
      <c r="A657" s="1643"/>
      <c r="B657" s="1643"/>
      <c r="C657" s="1643"/>
      <c r="D657" s="1643"/>
      <c r="E657" s="1643"/>
      <c r="F657" s="1643"/>
      <c r="G657" s="1643"/>
      <c r="H657" s="1643"/>
      <c r="I657" s="1643"/>
      <c r="J657" s="1643"/>
      <c r="K657" s="1643"/>
      <c r="L657" s="1643"/>
      <c r="M657" s="1643"/>
      <c r="N657" s="1643"/>
      <c r="O657" s="1643"/>
      <c r="P657" s="1643"/>
      <c r="Q657" s="1643"/>
      <c r="R657" s="1643"/>
      <c r="S657" s="1643"/>
      <c r="T657" s="1643"/>
      <c r="U657" s="1643"/>
      <c r="V657" s="1643"/>
      <c r="W657" s="1643"/>
      <c r="X657" s="1643"/>
      <c r="Y657" s="1643"/>
      <c r="Z657" s="1643"/>
      <c r="AA657" s="1643"/>
      <c r="AB657" s="1643"/>
      <c r="AC657" s="1643"/>
      <c r="AD657" s="1643"/>
      <c r="AE657" s="1643"/>
      <c r="AF657" s="1643"/>
      <c r="AG657" s="1643"/>
      <c r="AH657" s="1643"/>
      <c r="AI657" s="1643"/>
      <c r="AJ657" s="1643"/>
      <c r="AK657" s="1643"/>
      <c r="AL657" s="1643"/>
      <c r="AM657" s="1643"/>
    </row>
    <row r="658" spans="1:39" ht="15.75" customHeight="1" x14ac:dyDescent="0.3">
      <c r="A658" s="1643"/>
      <c r="B658" s="1643"/>
      <c r="C658" s="1643"/>
      <c r="D658" s="1643"/>
      <c r="E658" s="1643"/>
      <c r="F658" s="1643"/>
      <c r="G658" s="1643"/>
      <c r="H658" s="1643"/>
      <c r="I658" s="1643"/>
      <c r="J658" s="1643"/>
      <c r="K658" s="1643"/>
      <c r="L658" s="1643"/>
      <c r="M658" s="1643"/>
      <c r="N658" s="1643"/>
      <c r="O658" s="1643"/>
      <c r="P658" s="1643"/>
      <c r="Q658" s="1643"/>
      <c r="R658" s="1643"/>
      <c r="S658" s="1643"/>
      <c r="T658" s="1643"/>
      <c r="U658" s="1643"/>
      <c r="V658" s="1643"/>
      <c r="W658" s="1643"/>
      <c r="X658" s="1643"/>
      <c r="Y658" s="1643"/>
      <c r="Z658" s="1643"/>
      <c r="AA658" s="1643"/>
      <c r="AB658" s="1643"/>
      <c r="AC658" s="1643"/>
      <c r="AD658" s="1643"/>
      <c r="AE658" s="1643"/>
      <c r="AF658" s="1643"/>
      <c r="AG658" s="1643"/>
      <c r="AH658" s="1643"/>
      <c r="AI658" s="1643"/>
      <c r="AJ658" s="1643"/>
      <c r="AK658" s="1643"/>
      <c r="AL658" s="1643"/>
      <c r="AM658" s="1643"/>
    </row>
    <row r="659" spans="1:39" ht="15.75" customHeight="1" x14ac:dyDescent="0.3">
      <c r="A659" s="1643"/>
      <c r="B659" s="1643"/>
      <c r="C659" s="1643"/>
      <c r="D659" s="1643"/>
      <c r="E659" s="1643"/>
      <c r="F659" s="1643"/>
      <c r="G659" s="1643"/>
      <c r="H659" s="1643"/>
      <c r="I659" s="1643"/>
      <c r="J659" s="1643"/>
      <c r="K659" s="1643"/>
      <c r="L659" s="1643"/>
      <c r="M659" s="1643"/>
      <c r="N659" s="1643"/>
      <c r="O659" s="1643"/>
      <c r="P659" s="1643"/>
      <c r="Q659" s="1643"/>
      <c r="R659" s="1643"/>
      <c r="S659" s="1643"/>
      <c r="T659" s="1643"/>
      <c r="U659" s="1643"/>
      <c r="V659" s="1643"/>
      <c r="W659" s="1643"/>
      <c r="X659" s="1643"/>
      <c r="Y659" s="1643"/>
      <c r="Z659" s="1643"/>
      <c r="AA659" s="1643"/>
      <c r="AB659" s="1643"/>
      <c r="AC659" s="1643"/>
      <c r="AD659" s="1643"/>
      <c r="AE659" s="1643"/>
      <c r="AF659" s="1643"/>
      <c r="AG659" s="1643"/>
      <c r="AH659" s="1643"/>
      <c r="AI659" s="1643"/>
      <c r="AJ659" s="1643"/>
      <c r="AK659" s="1643"/>
      <c r="AL659" s="1643"/>
      <c r="AM659" s="1643"/>
    </row>
    <row r="660" spans="1:39" ht="15.75" customHeight="1" x14ac:dyDescent="0.3">
      <c r="A660" s="1643"/>
      <c r="B660" s="1643"/>
      <c r="C660" s="1643"/>
      <c r="D660" s="1643"/>
      <c r="E660" s="1643"/>
      <c r="F660" s="1643"/>
      <c r="G660" s="1643"/>
      <c r="H660" s="1643"/>
      <c r="I660" s="1643"/>
      <c r="J660" s="1643"/>
      <c r="K660" s="1643"/>
      <c r="L660" s="1643"/>
      <c r="M660" s="1643"/>
      <c r="N660" s="1643"/>
      <c r="O660" s="1643"/>
      <c r="P660" s="1643"/>
      <c r="Q660" s="1643"/>
      <c r="R660" s="1643"/>
      <c r="S660" s="1643"/>
      <c r="T660" s="1643"/>
      <c r="U660" s="1643"/>
      <c r="V660" s="1643"/>
      <c r="W660" s="1643"/>
      <c r="X660" s="1643"/>
      <c r="Y660" s="1643"/>
      <c r="Z660" s="1643"/>
      <c r="AA660" s="1643"/>
      <c r="AB660" s="1643"/>
      <c r="AC660" s="1643"/>
      <c r="AD660" s="1643"/>
      <c r="AE660" s="1643"/>
      <c r="AF660" s="1643"/>
      <c r="AG660" s="1643"/>
      <c r="AH660" s="1643"/>
      <c r="AI660" s="1643"/>
      <c r="AJ660" s="1643"/>
      <c r="AK660" s="1643"/>
      <c r="AL660" s="1643"/>
      <c r="AM660" s="1643"/>
    </row>
    <row r="661" spans="1:39" ht="15.75" customHeight="1" x14ac:dyDescent="0.3">
      <c r="A661" s="1643"/>
      <c r="B661" s="1643"/>
      <c r="C661" s="1643"/>
      <c r="D661" s="1643"/>
      <c r="E661" s="1643"/>
      <c r="F661" s="1643"/>
      <c r="G661" s="1643"/>
      <c r="H661" s="1643"/>
      <c r="I661" s="1643"/>
      <c r="J661" s="1643"/>
      <c r="K661" s="1643"/>
      <c r="L661" s="1643"/>
      <c r="M661" s="1643"/>
      <c r="N661" s="1643"/>
      <c r="O661" s="1643"/>
      <c r="P661" s="1643"/>
      <c r="Q661" s="1643"/>
      <c r="R661" s="1643"/>
      <c r="S661" s="1643"/>
      <c r="T661" s="1643"/>
      <c r="U661" s="1643"/>
      <c r="V661" s="1643"/>
      <c r="W661" s="1643"/>
      <c r="X661" s="1643"/>
      <c r="Y661" s="1643"/>
      <c r="Z661" s="1643"/>
      <c r="AA661" s="1643"/>
      <c r="AB661" s="1643"/>
      <c r="AC661" s="1643"/>
      <c r="AD661" s="1643"/>
      <c r="AE661" s="1643"/>
      <c r="AF661" s="1643"/>
      <c r="AG661" s="1643"/>
      <c r="AH661" s="1643"/>
      <c r="AI661" s="1643"/>
      <c r="AJ661" s="1643"/>
      <c r="AK661" s="1643"/>
      <c r="AL661" s="1643"/>
      <c r="AM661" s="1643"/>
    </row>
    <row r="662" spans="1:39" ht="15.75" customHeight="1" x14ac:dyDescent="0.3">
      <c r="A662" s="1643"/>
      <c r="B662" s="1643"/>
      <c r="C662" s="1643"/>
      <c r="D662" s="1643"/>
      <c r="E662" s="1643"/>
      <c r="F662" s="1643"/>
      <c r="G662" s="1643"/>
      <c r="H662" s="1643"/>
      <c r="I662" s="1643"/>
      <c r="J662" s="1643"/>
      <c r="K662" s="1643"/>
      <c r="L662" s="1643"/>
      <c r="M662" s="1643"/>
      <c r="N662" s="1643"/>
      <c r="O662" s="1643"/>
      <c r="P662" s="1643"/>
      <c r="Q662" s="1643"/>
      <c r="R662" s="1643"/>
      <c r="S662" s="1643"/>
      <c r="T662" s="1643"/>
      <c r="U662" s="1643"/>
      <c r="V662" s="1643"/>
      <c r="W662" s="1643"/>
      <c r="X662" s="1643"/>
      <c r="Y662" s="1643"/>
      <c r="Z662" s="1643"/>
      <c r="AA662" s="1643"/>
      <c r="AB662" s="1643"/>
      <c r="AC662" s="1643"/>
      <c r="AD662" s="1643"/>
      <c r="AE662" s="1643"/>
      <c r="AF662" s="1643"/>
      <c r="AG662" s="1643"/>
      <c r="AH662" s="1643"/>
      <c r="AI662" s="1643"/>
      <c r="AJ662" s="1643"/>
      <c r="AK662" s="1643"/>
      <c r="AL662" s="1643"/>
      <c r="AM662" s="1643"/>
    </row>
    <row r="663" spans="1:39" ht="15.75" customHeight="1" x14ac:dyDescent="0.3">
      <c r="A663" s="1643"/>
      <c r="B663" s="1643"/>
      <c r="C663" s="1643"/>
      <c r="D663" s="1643"/>
      <c r="E663" s="1643"/>
      <c r="F663" s="1643"/>
      <c r="G663" s="1643"/>
      <c r="H663" s="1643"/>
      <c r="I663" s="1643"/>
      <c r="J663" s="1643"/>
      <c r="K663" s="1643"/>
      <c r="L663" s="1643"/>
      <c r="M663" s="1643"/>
      <c r="N663" s="1643"/>
      <c r="O663" s="1643"/>
      <c r="P663" s="1643"/>
      <c r="Q663" s="1643"/>
      <c r="R663" s="1643"/>
      <c r="S663" s="1643"/>
      <c r="T663" s="1643"/>
      <c r="U663" s="1643"/>
      <c r="V663" s="1643"/>
      <c r="W663" s="1643"/>
      <c r="X663" s="1643"/>
      <c r="Y663" s="1643"/>
      <c r="Z663" s="1643"/>
      <c r="AA663" s="1643"/>
      <c r="AB663" s="1643"/>
      <c r="AC663" s="1643"/>
      <c r="AD663" s="1643"/>
      <c r="AE663" s="1643"/>
      <c r="AF663" s="1643"/>
      <c r="AG663" s="1643"/>
      <c r="AH663" s="1643"/>
      <c r="AI663" s="1643"/>
      <c r="AJ663" s="1643"/>
      <c r="AK663" s="1643"/>
      <c r="AL663" s="1643"/>
      <c r="AM663" s="1643"/>
    </row>
    <row r="664" spans="1:39" ht="15.75" customHeight="1" x14ac:dyDescent="0.3">
      <c r="A664" s="1643"/>
      <c r="B664" s="1643"/>
      <c r="C664" s="1643"/>
      <c r="D664" s="1643"/>
      <c r="E664" s="1643"/>
      <c r="F664" s="1643"/>
      <c r="G664" s="1643"/>
      <c r="H664" s="1643"/>
      <c r="I664" s="1643"/>
      <c r="J664" s="1643"/>
      <c r="K664" s="1643"/>
      <c r="L664" s="1643"/>
      <c r="M664" s="1643"/>
      <c r="N664" s="1643"/>
      <c r="O664" s="1643"/>
      <c r="P664" s="1643"/>
      <c r="Q664" s="1643"/>
      <c r="R664" s="1643"/>
      <c r="S664" s="1643"/>
      <c r="T664" s="1643"/>
      <c r="U664" s="1643"/>
      <c r="V664" s="1643"/>
      <c r="W664" s="1643"/>
      <c r="X664" s="1643"/>
      <c r="Y664" s="1643"/>
      <c r="Z664" s="1643"/>
      <c r="AA664" s="1643"/>
      <c r="AB664" s="1643"/>
      <c r="AC664" s="1643"/>
      <c r="AD664" s="1643"/>
      <c r="AE664" s="1643"/>
      <c r="AF664" s="1643"/>
      <c r="AG664" s="1643"/>
      <c r="AH664" s="1643"/>
      <c r="AI664" s="1643"/>
      <c r="AJ664" s="1643"/>
      <c r="AK664" s="1643"/>
      <c r="AL664" s="1643"/>
      <c r="AM664" s="1643"/>
    </row>
    <row r="665" spans="1:39" ht="15.75" customHeight="1" x14ac:dyDescent="0.3">
      <c r="A665" s="1643"/>
      <c r="B665" s="1643"/>
      <c r="C665" s="1643"/>
      <c r="D665" s="1643"/>
      <c r="E665" s="1643"/>
      <c r="F665" s="1643"/>
      <c r="G665" s="1643"/>
      <c r="H665" s="1643"/>
      <c r="I665" s="1643"/>
      <c r="J665" s="1643"/>
      <c r="K665" s="1643"/>
      <c r="L665" s="1643"/>
      <c r="M665" s="1643"/>
      <c r="N665" s="1643"/>
      <c r="O665" s="1643"/>
      <c r="P665" s="1643"/>
      <c r="Q665" s="1643"/>
      <c r="R665" s="1643"/>
      <c r="S665" s="1643"/>
      <c r="T665" s="1643"/>
      <c r="U665" s="1643"/>
      <c r="V665" s="1643"/>
      <c r="W665" s="1643"/>
      <c r="X665" s="1643"/>
      <c r="Y665" s="1643"/>
      <c r="Z665" s="1643"/>
      <c r="AA665" s="1643"/>
      <c r="AB665" s="1643"/>
      <c r="AC665" s="1643"/>
      <c r="AD665" s="1643"/>
      <c r="AE665" s="1643"/>
      <c r="AF665" s="1643"/>
      <c r="AG665" s="1643"/>
      <c r="AH665" s="1643"/>
      <c r="AI665" s="1643"/>
      <c r="AJ665" s="1643"/>
      <c r="AK665" s="1643"/>
      <c r="AL665" s="1643"/>
      <c r="AM665" s="1643"/>
    </row>
    <row r="666" spans="1:39" ht="15.75" customHeight="1" x14ac:dyDescent="0.3">
      <c r="A666" s="1643"/>
      <c r="B666" s="1643"/>
      <c r="C666" s="1643"/>
      <c r="D666" s="1643"/>
      <c r="E666" s="1643"/>
      <c r="F666" s="1643"/>
      <c r="G666" s="1643"/>
      <c r="H666" s="1643"/>
      <c r="I666" s="1643"/>
      <c r="J666" s="1643"/>
      <c r="K666" s="1643"/>
      <c r="L666" s="1643"/>
      <c r="M666" s="1643"/>
      <c r="N666" s="1643"/>
      <c r="O666" s="1643"/>
      <c r="P666" s="1643"/>
      <c r="Q666" s="1643"/>
      <c r="R666" s="1643"/>
      <c r="S666" s="1643"/>
      <c r="T666" s="1643"/>
      <c r="U666" s="1643"/>
      <c r="V666" s="1643"/>
      <c r="W666" s="1643"/>
      <c r="X666" s="1643"/>
      <c r="Y666" s="1643"/>
      <c r="Z666" s="1643"/>
      <c r="AA666" s="1643"/>
      <c r="AB666" s="1643"/>
      <c r="AC666" s="1643"/>
      <c r="AD666" s="1643"/>
      <c r="AE666" s="1643"/>
      <c r="AF666" s="1643"/>
      <c r="AG666" s="1643"/>
      <c r="AH666" s="1643"/>
      <c r="AI666" s="1643"/>
      <c r="AJ666" s="1643"/>
      <c r="AK666" s="1643"/>
      <c r="AL666" s="1643"/>
      <c r="AM666" s="1643"/>
    </row>
    <row r="667" spans="1:39" ht="15.75" customHeight="1" x14ac:dyDescent="0.3">
      <c r="A667" s="1643"/>
      <c r="B667" s="1643"/>
      <c r="C667" s="1643"/>
      <c r="D667" s="1643"/>
      <c r="E667" s="1643"/>
      <c r="F667" s="1643"/>
      <c r="G667" s="1643"/>
      <c r="H667" s="1643"/>
      <c r="I667" s="1643"/>
      <c r="J667" s="1643"/>
      <c r="K667" s="1643"/>
      <c r="L667" s="1643"/>
      <c r="M667" s="1643"/>
      <c r="N667" s="1643"/>
      <c r="O667" s="1643"/>
      <c r="P667" s="1643"/>
      <c r="Q667" s="1643"/>
      <c r="R667" s="1643"/>
      <c r="S667" s="1643"/>
      <c r="T667" s="1643"/>
      <c r="U667" s="1643"/>
      <c r="V667" s="1643"/>
      <c r="W667" s="1643"/>
      <c r="X667" s="1643"/>
      <c r="Y667" s="1643"/>
      <c r="Z667" s="1643"/>
      <c r="AA667" s="1643"/>
      <c r="AB667" s="1643"/>
      <c r="AC667" s="1643"/>
      <c r="AD667" s="1643"/>
      <c r="AE667" s="1643"/>
      <c r="AF667" s="1643"/>
      <c r="AG667" s="1643"/>
      <c r="AH667" s="1643"/>
      <c r="AI667" s="1643"/>
      <c r="AJ667" s="1643"/>
      <c r="AK667" s="1643"/>
      <c r="AL667" s="1643"/>
      <c r="AM667" s="1643"/>
    </row>
    <row r="668" spans="1:39" ht="15.75" customHeight="1" x14ac:dyDescent="0.3">
      <c r="A668" s="1643"/>
      <c r="B668" s="1643"/>
      <c r="C668" s="1643"/>
      <c r="D668" s="1643"/>
      <c r="E668" s="1643"/>
      <c r="F668" s="1643"/>
      <c r="G668" s="1643"/>
      <c r="H668" s="1643"/>
      <c r="I668" s="1643"/>
      <c r="J668" s="1643"/>
      <c r="K668" s="1643"/>
      <c r="L668" s="1643"/>
      <c r="M668" s="1643"/>
      <c r="N668" s="1643"/>
      <c r="O668" s="1643"/>
      <c r="P668" s="1643"/>
      <c r="Q668" s="1643"/>
      <c r="R668" s="1643"/>
      <c r="S668" s="1643"/>
      <c r="T668" s="1643"/>
      <c r="U668" s="1643"/>
      <c r="V668" s="1643"/>
      <c r="W668" s="1643"/>
      <c r="X668" s="1643"/>
      <c r="Y668" s="1643"/>
      <c r="Z668" s="1643"/>
      <c r="AA668" s="1643"/>
      <c r="AB668" s="1643"/>
      <c r="AC668" s="1643"/>
      <c r="AD668" s="1643"/>
      <c r="AE668" s="1643"/>
      <c r="AF668" s="1643"/>
      <c r="AG668" s="1643"/>
      <c r="AH668" s="1643"/>
      <c r="AI668" s="1643"/>
      <c r="AJ668" s="1643"/>
      <c r="AK668" s="1643"/>
      <c r="AL668" s="1643"/>
      <c r="AM668" s="1643"/>
    </row>
    <row r="669" spans="1:39" ht="15.75" customHeight="1" x14ac:dyDescent="0.3">
      <c r="A669" s="1643"/>
      <c r="B669" s="1643"/>
      <c r="C669" s="1643"/>
      <c r="D669" s="1643"/>
      <c r="E669" s="1643"/>
      <c r="F669" s="1643"/>
      <c r="G669" s="1643"/>
      <c r="H669" s="1643"/>
      <c r="I669" s="1643"/>
      <c r="J669" s="1643"/>
      <c r="K669" s="1643"/>
      <c r="L669" s="1643"/>
      <c r="M669" s="1643"/>
      <c r="N669" s="1643"/>
      <c r="O669" s="1643"/>
      <c r="P669" s="1643"/>
      <c r="Q669" s="1643"/>
      <c r="R669" s="1643"/>
      <c r="S669" s="1643"/>
      <c r="T669" s="1643"/>
      <c r="U669" s="1643"/>
      <c r="V669" s="1643"/>
      <c r="W669" s="1643"/>
      <c r="X669" s="1643"/>
      <c r="Y669" s="1643"/>
      <c r="Z669" s="1643"/>
      <c r="AA669" s="1643"/>
      <c r="AB669" s="1643"/>
      <c r="AC669" s="1643"/>
      <c r="AD669" s="1643"/>
      <c r="AE669" s="1643"/>
      <c r="AF669" s="1643"/>
      <c r="AG669" s="1643"/>
      <c r="AH669" s="1643"/>
      <c r="AI669" s="1643"/>
      <c r="AJ669" s="1643"/>
      <c r="AK669" s="1643"/>
      <c r="AL669" s="1643"/>
      <c r="AM669" s="1643"/>
    </row>
    <row r="670" spans="1:39" ht="15.75" customHeight="1" x14ac:dyDescent="0.3">
      <c r="A670" s="1643"/>
      <c r="B670" s="1643"/>
      <c r="C670" s="1643"/>
      <c r="D670" s="1643"/>
      <c r="E670" s="1643"/>
      <c r="F670" s="1643"/>
      <c r="G670" s="1643"/>
      <c r="H670" s="1643"/>
      <c r="I670" s="1643"/>
      <c r="J670" s="1643"/>
      <c r="K670" s="1643"/>
      <c r="L670" s="1643"/>
      <c r="M670" s="1643"/>
      <c r="N670" s="1643"/>
      <c r="O670" s="1643"/>
      <c r="P670" s="1643"/>
      <c r="Q670" s="1643"/>
      <c r="R670" s="1643"/>
      <c r="S670" s="1643"/>
      <c r="T670" s="1643"/>
      <c r="U670" s="1643"/>
      <c r="V670" s="1643"/>
      <c r="W670" s="1643"/>
      <c r="X670" s="1643"/>
      <c r="Y670" s="1643"/>
      <c r="Z670" s="1643"/>
      <c r="AA670" s="1643"/>
      <c r="AB670" s="1643"/>
      <c r="AC670" s="1643"/>
      <c r="AD670" s="1643"/>
      <c r="AE670" s="1643"/>
      <c r="AF670" s="1643"/>
      <c r="AG670" s="1643"/>
      <c r="AH670" s="1643"/>
      <c r="AI670" s="1643"/>
      <c r="AJ670" s="1643"/>
      <c r="AK670" s="1643"/>
      <c r="AL670" s="1643"/>
      <c r="AM670" s="1643"/>
    </row>
    <row r="671" spans="1:39" ht="15.75" customHeight="1" x14ac:dyDescent="0.3">
      <c r="A671" s="1643"/>
      <c r="B671" s="1643"/>
      <c r="C671" s="1643"/>
      <c r="D671" s="1643"/>
      <c r="E671" s="1643"/>
      <c r="F671" s="1643"/>
      <c r="G671" s="1643"/>
      <c r="H671" s="1643"/>
      <c r="I671" s="1643"/>
      <c r="J671" s="1643"/>
      <c r="K671" s="1643"/>
      <c r="L671" s="1643"/>
      <c r="M671" s="1643"/>
      <c r="N671" s="1643"/>
      <c r="O671" s="1643"/>
      <c r="P671" s="1643"/>
      <c r="Q671" s="1643"/>
      <c r="R671" s="1643"/>
      <c r="S671" s="1643"/>
      <c r="T671" s="1643"/>
      <c r="U671" s="1643"/>
      <c r="V671" s="1643"/>
      <c r="W671" s="1643"/>
      <c r="X671" s="1643"/>
      <c r="Y671" s="1643"/>
      <c r="Z671" s="1643"/>
      <c r="AA671" s="1643"/>
      <c r="AB671" s="1643"/>
      <c r="AC671" s="1643"/>
      <c r="AD671" s="1643"/>
      <c r="AE671" s="1643"/>
      <c r="AF671" s="1643"/>
      <c r="AG671" s="1643"/>
      <c r="AH671" s="1643"/>
      <c r="AI671" s="1643"/>
      <c r="AJ671" s="1643"/>
      <c r="AK671" s="1643"/>
      <c r="AL671" s="1643"/>
      <c r="AM671" s="1643"/>
    </row>
    <row r="672" spans="1:39" ht="15.75" customHeight="1" x14ac:dyDescent="0.3">
      <c r="A672" s="1643"/>
      <c r="B672" s="1643"/>
      <c r="C672" s="1643"/>
      <c r="D672" s="1643"/>
      <c r="E672" s="1643"/>
      <c r="F672" s="1643"/>
      <c r="G672" s="1643"/>
      <c r="H672" s="1643"/>
      <c r="I672" s="1643"/>
      <c r="J672" s="1643"/>
      <c r="K672" s="1643"/>
      <c r="L672" s="1643"/>
      <c r="M672" s="1643"/>
      <c r="N672" s="1643"/>
      <c r="O672" s="1643"/>
      <c r="P672" s="1643"/>
      <c r="Q672" s="1643"/>
      <c r="R672" s="1643"/>
      <c r="S672" s="1643"/>
      <c r="T672" s="1643"/>
      <c r="U672" s="1643"/>
      <c r="V672" s="1643"/>
      <c r="W672" s="1643"/>
      <c r="X672" s="1643"/>
      <c r="Y672" s="1643"/>
      <c r="Z672" s="1643"/>
      <c r="AA672" s="1643"/>
      <c r="AB672" s="1643"/>
      <c r="AC672" s="1643"/>
      <c r="AD672" s="1643"/>
      <c r="AE672" s="1643"/>
      <c r="AF672" s="1643"/>
      <c r="AG672" s="1643"/>
      <c r="AH672" s="1643"/>
      <c r="AI672" s="1643"/>
      <c r="AJ672" s="1643"/>
      <c r="AK672" s="1643"/>
      <c r="AL672" s="1643"/>
      <c r="AM672" s="1643"/>
    </row>
    <row r="673" spans="1:39" ht="15.75" customHeight="1" x14ac:dyDescent="0.3">
      <c r="A673" s="1643"/>
      <c r="B673" s="1643"/>
      <c r="C673" s="1643"/>
      <c r="D673" s="1643"/>
      <c r="E673" s="1643"/>
      <c r="F673" s="1643"/>
      <c r="G673" s="1643"/>
      <c r="H673" s="1643"/>
      <c r="I673" s="1643"/>
      <c r="J673" s="1643"/>
      <c r="K673" s="1643"/>
      <c r="L673" s="1643"/>
      <c r="M673" s="1643"/>
      <c r="N673" s="1643"/>
      <c r="O673" s="1643"/>
      <c r="P673" s="1643"/>
      <c r="Q673" s="1643"/>
      <c r="R673" s="1643"/>
      <c r="S673" s="1643"/>
      <c r="T673" s="1643"/>
      <c r="U673" s="1643"/>
      <c r="V673" s="1643"/>
      <c r="W673" s="1643"/>
      <c r="X673" s="1643"/>
      <c r="Y673" s="1643"/>
      <c r="Z673" s="1643"/>
      <c r="AA673" s="1643"/>
      <c r="AB673" s="1643"/>
      <c r="AC673" s="1643"/>
      <c r="AD673" s="1643"/>
      <c r="AE673" s="1643"/>
      <c r="AF673" s="1643"/>
      <c r="AG673" s="1643"/>
      <c r="AH673" s="1643"/>
      <c r="AI673" s="1643"/>
      <c r="AJ673" s="1643"/>
      <c r="AK673" s="1643"/>
      <c r="AL673" s="1643"/>
      <c r="AM673" s="1643"/>
    </row>
    <row r="674" spans="1:39" ht="15.75" customHeight="1" x14ac:dyDescent="0.3">
      <c r="A674" s="1643"/>
      <c r="B674" s="1643"/>
      <c r="C674" s="1643"/>
      <c r="D674" s="1643"/>
      <c r="E674" s="1643"/>
      <c r="F674" s="1643"/>
      <c r="G674" s="1643"/>
      <c r="H674" s="1643"/>
      <c r="I674" s="1643"/>
      <c r="J674" s="1643"/>
      <c r="K674" s="1643"/>
      <c r="L674" s="1643"/>
      <c r="M674" s="1643"/>
      <c r="N674" s="1643"/>
      <c r="O674" s="1643"/>
      <c r="P674" s="1643"/>
      <c r="Q674" s="1643"/>
      <c r="R674" s="1643"/>
      <c r="S674" s="1643"/>
      <c r="T674" s="1643"/>
      <c r="U674" s="1643"/>
      <c r="V674" s="1643"/>
      <c r="W674" s="1643"/>
      <c r="X674" s="1643"/>
      <c r="Y674" s="1643"/>
      <c r="Z674" s="1643"/>
      <c r="AA674" s="1643"/>
      <c r="AB674" s="1643"/>
      <c r="AC674" s="1643"/>
      <c r="AD674" s="1643"/>
      <c r="AE674" s="1643"/>
      <c r="AF674" s="1643"/>
      <c r="AG674" s="1643"/>
      <c r="AH674" s="1643"/>
      <c r="AI674" s="1643"/>
      <c r="AJ674" s="1643"/>
      <c r="AK674" s="1643"/>
      <c r="AL674" s="1643"/>
      <c r="AM674" s="1643"/>
    </row>
    <row r="675" spans="1:39" ht="15.75" customHeight="1" x14ac:dyDescent="0.3">
      <c r="A675" s="1643"/>
      <c r="B675" s="1643"/>
      <c r="C675" s="1643"/>
      <c r="D675" s="1643"/>
      <c r="E675" s="1643"/>
      <c r="F675" s="1643"/>
      <c r="G675" s="1643"/>
      <c r="H675" s="1643"/>
      <c r="I675" s="1643"/>
      <c r="J675" s="1643"/>
      <c r="K675" s="1643"/>
      <c r="L675" s="1643"/>
      <c r="M675" s="1643"/>
      <c r="N675" s="1643"/>
      <c r="O675" s="1643"/>
      <c r="P675" s="1643"/>
      <c r="Q675" s="1643"/>
      <c r="R675" s="1643"/>
      <c r="S675" s="1643"/>
      <c r="T675" s="1643"/>
      <c r="U675" s="1643"/>
      <c r="V675" s="1643"/>
      <c r="W675" s="1643"/>
      <c r="X675" s="1643"/>
      <c r="Y675" s="1643"/>
      <c r="Z675" s="1643"/>
      <c r="AA675" s="1643"/>
      <c r="AB675" s="1643"/>
      <c r="AC675" s="1643"/>
      <c r="AD675" s="1643"/>
      <c r="AE675" s="1643"/>
      <c r="AF675" s="1643"/>
      <c r="AG675" s="1643"/>
      <c r="AH675" s="1643"/>
      <c r="AI675" s="1643"/>
      <c r="AJ675" s="1643"/>
      <c r="AK675" s="1643"/>
      <c r="AL675" s="1643"/>
      <c r="AM675" s="1643"/>
    </row>
    <row r="676" spans="1:39" ht="15.75" customHeight="1" x14ac:dyDescent="0.3">
      <c r="A676" s="1643"/>
      <c r="B676" s="1643"/>
      <c r="C676" s="1643"/>
      <c r="D676" s="1643"/>
      <c r="E676" s="1643"/>
      <c r="F676" s="1643"/>
      <c r="G676" s="1643"/>
      <c r="H676" s="1643"/>
      <c r="I676" s="1643"/>
      <c r="J676" s="1643"/>
      <c r="K676" s="1643"/>
      <c r="L676" s="1643"/>
      <c r="M676" s="1643"/>
      <c r="N676" s="1643"/>
      <c r="O676" s="1643"/>
      <c r="P676" s="1643"/>
      <c r="Q676" s="1643"/>
      <c r="R676" s="1643"/>
      <c r="S676" s="1643"/>
      <c r="T676" s="1643"/>
      <c r="U676" s="1643"/>
      <c r="V676" s="1643"/>
      <c r="W676" s="1643"/>
      <c r="X676" s="1643"/>
      <c r="Y676" s="1643"/>
      <c r="Z676" s="1643"/>
      <c r="AA676" s="1643"/>
      <c r="AB676" s="1643"/>
      <c r="AC676" s="1643"/>
      <c r="AD676" s="1643"/>
      <c r="AE676" s="1643"/>
      <c r="AF676" s="1643"/>
      <c r="AG676" s="1643"/>
      <c r="AH676" s="1643"/>
      <c r="AI676" s="1643"/>
      <c r="AJ676" s="1643"/>
      <c r="AK676" s="1643"/>
      <c r="AL676" s="1643"/>
      <c r="AM676" s="1643"/>
    </row>
    <row r="677" spans="1:39" ht="15.75" customHeight="1" x14ac:dyDescent="0.3">
      <c r="A677" s="1643"/>
      <c r="B677" s="1643"/>
      <c r="C677" s="1643"/>
      <c r="D677" s="1643"/>
      <c r="E677" s="1643"/>
      <c r="F677" s="1643"/>
      <c r="G677" s="1643"/>
      <c r="H677" s="1643"/>
      <c r="I677" s="1643"/>
      <c r="J677" s="1643"/>
      <c r="K677" s="1643"/>
      <c r="L677" s="1643"/>
      <c r="M677" s="1643"/>
      <c r="N677" s="1643"/>
      <c r="O677" s="1643"/>
      <c r="P677" s="1643"/>
      <c r="Q677" s="1643"/>
      <c r="R677" s="1643"/>
      <c r="S677" s="1643"/>
      <c r="T677" s="1643"/>
      <c r="U677" s="1643"/>
      <c r="V677" s="1643"/>
      <c r="W677" s="1643"/>
      <c r="X677" s="1643"/>
      <c r="Y677" s="1643"/>
      <c r="Z677" s="1643"/>
      <c r="AA677" s="1643"/>
      <c r="AB677" s="1643"/>
      <c r="AC677" s="1643"/>
      <c r="AD677" s="1643"/>
      <c r="AE677" s="1643"/>
      <c r="AF677" s="1643"/>
      <c r="AG677" s="1643"/>
      <c r="AH677" s="1643"/>
      <c r="AI677" s="1643"/>
      <c r="AJ677" s="1643"/>
      <c r="AK677" s="1643"/>
      <c r="AL677" s="1643"/>
      <c r="AM677" s="1643"/>
    </row>
    <row r="678" spans="1:39" ht="15.75" customHeight="1" x14ac:dyDescent="0.3">
      <c r="A678" s="1643"/>
      <c r="B678" s="1643"/>
      <c r="C678" s="1643"/>
      <c r="D678" s="1643"/>
      <c r="E678" s="1643"/>
      <c r="F678" s="1643"/>
      <c r="G678" s="1643"/>
      <c r="H678" s="1643"/>
      <c r="I678" s="1643"/>
      <c r="J678" s="1643"/>
      <c r="K678" s="1643"/>
      <c r="L678" s="1643"/>
      <c r="M678" s="1643"/>
      <c r="N678" s="1643"/>
      <c r="O678" s="1643"/>
      <c r="P678" s="1643"/>
      <c r="Q678" s="1643"/>
      <c r="R678" s="1643"/>
      <c r="S678" s="1643"/>
      <c r="T678" s="1643"/>
      <c r="U678" s="1643"/>
      <c r="V678" s="1643"/>
      <c r="W678" s="1643"/>
      <c r="X678" s="1643"/>
      <c r="Y678" s="1643"/>
      <c r="Z678" s="1643"/>
      <c r="AA678" s="1643"/>
      <c r="AB678" s="1643"/>
      <c r="AC678" s="1643"/>
      <c r="AD678" s="1643"/>
      <c r="AE678" s="1643"/>
      <c r="AF678" s="1643"/>
      <c r="AG678" s="1643"/>
      <c r="AH678" s="1643"/>
      <c r="AI678" s="1643"/>
      <c r="AJ678" s="1643"/>
      <c r="AK678" s="1643"/>
      <c r="AL678" s="1643"/>
      <c r="AM678" s="1643"/>
    </row>
    <row r="679" spans="1:39" ht="15.75" customHeight="1" x14ac:dyDescent="0.3">
      <c r="A679" s="1643"/>
      <c r="B679" s="1643"/>
      <c r="C679" s="1643"/>
      <c r="D679" s="1643"/>
      <c r="E679" s="1643"/>
      <c r="F679" s="1643"/>
      <c r="G679" s="1643"/>
      <c r="H679" s="1643"/>
      <c r="I679" s="1643"/>
      <c r="J679" s="1643"/>
      <c r="K679" s="1643"/>
      <c r="L679" s="1643"/>
      <c r="M679" s="1643"/>
      <c r="N679" s="1643"/>
      <c r="O679" s="1643"/>
      <c r="P679" s="1643"/>
      <c r="Q679" s="1643"/>
      <c r="R679" s="1643"/>
      <c r="S679" s="1643"/>
      <c r="T679" s="1643"/>
      <c r="U679" s="1643"/>
      <c r="V679" s="1643"/>
      <c r="W679" s="1643"/>
      <c r="X679" s="1643"/>
      <c r="Y679" s="1643"/>
      <c r="Z679" s="1643"/>
      <c r="AA679" s="1643"/>
      <c r="AB679" s="1643"/>
      <c r="AC679" s="1643"/>
      <c r="AD679" s="1643"/>
      <c r="AE679" s="1643"/>
      <c r="AF679" s="1643"/>
      <c r="AG679" s="1643"/>
      <c r="AH679" s="1643"/>
      <c r="AI679" s="1643"/>
      <c r="AJ679" s="1643"/>
      <c r="AK679" s="1643"/>
      <c r="AL679" s="1643"/>
      <c r="AM679" s="1643"/>
    </row>
    <row r="680" spans="1:39" ht="15.75" customHeight="1" x14ac:dyDescent="0.3">
      <c r="A680" s="1643"/>
      <c r="B680" s="1643"/>
      <c r="C680" s="1643"/>
      <c r="D680" s="1643"/>
      <c r="E680" s="1643"/>
      <c r="F680" s="1643"/>
      <c r="G680" s="1643"/>
      <c r="H680" s="1643"/>
      <c r="I680" s="1643"/>
      <c r="J680" s="1643"/>
      <c r="K680" s="1643"/>
      <c r="L680" s="1643"/>
      <c r="M680" s="1643"/>
      <c r="N680" s="1643"/>
      <c r="O680" s="1643"/>
      <c r="P680" s="1643"/>
      <c r="Q680" s="1643"/>
      <c r="R680" s="1643"/>
      <c r="S680" s="1643"/>
      <c r="T680" s="1643"/>
      <c r="U680" s="1643"/>
      <c r="V680" s="1643"/>
      <c r="W680" s="1643"/>
      <c r="X680" s="1643"/>
      <c r="Y680" s="1643"/>
      <c r="Z680" s="1643"/>
      <c r="AA680" s="1643"/>
      <c r="AB680" s="1643"/>
      <c r="AC680" s="1643"/>
      <c r="AD680" s="1643"/>
      <c r="AE680" s="1643"/>
      <c r="AF680" s="1643"/>
      <c r="AG680" s="1643"/>
      <c r="AH680" s="1643"/>
      <c r="AI680" s="1643"/>
      <c r="AJ680" s="1643"/>
      <c r="AK680" s="1643"/>
      <c r="AL680" s="1643"/>
      <c r="AM680" s="1643"/>
    </row>
    <row r="681" spans="1:39" ht="15.75" customHeight="1" x14ac:dyDescent="0.3">
      <c r="A681" s="1643"/>
      <c r="B681" s="1643"/>
      <c r="C681" s="1643"/>
      <c r="D681" s="1643"/>
      <c r="E681" s="1643"/>
      <c r="F681" s="1643"/>
      <c r="G681" s="1643"/>
      <c r="H681" s="1643"/>
      <c r="I681" s="1643"/>
      <c r="J681" s="1643"/>
      <c r="K681" s="1643"/>
      <c r="L681" s="1643"/>
      <c r="M681" s="1643"/>
      <c r="N681" s="1643"/>
      <c r="O681" s="1643"/>
      <c r="P681" s="1643"/>
      <c r="Q681" s="1643"/>
      <c r="R681" s="1643"/>
      <c r="S681" s="1643"/>
      <c r="T681" s="1643"/>
      <c r="U681" s="1643"/>
      <c r="V681" s="1643"/>
      <c r="W681" s="1643"/>
      <c r="X681" s="1643"/>
      <c r="Y681" s="1643"/>
      <c r="Z681" s="1643"/>
      <c r="AA681" s="1643"/>
      <c r="AB681" s="1643"/>
      <c r="AC681" s="1643"/>
      <c r="AD681" s="1643"/>
      <c r="AE681" s="1643"/>
      <c r="AF681" s="1643"/>
      <c r="AG681" s="1643"/>
      <c r="AH681" s="1643"/>
      <c r="AI681" s="1643"/>
      <c r="AJ681" s="1643"/>
      <c r="AK681" s="1643"/>
      <c r="AL681" s="1643"/>
      <c r="AM681" s="1643"/>
    </row>
    <row r="682" spans="1:39" ht="15.75" customHeight="1" x14ac:dyDescent="0.3">
      <c r="A682" s="1643"/>
      <c r="B682" s="1643"/>
      <c r="C682" s="1643"/>
      <c r="D682" s="1643"/>
      <c r="E682" s="1643"/>
      <c r="F682" s="1643"/>
      <c r="G682" s="1643"/>
      <c r="H682" s="1643"/>
      <c r="I682" s="1643"/>
      <c r="J682" s="1643"/>
      <c r="K682" s="1643"/>
      <c r="L682" s="1643"/>
      <c r="M682" s="1643"/>
      <c r="N682" s="1643"/>
      <c r="O682" s="1643"/>
      <c r="P682" s="1643"/>
      <c r="Q682" s="1643"/>
      <c r="R682" s="1643"/>
      <c r="S682" s="1643"/>
      <c r="T682" s="1643"/>
      <c r="U682" s="1643"/>
      <c r="V682" s="1643"/>
      <c r="W682" s="1643"/>
      <c r="X682" s="1643"/>
      <c r="Y682" s="1643"/>
      <c r="Z682" s="1643"/>
      <c r="AA682" s="1643"/>
      <c r="AB682" s="1643"/>
      <c r="AC682" s="1643"/>
      <c r="AD682" s="1643"/>
      <c r="AE682" s="1643"/>
      <c r="AF682" s="1643"/>
      <c r="AG682" s="1643"/>
      <c r="AH682" s="1643"/>
      <c r="AI682" s="1643"/>
      <c r="AJ682" s="1643"/>
      <c r="AK682" s="1643"/>
      <c r="AL682" s="1643"/>
      <c r="AM682" s="1643"/>
    </row>
    <row r="683" spans="1:39" ht="15.75" customHeight="1" x14ac:dyDescent="0.3">
      <c r="A683" s="1643"/>
      <c r="B683" s="1643"/>
      <c r="C683" s="1643"/>
      <c r="D683" s="1643"/>
      <c r="E683" s="1643"/>
      <c r="F683" s="1643"/>
      <c r="G683" s="1643"/>
      <c r="H683" s="1643"/>
      <c r="I683" s="1643"/>
      <c r="J683" s="1643"/>
      <c r="K683" s="1643"/>
      <c r="L683" s="1643"/>
      <c r="M683" s="1643"/>
      <c r="N683" s="1643"/>
      <c r="O683" s="1643"/>
      <c r="P683" s="1643"/>
      <c r="Q683" s="1643"/>
      <c r="R683" s="1643"/>
      <c r="S683" s="1643"/>
      <c r="T683" s="1643"/>
      <c r="U683" s="1643"/>
      <c r="V683" s="1643"/>
      <c r="W683" s="1643"/>
      <c r="X683" s="1643"/>
      <c r="Y683" s="1643"/>
      <c r="Z683" s="1643"/>
      <c r="AA683" s="1643"/>
      <c r="AB683" s="1643"/>
      <c r="AC683" s="1643"/>
      <c r="AD683" s="1643"/>
      <c r="AE683" s="1643"/>
      <c r="AF683" s="1643"/>
      <c r="AG683" s="1643"/>
      <c r="AH683" s="1643"/>
      <c r="AI683" s="1643"/>
      <c r="AJ683" s="1643"/>
      <c r="AK683" s="1643"/>
      <c r="AL683" s="1643"/>
      <c r="AM683" s="1643"/>
    </row>
    <row r="684" spans="1:39" ht="15.75" customHeight="1" x14ac:dyDescent="0.3">
      <c r="A684" s="1643"/>
      <c r="B684" s="1643"/>
      <c r="C684" s="1643"/>
      <c r="D684" s="1643"/>
      <c r="E684" s="1643"/>
      <c r="F684" s="1643"/>
      <c r="G684" s="1643"/>
      <c r="H684" s="1643"/>
      <c r="I684" s="1643"/>
      <c r="J684" s="1643"/>
      <c r="K684" s="1643"/>
      <c r="L684" s="1643"/>
      <c r="M684" s="1643"/>
      <c r="N684" s="1643"/>
      <c r="O684" s="1643"/>
      <c r="P684" s="1643"/>
      <c r="Q684" s="1643"/>
      <c r="R684" s="1643"/>
      <c r="S684" s="1643"/>
      <c r="T684" s="1643"/>
      <c r="U684" s="1643"/>
      <c r="V684" s="1643"/>
      <c r="W684" s="1643"/>
      <c r="X684" s="1643"/>
      <c r="Y684" s="1643"/>
      <c r="Z684" s="1643"/>
      <c r="AA684" s="1643"/>
      <c r="AB684" s="1643"/>
      <c r="AC684" s="1643"/>
      <c r="AD684" s="1643"/>
      <c r="AE684" s="1643"/>
      <c r="AF684" s="1643"/>
      <c r="AG684" s="1643"/>
      <c r="AH684" s="1643"/>
      <c r="AI684" s="1643"/>
      <c r="AJ684" s="1643"/>
      <c r="AK684" s="1643"/>
      <c r="AL684" s="1643"/>
      <c r="AM684" s="1643"/>
    </row>
    <row r="685" spans="1:39" ht="15.75" customHeight="1" x14ac:dyDescent="0.3">
      <c r="A685" s="1643"/>
      <c r="B685" s="1643"/>
      <c r="C685" s="1643"/>
      <c r="D685" s="1643"/>
      <c r="E685" s="1643"/>
      <c r="F685" s="1643"/>
      <c r="G685" s="1643"/>
      <c r="H685" s="1643"/>
      <c r="I685" s="1643"/>
      <c r="J685" s="1643"/>
      <c r="K685" s="1643"/>
      <c r="L685" s="1643"/>
      <c r="M685" s="1643"/>
      <c r="N685" s="1643"/>
      <c r="O685" s="1643"/>
      <c r="P685" s="1643"/>
      <c r="Q685" s="1643"/>
      <c r="R685" s="1643"/>
      <c r="S685" s="1643"/>
      <c r="T685" s="1643"/>
      <c r="U685" s="1643"/>
      <c r="V685" s="1643"/>
      <c r="W685" s="1643"/>
      <c r="X685" s="1643"/>
      <c r="Y685" s="1643"/>
      <c r="Z685" s="1643"/>
      <c r="AA685" s="1643"/>
      <c r="AB685" s="1643"/>
      <c r="AC685" s="1643"/>
      <c r="AD685" s="1643"/>
      <c r="AE685" s="1643"/>
      <c r="AF685" s="1643"/>
      <c r="AG685" s="1643"/>
      <c r="AH685" s="1643"/>
      <c r="AI685" s="1643"/>
      <c r="AJ685" s="1643"/>
      <c r="AK685" s="1643"/>
      <c r="AL685" s="1643"/>
      <c r="AM685" s="1643"/>
    </row>
    <row r="686" spans="1:39" ht="15.75" customHeight="1" x14ac:dyDescent="0.3">
      <c r="A686" s="1643"/>
      <c r="B686" s="1643"/>
      <c r="C686" s="1643"/>
      <c r="D686" s="1643"/>
      <c r="E686" s="1643"/>
      <c r="F686" s="1643"/>
      <c r="G686" s="1643"/>
      <c r="H686" s="1643"/>
      <c r="I686" s="1643"/>
      <c r="J686" s="1643"/>
      <c r="K686" s="1643"/>
      <c r="L686" s="1643"/>
      <c r="M686" s="1643"/>
      <c r="N686" s="1643"/>
      <c r="O686" s="1643"/>
      <c r="P686" s="1643"/>
      <c r="Q686" s="1643"/>
      <c r="R686" s="1643"/>
      <c r="S686" s="1643"/>
      <c r="T686" s="1643"/>
      <c r="U686" s="1643"/>
      <c r="V686" s="1643"/>
      <c r="W686" s="1643"/>
      <c r="X686" s="1643"/>
      <c r="Y686" s="1643"/>
      <c r="Z686" s="1643"/>
      <c r="AA686" s="1643"/>
      <c r="AB686" s="1643"/>
      <c r="AC686" s="1643"/>
      <c r="AD686" s="1643"/>
      <c r="AE686" s="1643"/>
      <c r="AF686" s="1643"/>
      <c r="AG686" s="1643"/>
      <c r="AH686" s="1643"/>
      <c r="AI686" s="1643"/>
      <c r="AJ686" s="1643"/>
      <c r="AK686" s="1643"/>
      <c r="AL686" s="1643"/>
      <c r="AM686" s="1643"/>
    </row>
    <row r="687" spans="1:39" ht="15.75" customHeight="1" x14ac:dyDescent="0.3">
      <c r="A687" s="1643"/>
      <c r="B687" s="1643"/>
      <c r="C687" s="1643"/>
      <c r="D687" s="1643"/>
      <c r="E687" s="1643"/>
      <c r="F687" s="1643"/>
      <c r="G687" s="1643"/>
      <c r="H687" s="1643"/>
      <c r="I687" s="1643"/>
      <c r="J687" s="1643"/>
      <c r="K687" s="1643"/>
      <c r="L687" s="1643"/>
      <c r="M687" s="1643"/>
      <c r="N687" s="1643"/>
      <c r="O687" s="1643"/>
      <c r="P687" s="1643"/>
      <c r="Q687" s="1643"/>
      <c r="R687" s="1643"/>
      <c r="S687" s="1643"/>
      <c r="T687" s="1643"/>
      <c r="U687" s="1643"/>
      <c r="V687" s="1643"/>
      <c r="W687" s="1643"/>
      <c r="X687" s="1643"/>
      <c r="Y687" s="1643"/>
      <c r="Z687" s="1643"/>
      <c r="AA687" s="1643"/>
      <c r="AB687" s="1643"/>
      <c r="AC687" s="1643"/>
      <c r="AD687" s="1643"/>
      <c r="AE687" s="1643"/>
      <c r="AF687" s="1643"/>
      <c r="AG687" s="1643"/>
      <c r="AH687" s="1643"/>
      <c r="AI687" s="1643"/>
      <c r="AJ687" s="1643"/>
      <c r="AK687" s="1643"/>
      <c r="AL687" s="1643"/>
      <c r="AM687" s="1643"/>
    </row>
    <row r="688" spans="1:39" ht="15.75" customHeight="1" x14ac:dyDescent="0.3">
      <c r="A688" s="1643"/>
      <c r="B688" s="1643"/>
      <c r="C688" s="1643"/>
      <c r="D688" s="1643"/>
      <c r="E688" s="1643"/>
      <c r="F688" s="1643"/>
      <c r="G688" s="1643"/>
      <c r="H688" s="1643"/>
      <c r="I688" s="1643"/>
      <c r="J688" s="1643"/>
      <c r="K688" s="1643"/>
      <c r="L688" s="1643"/>
      <c r="M688" s="1643"/>
      <c r="N688" s="1643"/>
      <c r="O688" s="1643"/>
      <c r="P688" s="1643"/>
      <c r="Q688" s="1643"/>
      <c r="R688" s="1643"/>
      <c r="S688" s="1643"/>
      <c r="T688" s="1643"/>
      <c r="U688" s="1643"/>
      <c r="V688" s="1643"/>
      <c r="W688" s="1643"/>
      <c r="X688" s="1643"/>
      <c r="Y688" s="1643"/>
      <c r="Z688" s="1643"/>
      <c r="AA688" s="1643"/>
      <c r="AB688" s="1643"/>
      <c r="AC688" s="1643"/>
      <c r="AD688" s="1643"/>
      <c r="AE688" s="1643"/>
      <c r="AF688" s="1643"/>
      <c r="AG688" s="1643"/>
      <c r="AH688" s="1643"/>
      <c r="AI688" s="1643"/>
      <c r="AJ688" s="1643"/>
      <c r="AK688" s="1643"/>
      <c r="AL688" s="1643"/>
      <c r="AM688" s="1643"/>
    </row>
    <row r="689" spans="1:39" ht="15.75" customHeight="1" x14ac:dyDescent="0.3">
      <c r="A689" s="1643"/>
      <c r="B689" s="1643"/>
      <c r="C689" s="1643"/>
      <c r="D689" s="1643"/>
      <c r="E689" s="1643"/>
      <c r="F689" s="1643"/>
      <c r="G689" s="1643"/>
      <c r="H689" s="1643"/>
      <c r="I689" s="1643"/>
      <c r="J689" s="1643"/>
      <c r="K689" s="1643"/>
      <c r="L689" s="1643"/>
      <c r="M689" s="1643"/>
      <c r="N689" s="1643"/>
      <c r="O689" s="1643"/>
      <c r="P689" s="1643"/>
      <c r="Q689" s="1643"/>
      <c r="R689" s="1643"/>
      <c r="S689" s="1643"/>
      <c r="T689" s="1643"/>
      <c r="U689" s="1643"/>
      <c r="V689" s="1643"/>
      <c r="W689" s="1643"/>
      <c r="X689" s="1643"/>
      <c r="Y689" s="1643"/>
      <c r="Z689" s="1643"/>
      <c r="AA689" s="1643"/>
      <c r="AB689" s="1643"/>
      <c r="AC689" s="1643"/>
      <c r="AD689" s="1643"/>
      <c r="AE689" s="1643"/>
      <c r="AF689" s="1643"/>
      <c r="AG689" s="1643"/>
      <c r="AH689" s="1643"/>
      <c r="AI689" s="1643"/>
      <c r="AJ689" s="1643"/>
      <c r="AK689" s="1643"/>
      <c r="AL689" s="1643"/>
      <c r="AM689" s="1643"/>
    </row>
    <row r="690" spans="1:39" ht="15.75" customHeight="1" x14ac:dyDescent="0.3">
      <c r="A690" s="1643"/>
      <c r="B690" s="1643"/>
      <c r="C690" s="1643"/>
      <c r="D690" s="1643"/>
      <c r="E690" s="1643"/>
      <c r="F690" s="1643"/>
      <c r="G690" s="1643"/>
      <c r="H690" s="1643"/>
      <c r="I690" s="1643"/>
      <c r="J690" s="1643"/>
      <c r="K690" s="1643"/>
      <c r="L690" s="1643"/>
      <c r="M690" s="1643"/>
      <c r="N690" s="1643"/>
      <c r="O690" s="1643"/>
      <c r="P690" s="1643"/>
      <c r="Q690" s="1643"/>
      <c r="R690" s="1643"/>
      <c r="S690" s="1643"/>
      <c r="T690" s="1643"/>
      <c r="U690" s="1643"/>
      <c r="V690" s="1643"/>
      <c r="W690" s="1643"/>
      <c r="X690" s="1643"/>
      <c r="Y690" s="1643"/>
      <c r="Z690" s="1643"/>
      <c r="AA690" s="1643"/>
      <c r="AB690" s="1643"/>
      <c r="AC690" s="1643"/>
      <c r="AD690" s="1643"/>
      <c r="AE690" s="1643"/>
      <c r="AF690" s="1643"/>
      <c r="AG690" s="1643"/>
      <c r="AH690" s="1643"/>
      <c r="AI690" s="1643"/>
      <c r="AJ690" s="1643"/>
      <c r="AK690" s="1643"/>
      <c r="AL690" s="1643"/>
      <c r="AM690" s="1643"/>
    </row>
    <row r="691" spans="1:39" ht="15.75" customHeight="1" x14ac:dyDescent="0.3">
      <c r="A691" s="1643"/>
      <c r="B691" s="1643"/>
      <c r="C691" s="1643"/>
      <c r="D691" s="1643"/>
      <c r="E691" s="1643"/>
      <c r="F691" s="1643"/>
      <c r="G691" s="1643"/>
      <c r="H691" s="1643"/>
      <c r="I691" s="1643"/>
      <c r="J691" s="1643"/>
      <c r="K691" s="1643"/>
      <c r="L691" s="1643"/>
      <c r="M691" s="1643"/>
      <c r="N691" s="1643"/>
      <c r="O691" s="1643"/>
      <c r="P691" s="1643"/>
      <c r="Q691" s="1643"/>
      <c r="R691" s="1643"/>
      <c r="S691" s="1643"/>
      <c r="T691" s="1643"/>
      <c r="U691" s="1643"/>
      <c r="V691" s="1643"/>
      <c r="W691" s="1643"/>
      <c r="X691" s="1643"/>
      <c r="Y691" s="1643"/>
      <c r="Z691" s="1643"/>
      <c r="AA691" s="1643"/>
      <c r="AB691" s="1643"/>
      <c r="AC691" s="1643"/>
      <c r="AD691" s="1643"/>
      <c r="AE691" s="1643"/>
      <c r="AF691" s="1643"/>
      <c r="AG691" s="1643"/>
      <c r="AH691" s="1643"/>
      <c r="AI691" s="1643"/>
      <c r="AJ691" s="1643"/>
      <c r="AK691" s="1643"/>
      <c r="AL691" s="1643"/>
      <c r="AM691" s="1643"/>
    </row>
    <row r="692" spans="1:39" ht="15.75" customHeight="1" x14ac:dyDescent="0.3">
      <c r="A692" s="1643"/>
      <c r="B692" s="1643"/>
      <c r="C692" s="1643"/>
      <c r="D692" s="1643"/>
      <c r="E692" s="1643"/>
      <c r="F692" s="1643"/>
      <c r="G692" s="1643"/>
      <c r="H692" s="1643"/>
      <c r="I692" s="1643"/>
      <c r="J692" s="1643"/>
      <c r="K692" s="1643"/>
      <c r="L692" s="1643"/>
      <c r="M692" s="1643"/>
      <c r="N692" s="1643"/>
      <c r="O692" s="1643"/>
      <c r="P692" s="1643"/>
      <c r="Q692" s="1643"/>
      <c r="R692" s="1643"/>
      <c r="S692" s="1643"/>
      <c r="T692" s="1643"/>
      <c r="U692" s="1643"/>
      <c r="V692" s="1643"/>
      <c r="W692" s="1643"/>
      <c r="X692" s="1643"/>
      <c r="Y692" s="1643"/>
      <c r="Z692" s="1643"/>
      <c r="AA692" s="1643"/>
      <c r="AB692" s="1643"/>
      <c r="AC692" s="1643"/>
      <c r="AD692" s="1643"/>
      <c r="AE692" s="1643"/>
      <c r="AF692" s="1643"/>
      <c r="AG692" s="1643"/>
      <c r="AH692" s="1643"/>
      <c r="AI692" s="1643"/>
      <c r="AJ692" s="1643"/>
      <c r="AK692" s="1643"/>
      <c r="AL692" s="1643"/>
      <c r="AM692" s="1643"/>
    </row>
    <row r="693" spans="1:39" ht="15.75" customHeight="1" x14ac:dyDescent="0.3">
      <c r="A693" s="1643"/>
      <c r="B693" s="1643"/>
      <c r="C693" s="1643"/>
      <c r="D693" s="1643"/>
      <c r="E693" s="1643"/>
      <c r="F693" s="1643"/>
      <c r="G693" s="1643"/>
      <c r="H693" s="1643"/>
      <c r="I693" s="1643"/>
      <c r="J693" s="1643"/>
      <c r="K693" s="1643"/>
      <c r="L693" s="1643"/>
      <c r="M693" s="1643"/>
      <c r="N693" s="1643"/>
      <c r="O693" s="1643"/>
      <c r="P693" s="1643"/>
      <c r="Q693" s="1643"/>
      <c r="R693" s="1643"/>
      <c r="S693" s="1643"/>
      <c r="T693" s="1643"/>
      <c r="U693" s="1643"/>
      <c r="V693" s="1643"/>
      <c r="W693" s="1643"/>
      <c r="X693" s="1643"/>
      <c r="Y693" s="1643"/>
      <c r="Z693" s="1643"/>
      <c r="AA693" s="1643"/>
      <c r="AB693" s="1643"/>
      <c r="AC693" s="1643"/>
      <c r="AD693" s="1643"/>
      <c r="AE693" s="1643"/>
      <c r="AF693" s="1643"/>
      <c r="AG693" s="1643"/>
      <c r="AH693" s="1643"/>
      <c r="AI693" s="1643"/>
      <c r="AJ693" s="1643"/>
      <c r="AK693" s="1643"/>
      <c r="AL693" s="1643"/>
      <c r="AM693" s="1643"/>
    </row>
    <row r="694" spans="1:39" ht="15.75" customHeight="1" x14ac:dyDescent="0.3">
      <c r="A694" s="1643"/>
      <c r="B694" s="1643"/>
      <c r="C694" s="1643"/>
      <c r="D694" s="1643"/>
      <c r="E694" s="1643"/>
      <c r="F694" s="1643"/>
      <c r="G694" s="1643"/>
      <c r="H694" s="1643"/>
      <c r="I694" s="1643"/>
      <c r="J694" s="1643"/>
      <c r="K694" s="1643"/>
      <c r="L694" s="1643"/>
      <c r="M694" s="1643"/>
      <c r="N694" s="1643"/>
      <c r="O694" s="1643"/>
      <c r="P694" s="1643"/>
      <c r="Q694" s="1643"/>
      <c r="R694" s="1643"/>
      <c r="S694" s="1643"/>
      <c r="T694" s="1643"/>
      <c r="U694" s="1643"/>
      <c r="V694" s="1643"/>
      <c r="W694" s="1643"/>
      <c r="X694" s="1643"/>
      <c r="Y694" s="1643"/>
      <c r="Z694" s="1643"/>
      <c r="AA694" s="1643"/>
      <c r="AB694" s="1643"/>
      <c r="AC694" s="1643"/>
      <c r="AD694" s="1643"/>
      <c r="AE694" s="1643"/>
      <c r="AF694" s="1643"/>
      <c r="AG694" s="1643"/>
      <c r="AH694" s="1643"/>
      <c r="AI694" s="1643"/>
      <c r="AJ694" s="1643"/>
      <c r="AK694" s="1643"/>
      <c r="AL694" s="1643"/>
      <c r="AM694" s="1643"/>
    </row>
    <row r="695" spans="1:39" ht="15.75" customHeight="1" x14ac:dyDescent="0.3">
      <c r="A695" s="1643"/>
      <c r="B695" s="1643"/>
      <c r="C695" s="1643"/>
      <c r="D695" s="1643"/>
      <c r="E695" s="1643"/>
      <c r="F695" s="1643"/>
      <c r="G695" s="1643"/>
      <c r="H695" s="1643"/>
      <c r="I695" s="1643"/>
      <c r="J695" s="1643"/>
      <c r="K695" s="1643"/>
      <c r="L695" s="1643"/>
      <c r="M695" s="1643"/>
      <c r="N695" s="1643"/>
      <c r="O695" s="1643"/>
      <c r="P695" s="1643"/>
      <c r="Q695" s="1643"/>
      <c r="R695" s="1643"/>
      <c r="S695" s="1643"/>
      <c r="T695" s="1643"/>
      <c r="U695" s="1643"/>
      <c r="V695" s="1643"/>
      <c r="W695" s="1643"/>
      <c r="X695" s="1643"/>
      <c r="Y695" s="1643"/>
      <c r="Z695" s="1643"/>
      <c r="AA695" s="1643"/>
      <c r="AB695" s="1643"/>
      <c r="AC695" s="1643"/>
      <c r="AD695" s="1643"/>
      <c r="AE695" s="1643"/>
      <c r="AF695" s="1643"/>
      <c r="AG695" s="1643"/>
      <c r="AH695" s="1643"/>
      <c r="AI695" s="1643"/>
      <c r="AJ695" s="1643"/>
      <c r="AK695" s="1643"/>
      <c r="AL695" s="1643"/>
      <c r="AM695" s="1643"/>
    </row>
    <row r="696" spans="1:39" ht="15.75" customHeight="1" x14ac:dyDescent="0.3">
      <c r="A696" s="1643"/>
      <c r="B696" s="1643"/>
      <c r="C696" s="1643"/>
      <c r="D696" s="1643"/>
      <c r="E696" s="1643"/>
      <c r="F696" s="1643"/>
      <c r="G696" s="1643"/>
      <c r="H696" s="1643"/>
      <c r="I696" s="1643"/>
      <c r="J696" s="1643"/>
      <c r="K696" s="1643"/>
      <c r="L696" s="1643"/>
      <c r="M696" s="1643"/>
      <c r="N696" s="1643"/>
      <c r="O696" s="1643"/>
      <c r="P696" s="1643"/>
      <c r="Q696" s="1643"/>
      <c r="R696" s="1643"/>
      <c r="S696" s="1643"/>
      <c r="T696" s="1643"/>
      <c r="U696" s="1643"/>
      <c r="V696" s="1643"/>
      <c r="W696" s="1643"/>
      <c r="X696" s="1643"/>
      <c r="Y696" s="1643"/>
      <c r="Z696" s="1643"/>
      <c r="AA696" s="1643"/>
      <c r="AB696" s="1643"/>
      <c r="AC696" s="1643"/>
      <c r="AD696" s="1643"/>
      <c r="AE696" s="1643"/>
      <c r="AF696" s="1643"/>
      <c r="AG696" s="1643"/>
      <c r="AH696" s="1643"/>
      <c r="AI696" s="1643"/>
      <c r="AJ696" s="1643"/>
      <c r="AK696" s="1643"/>
      <c r="AL696" s="1643"/>
      <c r="AM696" s="1643"/>
    </row>
    <row r="697" spans="1:39" ht="15.75" customHeight="1" x14ac:dyDescent="0.3">
      <c r="A697" s="1643"/>
      <c r="B697" s="1643"/>
      <c r="C697" s="1643"/>
      <c r="D697" s="1643"/>
      <c r="E697" s="1643"/>
      <c r="F697" s="1643"/>
      <c r="G697" s="1643"/>
      <c r="H697" s="1643"/>
      <c r="I697" s="1643"/>
      <c r="J697" s="1643"/>
      <c r="K697" s="1643"/>
      <c r="L697" s="1643"/>
      <c r="M697" s="1643"/>
      <c r="N697" s="1643"/>
      <c r="O697" s="1643"/>
      <c r="P697" s="1643"/>
      <c r="Q697" s="1643"/>
      <c r="R697" s="1643"/>
      <c r="S697" s="1643"/>
      <c r="T697" s="1643"/>
      <c r="U697" s="1643"/>
      <c r="V697" s="1643"/>
      <c r="W697" s="1643"/>
      <c r="X697" s="1643"/>
      <c r="Y697" s="1643"/>
      <c r="Z697" s="1643"/>
      <c r="AA697" s="1643"/>
      <c r="AB697" s="1643"/>
      <c r="AC697" s="1643"/>
      <c r="AD697" s="1643"/>
      <c r="AE697" s="1643"/>
      <c r="AF697" s="1643"/>
      <c r="AG697" s="1643"/>
      <c r="AH697" s="1643"/>
      <c r="AI697" s="1643"/>
      <c r="AJ697" s="1643"/>
      <c r="AK697" s="1643"/>
      <c r="AL697" s="1643"/>
      <c r="AM697" s="1643"/>
    </row>
    <row r="698" spans="1:39" ht="15.75" customHeight="1" x14ac:dyDescent="0.3">
      <c r="A698" s="1643"/>
      <c r="B698" s="1643"/>
      <c r="C698" s="1643"/>
      <c r="D698" s="1643"/>
      <c r="E698" s="1643"/>
      <c r="F698" s="1643"/>
      <c r="G698" s="1643"/>
      <c r="H698" s="1643"/>
      <c r="I698" s="1643"/>
      <c r="J698" s="1643"/>
      <c r="K698" s="1643"/>
      <c r="L698" s="1643"/>
      <c r="M698" s="1643"/>
      <c r="N698" s="1643"/>
      <c r="O698" s="1643"/>
      <c r="P698" s="1643"/>
      <c r="Q698" s="1643"/>
      <c r="R698" s="1643"/>
      <c r="S698" s="1643"/>
      <c r="T698" s="1643"/>
      <c r="U698" s="1643"/>
      <c r="V698" s="1643"/>
      <c r="W698" s="1643"/>
      <c r="X698" s="1643"/>
      <c r="Y698" s="1643"/>
      <c r="Z698" s="1643"/>
      <c r="AA698" s="1643"/>
      <c r="AB698" s="1643"/>
      <c r="AC698" s="1643"/>
      <c r="AD698" s="1643"/>
      <c r="AE698" s="1643"/>
      <c r="AF698" s="1643"/>
      <c r="AG698" s="1643"/>
      <c r="AH698" s="1643"/>
      <c r="AI698" s="1643"/>
      <c r="AJ698" s="1643"/>
      <c r="AK698" s="1643"/>
      <c r="AL698" s="1643"/>
      <c r="AM698" s="1643"/>
    </row>
    <row r="699" spans="1:39" ht="15.75" customHeight="1" x14ac:dyDescent="0.3">
      <c r="A699" s="1643"/>
      <c r="B699" s="1643"/>
      <c r="C699" s="1643"/>
      <c r="D699" s="1643"/>
      <c r="E699" s="1643"/>
      <c r="F699" s="1643"/>
      <c r="G699" s="1643"/>
      <c r="H699" s="1643"/>
      <c r="I699" s="1643"/>
      <c r="J699" s="1643"/>
      <c r="K699" s="1643"/>
      <c r="L699" s="1643"/>
      <c r="M699" s="1643"/>
      <c r="N699" s="1643"/>
      <c r="O699" s="1643"/>
      <c r="P699" s="1643"/>
      <c r="Q699" s="1643"/>
      <c r="R699" s="1643"/>
      <c r="S699" s="1643"/>
      <c r="T699" s="1643"/>
      <c r="U699" s="1643"/>
      <c r="V699" s="1643"/>
      <c r="W699" s="1643"/>
      <c r="X699" s="1643"/>
      <c r="Y699" s="1643"/>
      <c r="Z699" s="1643"/>
      <c r="AA699" s="1643"/>
      <c r="AB699" s="1643"/>
      <c r="AC699" s="1643"/>
      <c r="AD699" s="1643"/>
      <c r="AE699" s="1643"/>
      <c r="AF699" s="1643"/>
      <c r="AG699" s="1643"/>
      <c r="AH699" s="1643"/>
      <c r="AI699" s="1643"/>
      <c r="AJ699" s="1643"/>
      <c r="AK699" s="1643"/>
      <c r="AL699" s="1643"/>
      <c r="AM699" s="1643"/>
    </row>
    <row r="700" spans="1:39" ht="15.75" customHeight="1" x14ac:dyDescent="0.3">
      <c r="A700" s="1643"/>
      <c r="B700" s="1643"/>
      <c r="C700" s="1643"/>
      <c r="D700" s="1643"/>
      <c r="E700" s="1643"/>
      <c r="F700" s="1643"/>
      <c r="G700" s="1643"/>
      <c r="H700" s="1643"/>
      <c r="I700" s="1643"/>
      <c r="J700" s="1643"/>
      <c r="K700" s="1643"/>
      <c r="L700" s="1643"/>
      <c r="M700" s="1643"/>
      <c r="N700" s="1643"/>
      <c r="O700" s="1643"/>
      <c r="P700" s="1643"/>
      <c r="Q700" s="1643"/>
      <c r="R700" s="1643"/>
      <c r="S700" s="1643"/>
      <c r="T700" s="1643"/>
      <c r="U700" s="1643"/>
      <c r="V700" s="1643"/>
      <c r="W700" s="1643"/>
      <c r="X700" s="1643"/>
      <c r="Y700" s="1643"/>
      <c r="Z700" s="1643"/>
      <c r="AA700" s="1643"/>
      <c r="AB700" s="1643"/>
      <c r="AC700" s="1643"/>
      <c r="AD700" s="1643"/>
      <c r="AE700" s="1643"/>
      <c r="AF700" s="1643"/>
      <c r="AG700" s="1643"/>
      <c r="AH700" s="1643"/>
      <c r="AI700" s="1643"/>
      <c r="AJ700" s="1643"/>
      <c r="AK700" s="1643"/>
      <c r="AL700" s="1643"/>
      <c r="AM700" s="1643"/>
    </row>
    <row r="701" spans="1:39" ht="15.75" customHeight="1" x14ac:dyDescent="0.3">
      <c r="A701" s="1643"/>
      <c r="B701" s="1643"/>
      <c r="C701" s="1643"/>
      <c r="D701" s="1643"/>
      <c r="E701" s="1643"/>
      <c r="F701" s="1643"/>
      <c r="G701" s="1643"/>
      <c r="H701" s="1643"/>
      <c r="I701" s="1643"/>
      <c r="J701" s="1643"/>
      <c r="K701" s="1643"/>
      <c r="L701" s="1643"/>
      <c r="M701" s="1643"/>
      <c r="N701" s="1643"/>
      <c r="O701" s="1643"/>
      <c r="P701" s="1643"/>
      <c r="Q701" s="1643"/>
      <c r="R701" s="1643"/>
      <c r="S701" s="1643"/>
      <c r="T701" s="1643"/>
      <c r="U701" s="1643"/>
      <c r="V701" s="1643"/>
      <c r="W701" s="1643"/>
      <c r="X701" s="1643"/>
      <c r="Y701" s="1643"/>
      <c r="Z701" s="1643"/>
      <c r="AA701" s="1643"/>
      <c r="AB701" s="1643"/>
      <c r="AC701" s="1643"/>
      <c r="AD701" s="1643"/>
      <c r="AE701" s="1643"/>
      <c r="AF701" s="1643"/>
      <c r="AG701" s="1643"/>
      <c r="AH701" s="1643"/>
      <c r="AI701" s="1643"/>
      <c r="AJ701" s="1643"/>
      <c r="AK701" s="1643"/>
      <c r="AL701" s="1643"/>
      <c r="AM701" s="1643"/>
    </row>
    <row r="702" spans="1:39" ht="15.75" customHeight="1" x14ac:dyDescent="0.3">
      <c r="A702" s="1643"/>
      <c r="B702" s="1643"/>
      <c r="C702" s="1643"/>
      <c r="D702" s="1643"/>
      <c r="E702" s="1643"/>
      <c r="F702" s="1643"/>
      <c r="G702" s="1643"/>
      <c r="H702" s="1643"/>
      <c r="I702" s="1643"/>
      <c r="J702" s="1643"/>
      <c r="K702" s="1643"/>
      <c r="L702" s="1643"/>
      <c r="M702" s="1643"/>
      <c r="N702" s="1643"/>
      <c r="O702" s="1643"/>
      <c r="P702" s="1643"/>
      <c r="Q702" s="1643"/>
      <c r="R702" s="1643"/>
      <c r="S702" s="1643"/>
      <c r="T702" s="1643"/>
      <c r="U702" s="1643"/>
      <c r="V702" s="1643"/>
      <c r="W702" s="1643"/>
      <c r="X702" s="1643"/>
      <c r="Y702" s="1643"/>
      <c r="Z702" s="1643"/>
      <c r="AA702" s="1643"/>
      <c r="AB702" s="1643"/>
      <c r="AC702" s="1643"/>
      <c r="AD702" s="1643"/>
      <c r="AE702" s="1643"/>
      <c r="AF702" s="1643"/>
      <c r="AG702" s="1643"/>
      <c r="AH702" s="1643"/>
      <c r="AI702" s="1643"/>
      <c r="AJ702" s="1643"/>
      <c r="AK702" s="1643"/>
      <c r="AL702" s="1643"/>
      <c r="AM702" s="1643"/>
    </row>
    <row r="703" spans="1:39" ht="15.75" customHeight="1" x14ac:dyDescent="0.3">
      <c r="A703" s="1643"/>
      <c r="B703" s="1643"/>
      <c r="C703" s="1643"/>
      <c r="D703" s="1643"/>
      <c r="E703" s="1643"/>
      <c r="F703" s="1643"/>
      <c r="G703" s="1643"/>
      <c r="H703" s="1643"/>
      <c r="I703" s="1643"/>
      <c r="J703" s="1643"/>
      <c r="K703" s="1643"/>
      <c r="L703" s="1643"/>
      <c r="M703" s="1643"/>
      <c r="N703" s="1643"/>
      <c r="O703" s="1643"/>
      <c r="P703" s="1643"/>
      <c r="Q703" s="1643"/>
      <c r="R703" s="1643"/>
      <c r="S703" s="1643"/>
      <c r="T703" s="1643"/>
      <c r="U703" s="1643"/>
      <c r="V703" s="1643"/>
      <c r="W703" s="1643"/>
      <c r="X703" s="1643"/>
      <c r="Y703" s="1643"/>
      <c r="Z703" s="1643"/>
      <c r="AA703" s="1643"/>
      <c r="AB703" s="1643"/>
      <c r="AC703" s="1643"/>
      <c r="AD703" s="1643"/>
      <c r="AE703" s="1643"/>
      <c r="AF703" s="1643"/>
      <c r="AG703" s="1643"/>
      <c r="AH703" s="1643"/>
      <c r="AI703" s="1643"/>
      <c r="AJ703" s="1643"/>
      <c r="AK703" s="1643"/>
      <c r="AL703" s="1643"/>
      <c r="AM703" s="1643"/>
    </row>
    <row r="704" spans="1:39" ht="15.75" customHeight="1" x14ac:dyDescent="0.3">
      <c r="A704" s="1643"/>
      <c r="B704" s="1643"/>
      <c r="C704" s="1643"/>
      <c r="D704" s="1643"/>
      <c r="E704" s="1643"/>
      <c r="F704" s="1643"/>
      <c r="G704" s="1643"/>
      <c r="H704" s="1643"/>
      <c r="I704" s="1643"/>
      <c r="J704" s="1643"/>
      <c r="K704" s="1643"/>
      <c r="L704" s="1643"/>
      <c r="M704" s="1643"/>
      <c r="N704" s="1643"/>
      <c r="O704" s="1643"/>
      <c r="P704" s="1643"/>
      <c r="Q704" s="1643"/>
      <c r="R704" s="1643"/>
      <c r="S704" s="1643"/>
      <c r="T704" s="1643"/>
      <c r="U704" s="1643"/>
      <c r="V704" s="1643"/>
      <c r="W704" s="1643"/>
      <c r="X704" s="1643"/>
      <c r="Y704" s="1643"/>
      <c r="Z704" s="1643"/>
      <c r="AA704" s="1643"/>
      <c r="AB704" s="1643"/>
      <c r="AC704" s="1643"/>
      <c r="AD704" s="1643"/>
      <c r="AE704" s="1643"/>
      <c r="AF704" s="1643"/>
      <c r="AG704" s="1643"/>
      <c r="AH704" s="1643"/>
      <c r="AI704" s="1643"/>
      <c r="AJ704" s="1643"/>
      <c r="AK704" s="1643"/>
      <c r="AL704" s="1643"/>
      <c r="AM704" s="1643"/>
    </row>
    <row r="705" spans="1:39" ht="15.75" customHeight="1" x14ac:dyDescent="0.3">
      <c r="A705" s="1643"/>
      <c r="B705" s="1643"/>
      <c r="C705" s="1643"/>
      <c r="D705" s="1643"/>
      <c r="E705" s="1643"/>
      <c r="F705" s="1643"/>
      <c r="G705" s="1643"/>
      <c r="H705" s="1643"/>
      <c r="I705" s="1643"/>
      <c r="J705" s="1643"/>
      <c r="K705" s="1643"/>
      <c r="L705" s="1643"/>
      <c r="M705" s="1643"/>
      <c r="N705" s="1643"/>
      <c r="O705" s="1643"/>
      <c r="P705" s="1643"/>
      <c r="Q705" s="1643"/>
      <c r="R705" s="1643"/>
      <c r="S705" s="1643"/>
      <c r="T705" s="1643"/>
      <c r="U705" s="1643"/>
      <c r="V705" s="1643"/>
      <c r="W705" s="1643"/>
      <c r="X705" s="1643"/>
      <c r="Y705" s="1643"/>
      <c r="Z705" s="1643"/>
      <c r="AA705" s="1643"/>
      <c r="AB705" s="1643"/>
      <c r="AC705" s="1643"/>
      <c r="AD705" s="1643"/>
      <c r="AE705" s="1643"/>
      <c r="AF705" s="1643"/>
      <c r="AG705" s="1643"/>
      <c r="AH705" s="1643"/>
      <c r="AI705" s="1643"/>
      <c r="AJ705" s="1643"/>
      <c r="AK705" s="1643"/>
      <c r="AL705" s="1643"/>
      <c r="AM705" s="1643"/>
    </row>
    <row r="706" spans="1:39" ht="15.75" customHeight="1" x14ac:dyDescent="0.3">
      <c r="A706" s="1643"/>
      <c r="B706" s="1643"/>
      <c r="C706" s="1643"/>
      <c r="D706" s="1643"/>
      <c r="E706" s="1643"/>
      <c r="F706" s="1643"/>
      <c r="G706" s="1643"/>
      <c r="H706" s="1643"/>
      <c r="I706" s="1643"/>
      <c r="J706" s="1643"/>
      <c r="K706" s="1643"/>
      <c r="L706" s="1643"/>
      <c r="M706" s="1643"/>
      <c r="N706" s="1643"/>
      <c r="O706" s="1643"/>
      <c r="P706" s="1643"/>
      <c r="Q706" s="1643"/>
      <c r="R706" s="1643"/>
      <c r="S706" s="1643"/>
      <c r="T706" s="1643"/>
      <c r="U706" s="1643"/>
      <c r="V706" s="1643"/>
      <c r="W706" s="1643"/>
      <c r="X706" s="1643"/>
      <c r="Y706" s="1643"/>
      <c r="Z706" s="1643"/>
      <c r="AA706" s="1643"/>
      <c r="AB706" s="1643"/>
      <c r="AC706" s="1643"/>
      <c r="AD706" s="1643"/>
      <c r="AE706" s="1643"/>
      <c r="AF706" s="1643"/>
      <c r="AG706" s="1643"/>
      <c r="AH706" s="1643"/>
      <c r="AI706" s="1643"/>
      <c r="AJ706" s="1643"/>
      <c r="AK706" s="1643"/>
      <c r="AL706" s="1643"/>
      <c r="AM706" s="1643"/>
    </row>
    <row r="707" spans="1:39" ht="15.75" customHeight="1" x14ac:dyDescent="0.3">
      <c r="A707" s="1643"/>
      <c r="B707" s="1643"/>
      <c r="C707" s="1643"/>
      <c r="D707" s="1643"/>
      <c r="E707" s="1643"/>
      <c r="F707" s="1643"/>
      <c r="G707" s="1643"/>
      <c r="H707" s="1643"/>
      <c r="I707" s="1643"/>
      <c r="J707" s="1643"/>
      <c r="K707" s="1643"/>
      <c r="L707" s="1643"/>
      <c r="M707" s="1643"/>
      <c r="N707" s="1643"/>
      <c r="O707" s="1643"/>
      <c r="P707" s="1643"/>
      <c r="Q707" s="1643"/>
      <c r="R707" s="1643"/>
      <c r="S707" s="1643"/>
      <c r="T707" s="1643"/>
      <c r="U707" s="1643"/>
      <c r="V707" s="1643"/>
      <c r="W707" s="1643"/>
      <c r="X707" s="1643"/>
      <c r="Y707" s="1643"/>
      <c r="Z707" s="1643"/>
      <c r="AA707" s="1643"/>
      <c r="AB707" s="1643"/>
      <c r="AC707" s="1643"/>
      <c r="AD707" s="1643"/>
      <c r="AE707" s="1643"/>
      <c r="AF707" s="1643"/>
      <c r="AG707" s="1643"/>
      <c r="AH707" s="1643"/>
      <c r="AI707" s="1643"/>
      <c r="AJ707" s="1643"/>
      <c r="AK707" s="1643"/>
      <c r="AL707" s="1643"/>
      <c r="AM707" s="1643"/>
    </row>
    <row r="708" spans="1:39" ht="15.75" customHeight="1" x14ac:dyDescent="0.3">
      <c r="A708" s="1643"/>
      <c r="B708" s="1643"/>
      <c r="C708" s="1643"/>
      <c r="D708" s="1643"/>
      <c r="E708" s="1643"/>
      <c r="F708" s="1643"/>
      <c r="G708" s="1643"/>
      <c r="H708" s="1643"/>
      <c r="I708" s="1643"/>
      <c r="J708" s="1643"/>
      <c r="K708" s="1643"/>
      <c r="L708" s="1643"/>
      <c r="M708" s="1643"/>
      <c r="N708" s="1643"/>
      <c r="O708" s="1643"/>
      <c r="P708" s="1643"/>
      <c r="Q708" s="1643"/>
      <c r="R708" s="1643"/>
      <c r="S708" s="1643"/>
      <c r="T708" s="1643"/>
      <c r="U708" s="1643"/>
      <c r="V708" s="1643"/>
      <c r="W708" s="1643"/>
      <c r="X708" s="1643"/>
      <c r="Y708" s="1643"/>
      <c r="Z708" s="1643"/>
      <c r="AA708" s="1643"/>
      <c r="AB708" s="1643"/>
      <c r="AC708" s="1643"/>
      <c r="AD708" s="1643"/>
      <c r="AE708" s="1643"/>
      <c r="AF708" s="1643"/>
      <c r="AG708" s="1643"/>
      <c r="AH708" s="1643"/>
      <c r="AI708" s="1643"/>
      <c r="AJ708" s="1643"/>
      <c r="AK708" s="1643"/>
      <c r="AL708" s="1643"/>
      <c r="AM708" s="1643"/>
    </row>
    <row r="709" spans="1:39" ht="15.75" customHeight="1" x14ac:dyDescent="0.3">
      <c r="A709" s="1643"/>
      <c r="B709" s="1643"/>
      <c r="C709" s="1643"/>
      <c r="D709" s="1643"/>
      <c r="E709" s="1643"/>
      <c r="F709" s="1643"/>
      <c r="G709" s="1643"/>
      <c r="H709" s="1643"/>
      <c r="I709" s="1643"/>
      <c r="J709" s="1643"/>
      <c r="K709" s="1643"/>
      <c r="L709" s="1643"/>
      <c r="M709" s="1643"/>
      <c r="N709" s="1643"/>
      <c r="O709" s="1643"/>
      <c r="P709" s="1643"/>
      <c r="Q709" s="1643"/>
      <c r="R709" s="1643"/>
      <c r="S709" s="1643"/>
      <c r="T709" s="1643"/>
      <c r="U709" s="1643"/>
      <c r="V709" s="1643"/>
      <c r="W709" s="1643"/>
      <c r="X709" s="1643"/>
      <c r="Y709" s="1643"/>
      <c r="Z709" s="1643"/>
      <c r="AA709" s="1643"/>
      <c r="AB709" s="1643"/>
      <c r="AC709" s="1643"/>
      <c r="AD709" s="1643"/>
      <c r="AE709" s="1643"/>
      <c r="AF709" s="1643"/>
      <c r="AG709" s="1643"/>
      <c r="AH709" s="1643"/>
      <c r="AI709" s="1643"/>
      <c r="AJ709" s="1643"/>
      <c r="AK709" s="1643"/>
      <c r="AL709" s="1643"/>
      <c r="AM709" s="1643"/>
    </row>
    <row r="710" spans="1:39" ht="15.75" customHeight="1" x14ac:dyDescent="0.3">
      <c r="A710" s="1643"/>
      <c r="B710" s="1643"/>
      <c r="C710" s="1643"/>
      <c r="D710" s="1643"/>
      <c r="E710" s="1643"/>
      <c r="F710" s="1643"/>
      <c r="G710" s="1643"/>
      <c r="H710" s="1643"/>
      <c r="I710" s="1643"/>
      <c r="J710" s="1643"/>
      <c r="K710" s="1643"/>
      <c r="L710" s="1643"/>
      <c r="M710" s="1643"/>
      <c r="N710" s="1643"/>
      <c r="O710" s="1643"/>
      <c r="P710" s="1643"/>
      <c r="Q710" s="1643"/>
      <c r="R710" s="1643"/>
      <c r="S710" s="1643"/>
      <c r="T710" s="1643"/>
      <c r="U710" s="1643"/>
      <c r="V710" s="1643"/>
      <c r="W710" s="1643"/>
      <c r="X710" s="1643"/>
      <c r="Y710" s="1643"/>
      <c r="Z710" s="1643"/>
      <c r="AA710" s="1643"/>
      <c r="AB710" s="1643"/>
      <c r="AC710" s="1643"/>
      <c r="AD710" s="1643"/>
      <c r="AE710" s="1643"/>
      <c r="AF710" s="1643"/>
      <c r="AG710" s="1643"/>
      <c r="AH710" s="1643"/>
      <c r="AI710" s="1643"/>
      <c r="AJ710" s="1643"/>
      <c r="AK710" s="1643"/>
      <c r="AL710" s="1643"/>
      <c r="AM710" s="1643"/>
    </row>
    <row r="711" spans="1:39" ht="15.75" customHeight="1" x14ac:dyDescent="0.3">
      <c r="A711" s="1643"/>
      <c r="B711" s="1643"/>
      <c r="C711" s="1643"/>
      <c r="D711" s="1643"/>
      <c r="E711" s="1643"/>
      <c r="F711" s="1643"/>
      <c r="G711" s="1643"/>
      <c r="H711" s="1643"/>
      <c r="I711" s="1643"/>
      <c r="J711" s="1643"/>
      <c r="K711" s="1643"/>
      <c r="L711" s="1643"/>
      <c r="M711" s="1643"/>
      <c r="N711" s="1643"/>
      <c r="O711" s="1643"/>
      <c r="P711" s="1643"/>
      <c r="Q711" s="1643"/>
      <c r="R711" s="1643"/>
      <c r="S711" s="1643"/>
      <c r="T711" s="1643"/>
      <c r="U711" s="1643"/>
      <c r="V711" s="1643"/>
      <c r="W711" s="1643"/>
      <c r="X711" s="1643"/>
      <c r="Y711" s="1643"/>
      <c r="Z711" s="1643"/>
      <c r="AA711" s="1643"/>
      <c r="AB711" s="1643"/>
      <c r="AC711" s="1643"/>
      <c r="AD711" s="1643"/>
      <c r="AE711" s="1643"/>
      <c r="AF711" s="1643"/>
      <c r="AG711" s="1643"/>
      <c r="AH711" s="1643"/>
      <c r="AI711" s="1643"/>
      <c r="AJ711" s="1643"/>
      <c r="AK711" s="1643"/>
      <c r="AL711" s="1643"/>
      <c r="AM711" s="1643"/>
    </row>
    <row r="712" spans="1:39" ht="15.75" customHeight="1" x14ac:dyDescent="0.3">
      <c r="A712" s="1643"/>
      <c r="B712" s="1643"/>
      <c r="C712" s="1643"/>
      <c r="D712" s="1643"/>
      <c r="E712" s="1643"/>
      <c r="F712" s="1643"/>
      <c r="G712" s="1643"/>
      <c r="H712" s="1643"/>
      <c r="I712" s="1643"/>
      <c r="J712" s="1643"/>
      <c r="K712" s="1643"/>
      <c r="L712" s="1643"/>
      <c r="M712" s="1643"/>
      <c r="N712" s="1643"/>
      <c r="O712" s="1643"/>
      <c r="P712" s="1643"/>
      <c r="Q712" s="1643"/>
      <c r="R712" s="1643"/>
      <c r="S712" s="1643"/>
      <c r="T712" s="1643"/>
      <c r="U712" s="1643"/>
      <c r="V712" s="1643"/>
      <c r="W712" s="1643"/>
      <c r="X712" s="1643"/>
      <c r="Y712" s="1643"/>
      <c r="Z712" s="1643"/>
      <c r="AA712" s="1643"/>
      <c r="AB712" s="1643"/>
      <c r="AC712" s="1643"/>
      <c r="AD712" s="1643"/>
      <c r="AE712" s="1643"/>
      <c r="AF712" s="1643"/>
      <c r="AG712" s="1643"/>
      <c r="AH712" s="1643"/>
      <c r="AI712" s="1643"/>
      <c r="AJ712" s="1643"/>
      <c r="AK712" s="1643"/>
      <c r="AL712" s="1643"/>
      <c r="AM712" s="1643"/>
    </row>
    <row r="713" spans="1:39" ht="15.75" customHeight="1" x14ac:dyDescent="0.3">
      <c r="A713" s="1643"/>
      <c r="B713" s="1643"/>
      <c r="C713" s="1643"/>
      <c r="D713" s="1643"/>
      <c r="E713" s="1643"/>
      <c r="F713" s="1643"/>
      <c r="G713" s="1643"/>
      <c r="H713" s="1643"/>
      <c r="I713" s="1643"/>
      <c r="J713" s="1643"/>
      <c r="K713" s="1643"/>
      <c r="L713" s="1643"/>
      <c r="M713" s="1643"/>
      <c r="N713" s="1643"/>
      <c r="O713" s="1643"/>
      <c r="P713" s="1643"/>
      <c r="Q713" s="1643"/>
      <c r="R713" s="1643"/>
      <c r="S713" s="1643"/>
      <c r="T713" s="1643"/>
      <c r="U713" s="1643"/>
      <c r="V713" s="1643"/>
      <c r="W713" s="1643"/>
      <c r="X713" s="1643"/>
      <c r="Y713" s="1643"/>
      <c r="Z713" s="1643"/>
      <c r="AA713" s="1643"/>
      <c r="AB713" s="1643"/>
      <c r="AC713" s="1643"/>
      <c r="AD713" s="1643"/>
      <c r="AE713" s="1643"/>
      <c r="AF713" s="1643"/>
      <c r="AG713" s="1643"/>
      <c r="AH713" s="1643"/>
      <c r="AI713" s="1643"/>
      <c r="AJ713" s="1643"/>
      <c r="AK713" s="1643"/>
      <c r="AL713" s="1643"/>
      <c r="AM713" s="1643"/>
    </row>
    <row r="714" spans="1:39" ht="15.75" customHeight="1" x14ac:dyDescent="0.3">
      <c r="A714" s="1643"/>
      <c r="B714" s="1643"/>
      <c r="C714" s="1643"/>
      <c r="D714" s="1643"/>
      <c r="E714" s="1643"/>
      <c r="F714" s="1643"/>
      <c r="G714" s="1643"/>
      <c r="H714" s="1643"/>
      <c r="I714" s="1643"/>
      <c r="J714" s="1643"/>
      <c r="K714" s="1643"/>
      <c r="L714" s="1643"/>
      <c r="M714" s="1643"/>
      <c r="N714" s="1643"/>
      <c r="O714" s="1643"/>
      <c r="P714" s="1643"/>
      <c r="Q714" s="1643"/>
      <c r="R714" s="1643"/>
      <c r="S714" s="1643"/>
      <c r="T714" s="1643"/>
      <c r="U714" s="1643"/>
      <c r="V714" s="1643"/>
      <c r="W714" s="1643"/>
      <c r="X714" s="1643"/>
      <c r="Y714" s="1643"/>
      <c r="Z714" s="1643"/>
      <c r="AA714" s="1643"/>
      <c r="AB714" s="1643"/>
      <c r="AC714" s="1643"/>
      <c r="AD714" s="1643"/>
      <c r="AE714" s="1643"/>
      <c r="AF714" s="1643"/>
      <c r="AG714" s="1643"/>
      <c r="AH714" s="1643"/>
      <c r="AI714" s="1643"/>
      <c r="AJ714" s="1643"/>
      <c r="AK714" s="1643"/>
      <c r="AL714" s="1643"/>
      <c r="AM714" s="1643"/>
    </row>
    <row r="715" spans="1:39" ht="15.75" customHeight="1" x14ac:dyDescent="0.3">
      <c r="A715" s="1643"/>
      <c r="B715" s="1643"/>
      <c r="C715" s="1643"/>
      <c r="D715" s="1643"/>
      <c r="E715" s="1643"/>
      <c r="F715" s="1643"/>
      <c r="G715" s="1643"/>
      <c r="H715" s="1643"/>
      <c r="I715" s="1643"/>
      <c r="J715" s="1643"/>
      <c r="K715" s="1643"/>
      <c r="L715" s="1643"/>
      <c r="M715" s="1643"/>
      <c r="N715" s="1643"/>
      <c r="O715" s="1643"/>
      <c r="P715" s="1643"/>
      <c r="Q715" s="1643"/>
      <c r="R715" s="1643"/>
      <c r="S715" s="1643"/>
      <c r="T715" s="1643"/>
      <c r="U715" s="1643"/>
      <c r="V715" s="1643"/>
      <c r="W715" s="1643"/>
      <c r="X715" s="1643"/>
      <c r="Y715" s="1643"/>
      <c r="Z715" s="1643"/>
      <c r="AA715" s="1643"/>
      <c r="AB715" s="1643"/>
      <c r="AC715" s="1643"/>
      <c r="AD715" s="1643"/>
      <c r="AE715" s="1643"/>
      <c r="AF715" s="1643"/>
      <c r="AG715" s="1643"/>
      <c r="AH715" s="1643"/>
      <c r="AI715" s="1643"/>
      <c r="AJ715" s="1643"/>
      <c r="AK715" s="1643"/>
      <c r="AL715" s="1643"/>
      <c r="AM715" s="1643"/>
    </row>
    <row r="716" spans="1:39" ht="15.75" customHeight="1" x14ac:dyDescent="0.3">
      <c r="A716" s="1643"/>
      <c r="B716" s="1643"/>
      <c r="C716" s="1643"/>
      <c r="D716" s="1643"/>
      <c r="E716" s="1643"/>
      <c r="F716" s="1643"/>
      <c r="G716" s="1643"/>
      <c r="H716" s="1643"/>
      <c r="I716" s="1643"/>
      <c r="J716" s="1643"/>
      <c r="K716" s="1643"/>
      <c r="L716" s="1643"/>
      <c r="M716" s="1643"/>
      <c r="N716" s="1643"/>
      <c r="O716" s="1643"/>
      <c r="P716" s="1643"/>
      <c r="Q716" s="1643"/>
      <c r="R716" s="1643"/>
      <c r="S716" s="1643"/>
      <c r="T716" s="1643"/>
      <c r="U716" s="1643"/>
      <c r="V716" s="1643"/>
      <c r="W716" s="1643"/>
      <c r="X716" s="1643"/>
      <c r="Y716" s="1643"/>
      <c r="Z716" s="1643"/>
      <c r="AA716" s="1643"/>
      <c r="AB716" s="1643"/>
      <c r="AC716" s="1643"/>
      <c r="AD716" s="1643"/>
      <c r="AE716" s="1643"/>
      <c r="AF716" s="1643"/>
      <c r="AG716" s="1643"/>
      <c r="AH716" s="1643"/>
      <c r="AI716" s="1643"/>
      <c r="AJ716" s="1643"/>
      <c r="AK716" s="1643"/>
      <c r="AL716" s="1643"/>
      <c r="AM716" s="1643"/>
    </row>
    <row r="717" spans="1:39" ht="15.75" customHeight="1" x14ac:dyDescent="0.3">
      <c r="A717" s="1643"/>
      <c r="B717" s="1643"/>
      <c r="C717" s="1643"/>
      <c r="D717" s="1643"/>
      <c r="E717" s="1643"/>
      <c r="F717" s="1643"/>
      <c r="G717" s="1643"/>
      <c r="H717" s="1643"/>
      <c r="I717" s="1643"/>
      <c r="J717" s="1643"/>
      <c r="K717" s="1643"/>
      <c r="L717" s="1643"/>
      <c r="M717" s="1643"/>
      <c r="N717" s="1643"/>
      <c r="O717" s="1643"/>
      <c r="P717" s="1643"/>
      <c r="Q717" s="1643"/>
      <c r="R717" s="1643"/>
      <c r="S717" s="1643"/>
      <c r="T717" s="1643"/>
      <c r="U717" s="1643"/>
      <c r="V717" s="1643"/>
      <c r="W717" s="1643"/>
      <c r="X717" s="1643"/>
      <c r="Y717" s="1643"/>
      <c r="Z717" s="1643"/>
      <c r="AA717" s="1643"/>
      <c r="AB717" s="1643"/>
      <c r="AC717" s="1643"/>
      <c r="AD717" s="1643"/>
      <c r="AE717" s="1643"/>
      <c r="AF717" s="1643"/>
      <c r="AG717" s="1643"/>
      <c r="AH717" s="1643"/>
      <c r="AI717" s="1643"/>
      <c r="AJ717" s="1643"/>
      <c r="AK717" s="1643"/>
      <c r="AL717" s="1643"/>
      <c r="AM717" s="1643"/>
    </row>
    <row r="718" spans="1:39" ht="15.75" customHeight="1" x14ac:dyDescent="0.3">
      <c r="A718" s="1643"/>
      <c r="B718" s="1643"/>
      <c r="C718" s="1643"/>
      <c r="D718" s="1643"/>
      <c r="E718" s="1643"/>
      <c r="F718" s="1643"/>
      <c r="G718" s="1643"/>
      <c r="H718" s="1643"/>
      <c r="I718" s="1643"/>
      <c r="J718" s="1643"/>
      <c r="K718" s="1643"/>
      <c r="L718" s="1643"/>
      <c r="M718" s="1643"/>
      <c r="N718" s="1643"/>
      <c r="O718" s="1643"/>
      <c r="P718" s="1643"/>
      <c r="Q718" s="1643"/>
      <c r="R718" s="1643"/>
      <c r="S718" s="1643"/>
      <c r="T718" s="1643"/>
      <c r="U718" s="1643"/>
      <c r="V718" s="1643"/>
      <c r="W718" s="1643"/>
      <c r="X718" s="1643"/>
      <c r="Y718" s="1643"/>
      <c r="Z718" s="1643"/>
      <c r="AA718" s="1643"/>
      <c r="AB718" s="1643"/>
      <c r="AC718" s="1643"/>
      <c r="AD718" s="1643"/>
      <c r="AE718" s="1643"/>
      <c r="AF718" s="1643"/>
      <c r="AG718" s="1643"/>
      <c r="AH718" s="1643"/>
      <c r="AI718" s="1643"/>
      <c r="AJ718" s="1643"/>
      <c r="AK718" s="1643"/>
      <c r="AL718" s="1643"/>
      <c r="AM718" s="1643"/>
    </row>
    <row r="719" spans="1:39" ht="15.75" customHeight="1" x14ac:dyDescent="0.3">
      <c r="A719" s="1643"/>
      <c r="B719" s="1643"/>
      <c r="C719" s="1643"/>
      <c r="D719" s="1643"/>
      <c r="E719" s="1643"/>
      <c r="F719" s="1643"/>
      <c r="G719" s="1643"/>
      <c r="H719" s="1643"/>
      <c r="I719" s="1643"/>
      <c r="J719" s="1643"/>
      <c r="K719" s="1643"/>
      <c r="L719" s="1643"/>
      <c r="M719" s="1643"/>
      <c r="N719" s="1643"/>
      <c r="O719" s="1643"/>
      <c r="P719" s="1643"/>
      <c r="Q719" s="1643"/>
      <c r="R719" s="1643"/>
      <c r="S719" s="1643"/>
      <c r="T719" s="1643"/>
      <c r="U719" s="1643"/>
      <c r="V719" s="1643"/>
      <c r="W719" s="1643"/>
      <c r="X719" s="1643"/>
      <c r="Y719" s="1643"/>
      <c r="Z719" s="1643"/>
      <c r="AA719" s="1643"/>
      <c r="AB719" s="1643"/>
      <c r="AC719" s="1643"/>
      <c r="AD719" s="1643"/>
      <c r="AE719" s="1643"/>
      <c r="AF719" s="1643"/>
      <c r="AG719" s="1643"/>
      <c r="AH719" s="1643"/>
      <c r="AI719" s="1643"/>
      <c r="AJ719" s="1643"/>
      <c r="AK719" s="1643"/>
      <c r="AL719" s="1643"/>
      <c r="AM719" s="1643"/>
    </row>
    <row r="720" spans="1:39" ht="15.75" customHeight="1" x14ac:dyDescent="0.3">
      <c r="A720" s="1643"/>
      <c r="B720" s="1643"/>
      <c r="C720" s="1643"/>
      <c r="D720" s="1643"/>
      <c r="E720" s="1643"/>
      <c r="F720" s="1643"/>
      <c r="G720" s="1643"/>
      <c r="H720" s="1643"/>
      <c r="I720" s="1643"/>
      <c r="J720" s="1643"/>
      <c r="K720" s="1643"/>
      <c r="L720" s="1643"/>
      <c r="M720" s="1643"/>
      <c r="N720" s="1643"/>
      <c r="O720" s="1643"/>
      <c r="P720" s="1643"/>
      <c r="Q720" s="1643"/>
      <c r="R720" s="1643"/>
      <c r="S720" s="1643"/>
      <c r="T720" s="1643"/>
      <c r="U720" s="1643"/>
      <c r="V720" s="1643"/>
      <c r="W720" s="1643"/>
      <c r="X720" s="1643"/>
      <c r="Y720" s="1643"/>
      <c r="Z720" s="1643"/>
      <c r="AA720" s="1643"/>
      <c r="AB720" s="1643"/>
      <c r="AC720" s="1643"/>
      <c r="AD720" s="1643"/>
      <c r="AE720" s="1643"/>
      <c r="AF720" s="1643"/>
      <c r="AG720" s="1643"/>
      <c r="AH720" s="1643"/>
      <c r="AI720" s="1643"/>
      <c r="AJ720" s="1643"/>
      <c r="AK720" s="1643"/>
      <c r="AL720" s="1643"/>
      <c r="AM720" s="1643"/>
    </row>
    <row r="721" spans="1:39" ht="15.75" customHeight="1" x14ac:dyDescent="0.3">
      <c r="A721" s="1643"/>
      <c r="B721" s="1643"/>
      <c r="C721" s="1643"/>
      <c r="D721" s="1643"/>
      <c r="E721" s="1643"/>
      <c r="F721" s="1643"/>
      <c r="G721" s="1643"/>
      <c r="H721" s="1643"/>
      <c r="I721" s="1643"/>
      <c r="J721" s="1643"/>
      <c r="K721" s="1643"/>
      <c r="L721" s="1643"/>
      <c r="M721" s="1643"/>
      <c r="N721" s="1643"/>
      <c r="O721" s="1643"/>
      <c r="P721" s="1643"/>
      <c r="Q721" s="1643"/>
      <c r="R721" s="1643"/>
      <c r="S721" s="1643"/>
      <c r="T721" s="1643"/>
      <c r="U721" s="1643"/>
      <c r="V721" s="1643"/>
      <c r="W721" s="1643"/>
      <c r="X721" s="1643"/>
      <c r="Y721" s="1643"/>
      <c r="Z721" s="1643"/>
      <c r="AA721" s="1643"/>
      <c r="AB721" s="1643"/>
      <c r="AC721" s="1643"/>
      <c r="AD721" s="1643"/>
      <c r="AE721" s="1643"/>
      <c r="AF721" s="1643"/>
      <c r="AG721" s="1643"/>
      <c r="AH721" s="1643"/>
      <c r="AI721" s="1643"/>
      <c r="AJ721" s="1643"/>
      <c r="AK721" s="1643"/>
      <c r="AL721" s="1643"/>
      <c r="AM721" s="1643"/>
    </row>
    <row r="722" spans="1:39" ht="15.75" customHeight="1" x14ac:dyDescent="0.3">
      <c r="A722" s="1643"/>
      <c r="B722" s="1643"/>
      <c r="C722" s="1643"/>
      <c r="D722" s="1643"/>
      <c r="E722" s="1643"/>
      <c r="F722" s="1643"/>
      <c r="G722" s="1643"/>
      <c r="H722" s="1643"/>
      <c r="I722" s="1643"/>
      <c r="J722" s="1643"/>
      <c r="K722" s="1643"/>
      <c r="L722" s="1643"/>
      <c r="M722" s="1643"/>
      <c r="N722" s="1643"/>
      <c r="O722" s="1643"/>
      <c r="P722" s="1643"/>
      <c r="Q722" s="1643"/>
      <c r="R722" s="1643"/>
      <c r="S722" s="1643"/>
      <c r="T722" s="1643"/>
      <c r="U722" s="1643"/>
      <c r="V722" s="1643"/>
      <c r="W722" s="1643"/>
      <c r="X722" s="1643"/>
      <c r="Y722" s="1643"/>
      <c r="Z722" s="1643"/>
      <c r="AA722" s="1643"/>
      <c r="AB722" s="1643"/>
      <c r="AC722" s="1643"/>
      <c r="AD722" s="1643"/>
      <c r="AE722" s="1643"/>
      <c r="AF722" s="1643"/>
      <c r="AG722" s="1643"/>
      <c r="AH722" s="1643"/>
      <c r="AI722" s="1643"/>
      <c r="AJ722" s="1643"/>
      <c r="AK722" s="1643"/>
      <c r="AL722" s="1643"/>
      <c r="AM722" s="1643"/>
    </row>
    <row r="723" spans="1:39" ht="15.75" customHeight="1" x14ac:dyDescent="0.3">
      <c r="A723" s="1643"/>
      <c r="B723" s="1643"/>
      <c r="C723" s="1643"/>
      <c r="D723" s="1643"/>
      <c r="E723" s="1643"/>
      <c r="F723" s="1643"/>
      <c r="G723" s="1643"/>
      <c r="H723" s="1643"/>
      <c r="I723" s="1643"/>
      <c r="J723" s="1643"/>
      <c r="K723" s="1643"/>
      <c r="L723" s="1643"/>
      <c r="M723" s="1643"/>
      <c r="N723" s="1643"/>
      <c r="O723" s="1643"/>
      <c r="P723" s="1643"/>
      <c r="Q723" s="1643"/>
      <c r="R723" s="1643"/>
      <c r="S723" s="1643"/>
      <c r="T723" s="1643"/>
      <c r="U723" s="1643"/>
      <c r="V723" s="1643"/>
      <c r="W723" s="1643"/>
      <c r="X723" s="1643"/>
      <c r="Y723" s="1643"/>
      <c r="Z723" s="1643"/>
      <c r="AA723" s="1643"/>
      <c r="AB723" s="1643"/>
      <c r="AC723" s="1643"/>
      <c r="AD723" s="1643"/>
      <c r="AE723" s="1643"/>
      <c r="AF723" s="1643"/>
      <c r="AG723" s="1643"/>
      <c r="AH723" s="1643"/>
      <c r="AI723" s="1643"/>
      <c r="AJ723" s="1643"/>
      <c r="AK723" s="1643"/>
      <c r="AL723" s="1643"/>
      <c r="AM723" s="1643"/>
    </row>
    <row r="724" spans="1:39" ht="15.75" customHeight="1" x14ac:dyDescent="0.3">
      <c r="A724" s="1643"/>
      <c r="B724" s="1643"/>
      <c r="C724" s="1643"/>
      <c r="D724" s="1643"/>
      <c r="E724" s="1643"/>
      <c r="F724" s="1643"/>
      <c r="G724" s="1643"/>
      <c r="H724" s="1643"/>
      <c r="I724" s="1643"/>
      <c r="J724" s="1643"/>
      <c r="K724" s="1643"/>
      <c r="L724" s="1643"/>
      <c r="M724" s="1643"/>
      <c r="N724" s="1643"/>
      <c r="O724" s="1643"/>
      <c r="P724" s="1643"/>
      <c r="Q724" s="1643"/>
      <c r="R724" s="1643"/>
      <c r="S724" s="1643"/>
      <c r="T724" s="1643"/>
      <c r="U724" s="1643"/>
      <c r="V724" s="1643"/>
      <c r="W724" s="1643"/>
      <c r="X724" s="1643"/>
      <c r="Y724" s="1643"/>
      <c r="Z724" s="1643"/>
      <c r="AA724" s="1643"/>
      <c r="AB724" s="1643"/>
      <c r="AC724" s="1643"/>
      <c r="AD724" s="1643"/>
      <c r="AE724" s="1643"/>
      <c r="AF724" s="1643"/>
      <c r="AG724" s="1643"/>
      <c r="AH724" s="1643"/>
      <c r="AI724" s="1643"/>
      <c r="AJ724" s="1643"/>
      <c r="AK724" s="1643"/>
      <c r="AL724" s="1643"/>
      <c r="AM724" s="1643"/>
    </row>
    <row r="725" spans="1:39" ht="15.75" customHeight="1" x14ac:dyDescent="0.3">
      <c r="A725" s="1643"/>
      <c r="B725" s="1643"/>
      <c r="C725" s="1643"/>
      <c r="D725" s="1643"/>
      <c r="E725" s="1643"/>
      <c r="F725" s="1643"/>
      <c r="G725" s="1643"/>
      <c r="H725" s="1643"/>
      <c r="I725" s="1643"/>
      <c r="J725" s="1643"/>
      <c r="K725" s="1643"/>
      <c r="L725" s="1643"/>
      <c r="M725" s="1643"/>
      <c r="N725" s="1643"/>
      <c r="O725" s="1643"/>
      <c r="P725" s="1643"/>
      <c r="Q725" s="1643"/>
      <c r="R725" s="1643"/>
      <c r="S725" s="1643"/>
      <c r="T725" s="1643"/>
      <c r="U725" s="1643"/>
      <c r="V725" s="1643"/>
      <c r="W725" s="1643"/>
      <c r="X725" s="1643"/>
      <c r="Y725" s="1643"/>
      <c r="Z725" s="1643"/>
      <c r="AA725" s="1643"/>
      <c r="AB725" s="1643"/>
      <c r="AC725" s="1643"/>
      <c r="AD725" s="1643"/>
      <c r="AE725" s="1643"/>
      <c r="AF725" s="1643"/>
      <c r="AG725" s="1643"/>
      <c r="AH725" s="1643"/>
      <c r="AI725" s="1643"/>
      <c r="AJ725" s="1643"/>
      <c r="AK725" s="1643"/>
      <c r="AL725" s="1643"/>
      <c r="AM725" s="1643"/>
    </row>
    <row r="726" spans="1:39" ht="15.75" customHeight="1" x14ac:dyDescent="0.3">
      <c r="A726" s="1643"/>
      <c r="B726" s="1643"/>
      <c r="C726" s="1643"/>
      <c r="D726" s="1643"/>
      <c r="E726" s="1643"/>
      <c r="F726" s="1643"/>
      <c r="G726" s="1643"/>
      <c r="H726" s="1643"/>
      <c r="I726" s="1643"/>
      <c r="J726" s="1643"/>
      <c r="K726" s="1643"/>
      <c r="L726" s="1643"/>
      <c r="M726" s="1643"/>
      <c r="N726" s="1643"/>
      <c r="O726" s="1643"/>
      <c r="P726" s="1643"/>
      <c r="Q726" s="1643"/>
      <c r="R726" s="1643"/>
      <c r="S726" s="1643"/>
      <c r="T726" s="1643"/>
      <c r="U726" s="1643"/>
      <c r="V726" s="1643"/>
      <c r="W726" s="1643"/>
      <c r="X726" s="1643"/>
      <c r="Y726" s="1643"/>
      <c r="Z726" s="1643"/>
      <c r="AA726" s="1643"/>
      <c r="AB726" s="1643"/>
      <c r="AC726" s="1643"/>
      <c r="AD726" s="1643"/>
      <c r="AE726" s="1643"/>
      <c r="AF726" s="1643"/>
      <c r="AG726" s="1643"/>
      <c r="AH726" s="1643"/>
      <c r="AI726" s="1643"/>
      <c r="AJ726" s="1643"/>
      <c r="AK726" s="1643"/>
      <c r="AL726" s="1643"/>
      <c r="AM726" s="1643"/>
    </row>
    <row r="727" spans="1:39" ht="15.75" customHeight="1" x14ac:dyDescent="0.3">
      <c r="A727" s="1643"/>
      <c r="B727" s="1643"/>
      <c r="C727" s="1643"/>
      <c r="D727" s="1643"/>
      <c r="E727" s="1643"/>
      <c r="F727" s="1643"/>
      <c r="G727" s="1643"/>
      <c r="H727" s="1643"/>
      <c r="I727" s="1643"/>
      <c r="J727" s="1643"/>
      <c r="K727" s="1643"/>
      <c r="L727" s="1643"/>
      <c r="M727" s="1643"/>
      <c r="N727" s="1643"/>
      <c r="O727" s="1643"/>
      <c r="P727" s="1643"/>
      <c r="Q727" s="1643"/>
      <c r="R727" s="1643"/>
      <c r="S727" s="1643"/>
      <c r="T727" s="1643"/>
      <c r="U727" s="1643"/>
      <c r="V727" s="1643"/>
      <c r="W727" s="1643"/>
      <c r="X727" s="1643"/>
      <c r="Y727" s="1643"/>
      <c r="Z727" s="1643"/>
      <c r="AA727" s="1643"/>
      <c r="AB727" s="1643"/>
      <c r="AC727" s="1643"/>
      <c r="AD727" s="1643"/>
      <c r="AE727" s="1643"/>
      <c r="AF727" s="1643"/>
      <c r="AG727" s="1643"/>
      <c r="AH727" s="1643"/>
      <c r="AI727" s="1643"/>
      <c r="AJ727" s="1643"/>
      <c r="AK727" s="1643"/>
      <c r="AL727" s="1643"/>
      <c r="AM727" s="1643"/>
    </row>
    <row r="728" spans="1:39" ht="15.75" customHeight="1" x14ac:dyDescent="0.3">
      <c r="A728" s="1643"/>
      <c r="B728" s="1643"/>
      <c r="C728" s="1643"/>
      <c r="D728" s="1643"/>
      <c r="E728" s="1643"/>
      <c r="F728" s="1643"/>
      <c r="G728" s="1643"/>
      <c r="H728" s="1643"/>
      <c r="I728" s="1643"/>
      <c r="J728" s="1643"/>
      <c r="K728" s="1643"/>
      <c r="L728" s="1643"/>
      <c r="M728" s="1643"/>
      <c r="N728" s="1643"/>
      <c r="O728" s="1643"/>
      <c r="P728" s="1643"/>
      <c r="Q728" s="1643"/>
      <c r="R728" s="1643"/>
      <c r="S728" s="1643"/>
      <c r="T728" s="1643"/>
      <c r="U728" s="1643"/>
      <c r="V728" s="1643"/>
      <c r="W728" s="1643"/>
      <c r="X728" s="1643"/>
      <c r="Y728" s="1643"/>
      <c r="Z728" s="1643"/>
      <c r="AA728" s="1643"/>
      <c r="AB728" s="1643"/>
      <c r="AC728" s="1643"/>
      <c r="AD728" s="1643"/>
      <c r="AE728" s="1643"/>
      <c r="AF728" s="1643"/>
      <c r="AG728" s="1643"/>
      <c r="AH728" s="1643"/>
      <c r="AI728" s="1643"/>
      <c r="AJ728" s="1643"/>
      <c r="AK728" s="1643"/>
      <c r="AL728" s="1643"/>
      <c r="AM728" s="1643"/>
    </row>
    <row r="729" spans="1:39" ht="15.75" customHeight="1" x14ac:dyDescent="0.3">
      <c r="A729" s="1643"/>
      <c r="B729" s="1643"/>
      <c r="C729" s="1643"/>
      <c r="D729" s="1643"/>
      <c r="E729" s="1643"/>
      <c r="F729" s="1643"/>
      <c r="G729" s="1643"/>
      <c r="H729" s="1643"/>
      <c r="I729" s="1643"/>
      <c r="J729" s="1643"/>
      <c r="K729" s="1643"/>
      <c r="L729" s="1643"/>
      <c r="M729" s="1643"/>
      <c r="N729" s="1643"/>
      <c r="O729" s="1643"/>
      <c r="P729" s="1643"/>
      <c r="Q729" s="1643"/>
      <c r="R729" s="1643"/>
      <c r="S729" s="1643"/>
      <c r="T729" s="1643"/>
      <c r="U729" s="1643"/>
      <c r="V729" s="1643"/>
      <c r="W729" s="1643"/>
      <c r="X729" s="1643"/>
      <c r="Y729" s="1643"/>
      <c r="Z729" s="1643"/>
      <c r="AA729" s="1643"/>
      <c r="AB729" s="1643"/>
      <c r="AC729" s="1643"/>
      <c r="AD729" s="1643"/>
      <c r="AE729" s="1643"/>
      <c r="AF729" s="1643"/>
      <c r="AG729" s="1643"/>
      <c r="AH729" s="1643"/>
      <c r="AI729" s="1643"/>
      <c r="AJ729" s="1643"/>
      <c r="AK729" s="1643"/>
      <c r="AL729" s="1643"/>
      <c r="AM729" s="1643"/>
    </row>
    <row r="730" spans="1:39" ht="15.75" customHeight="1" x14ac:dyDescent="0.3">
      <c r="A730" s="1643"/>
      <c r="B730" s="1643"/>
      <c r="C730" s="1643"/>
      <c r="D730" s="1643"/>
      <c r="E730" s="1643"/>
      <c r="F730" s="1643"/>
      <c r="G730" s="1643"/>
      <c r="H730" s="1643"/>
      <c r="I730" s="1643"/>
      <c r="J730" s="1643"/>
      <c r="K730" s="1643"/>
      <c r="L730" s="1643"/>
      <c r="M730" s="1643"/>
      <c r="N730" s="1643"/>
      <c r="O730" s="1643"/>
      <c r="P730" s="1643"/>
      <c r="Q730" s="1643"/>
      <c r="R730" s="1643"/>
      <c r="S730" s="1643"/>
      <c r="T730" s="1643"/>
      <c r="U730" s="1643"/>
      <c r="V730" s="1643"/>
      <c r="W730" s="1643"/>
      <c r="X730" s="1643"/>
      <c r="Y730" s="1643"/>
      <c r="Z730" s="1643"/>
      <c r="AA730" s="1643"/>
      <c r="AB730" s="1643"/>
      <c r="AC730" s="1643"/>
      <c r="AD730" s="1643"/>
      <c r="AE730" s="1643"/>
      <c r="AF730" s="1643"/>
      <c r="AG730" s="1643"/>
      <c r="AH730" s="1643"/>
      <c r="AI730" s="1643"/>
      <c r="AJ730" s="1643"/>
      <c r="AK730" s="1643"/>
      <c r="AL730" s="1643"/>
      <c r="AM730" s="1643"/>
    </row>
    <row r="731" spans="1:39" ht="15.75" customHeight="1" x14ac:dyDescent="0.3">
      <c r="A731" s="1643"/>
      <c r="B731" s="1643"/>
      <c r="C731" s="1643"/>
      <c r="D731" s="1643"/>
      <c r="E731" s="1643"/>
      <c r="F731" s="1643"/>
      <c r="G731" s="1643"/>
      <c r="H731" s="1643"/>
      <c r="I731" s="1643"/>
      <c r="J731" s="1643"/>
      <c r="K731" s="1643"/>
      <c r="L731" s="1643"/>
      <c r="M731" s="1643"/>
      <c r="N731" s="1643"/>
      <c r="O731" s="1643"/>
      <c r="P731" s="1643"/>
      <c r="Q731" s="1643"/>
      <c r="R731" s="1643"/>
      <c r="S731" s="1643"/>
      <c r="T731" s="1643"/>
      <c r="U731" s="1643"/>
      <c r="V731" s="1643"/>
      <c r="W731" s="1643"/>
      <c r="X731" s="1643"/>
      <c r="Y731" s="1643"/>
      <c r="Z731" s="1643"/>
      <c r="AA731" s="1643"/>
      <c r="AB731" s="1643"/>
      <c r="AC731" s="1643"/>
      <c r="AD731" s="1643"/>
      <c r="AE731" s="1643"/>
      <c r="AF731" s="1643"/>
      <c r="AG731" s="1643"/>
      <c r="AH731" s="1643"/>
      <c r="AI731" s="1643"/>
      <c r="AJ731" s="1643"/>
      <c r="AK731" s="1643"/>
      <c r="AL731" s="1643"/>
      <c r="AM731" s="1643"/>
    </row>
    <row r="732" spans="1:39" ht="15.75" customHeight="1" x14ac:dyDescent="0.3">
      <c r="A732" s="1643"/>
      <c r="B732" s="1643"/>
      <c r="C732" s="1643"/>
      <c r="D732" s="1643"/>
      <c r="E732" s="1643"/>
      <c r="F732" s="1643"/>
      <c r="G732" s="1643"/>
      <c r="H732" s="1643"/>
      <c r="I732" s="1643"/>
      <c r="J732" s="1643"/>
      <c r="K732" s="1643"/>
      <c r="L732" s="1643"/>
      <c r="M732" s="1643"/>
      <c r="N732" s="1643"/>
      <c r="O732" s="1643"/>
      <c r="P732" s="1643"/>
      <c r="Q732" s="1643"/>
      <c r="R732" s="1643"/>
      <c r="S732" s="1643"/>
      <c r="T732" s="1643"/>
      <c r="U732" s="1643"/>
      <c r="V732" s="1643"/>
      <c r="W732" s="1643"/>
      <c r="X732" s="1643"/>
      <c r="Y732" s="1643"/>
      <c r="Z732" s="1643"/>
      <c r="AA732" s="1643"/>
      <c r="AB732" s="1643"/>
      <c r="AC732" s="1643"/>
      <c r="AD732" s="1643"/>
      <c r="AE732" s="1643"/>
      <c r="AF732" s="1643"/>
      <c r="AG732" s="1643"/>
      <c r="AH732" s="1643"/>
      <c r="AI732" s="1643"/>
      <c r="AJ732" s="1643"/>
      <c r="AK732" s="1643"/>
      <c r="AL732" s="1643"/>
      <c r="AM732" s="1643"/>
    </row>
    <row r="733" spans="1:39" ht="15.75" customHeight="1" x14ac:dyDescent="0.3">
      <c r="A733" s="1643"/>
      <c r="B733" s="1643"/>
      <c r="C733" s="1643"/>
      <c r="D733" s="1643"/>
      <c r="E733" s="1643"/>
      <c r="F733" s="1643"/>
      <c r="G733" s="1643"/>
      <c r="H733" s="1643"/>
      <c r="I733" s="1643"/>
      <c r="J733" s="1643"/>
      <c r="K733" s="1643"/>
      <c r="L733" s="1643"/>
      <c r="M733" s="1643"/>
      <c r="N733" s="1643"/>
      <c r="O733" s="1643"/>
      <c r="P733" s="1643"/>
      <c r="Q733" s="1643"/>
      <c r="R733" s="1643"/>
      <c r="S733" s="1643"/>
      <c r="T733" s="1643"/>
      <c r="U733" s="1643"/>
      <c r="V733" s="1643"/>
      <c r="W733" s="1643"/>
      <c r="X733" s="1643"/>
      <c r="Y733" s="1643"/>
      <c r="Z733" s="1643"/>
      <c r="AA733" s="1643"/>
      <c r="AB733" s="1643"/>
      <c r="AC733" s="1643"/>
      <c r="AD733" s="1643"/>
      <c r="AE733" s="1643"/>
      <c r="AF733" s="1643"/>
      <c r="AG733" s="1643"/>
      <c r="AH733" s="1643"/>
      <c r="AI733" s="1643"/>
      <c r="AJ733" s="1643"/>
      <c r="AK733" s="1643"/>
      <c r="AL733" s="1643"/>
      <c r="AM733" s="1643"/>
    </row>
    <row r="734" spans="1:39" ht="15.75" customHeight="1" x14ac:dyDescent="0.3">
      <c r="A734" s="1643"/>
      <c r="B734" s="1643"/>
      <c r="C734" s="1643"/>
      <c r="D734" s="1643"/>
      <c r="E734" s="1643"/>
      <c r="F734" s="1643"/>
      <c r="G734" s="1643"/>
      <c r="H734" s="1643"/>
      <c r="I734" s="1643"/>
      <c r="J734" s="1643"/>
      <c r="K734" s="1643"/>
      <c r="L734" s="1643"/>
      <c r="M734" s="1643"/>
      <c r="N734" s="1643"/>
      <c r="O734" s="1643"/>
      <c r="P734" s="1643"/>
      <c r="Q734" s="1643"/>
      <c r="R734" s="1643"/>
      <c r="S734" s="1643"/>
      <c r="T734" s="1643"/>
      <c r="U734" s="1643"/>
      <c r="V734" s="1643"/>
      <c r="W734" s="1643"/>
      <c r="X734" s="1643"/>
      <c r="Y734" s="1643"/>
      <c r="Z734" s="1643"/>
      <c r="AA734" s="1643"/>
      <c r="AB734" s="1643"/>
      <c r="AC734" s="1643"/>
      <c r="AD734" s="1643"/>
      <c r="AE734" s="1643"/>
      <c r="AF734" s="1643"/>
      <c r="AG734" s="1643"/>
      <c r="AH734" s="1643"/>
      <c r="AI734" s="1643"/>
      <c r="AJ734" s="1643"/>
      <c r="AK734" s="1643"/>
      <c r="AL734" s="1643"/>
      <c r="AM734" s="1643"/>
    </row>
    <row r="735" spans="1:39" ht="15.75" customHeight="1" x14ac:dyDescent="0.3">
      <c r="A735" s="1643"/>
      <c r="B735" s="1643"/>
      <c r="C735" s="1643"/>
      <c r="D735" s="1643"/>
      <c r="E735" s="1643"/>
      <c r="F735" s="1643"/>
      <c r="G735" s="1643"/>
      <c r="H735" s="1643"/>
      <c r="I735" s="1643"/>
      <c r="J735" s="1643"/>
      <c r="K735" s="1643"/>
      <c r="L735" s="1643"/>
      <c r="M735" s="1643"/>
      <c r="N735" s="1643"/>
      <c r="O735" s="1643"/>
      <c r="P735" s="1643"/>
      <c r="Q735" s="1643"/>
      <c r="R735" s="1643"/>
      <c r="S735" s="1643"/>
      <c r="T735" s="1643"/>
      <c r="U735" s="1643"/>
      <c r="V735" s="1643"/>
      <c r="W735" s="1643"/>
      <c r="X735" s="1643"/>
      <c r="Y735" s="1643"/>
      <c r="Z735" s="1643"/>
      <c r="AA735" s="1643"/>
      <c r="AB735" s="1643"/>
      <c r="AC735" s="1643"/>
      <c r="AD735" s="1643"/>
      <c r="AE735" s="1643"/>
      <c r="AF735" s="1643"/>
      <c r="AG735" s="1643"/>
      <c r="AH735" s="1643"/>
      <c r="AI735" s="1643"/>
      <c r="AJ735" s="1643"/>
      <c r="AK735" s="1643"/>
      <c r="AL735" s="1643"/>
      <c r="AM735" s="1643"/>
    </row>
    <row r="736" spans="1:39" ht="15.75" customHeight="1" x14ac:dyDescent="0.3">
      <c r="A736" s="1643"/>
      <c r="B736" s="1643"/>
      <c r="C736" s="1643"/>
      <c r="D736" s="1643"/>
      <c r="E736" s="1643"/>
      <c r="F736" s="1643"/>
      <c r="G736" s="1643"/>
      <c r="H736" s="1643"/>
      <c r="I736" s="1643"/>
      <c r="J736" s="1643"/>
      <c r="K736" s="1643"/>
      <c r="L736" s="1643"/>
      <c r="M736" s="1643"/>
      <c r="N736" s="1643"/>
      <c r="O736" s="1643"/>
      <c r="P736" s="1643"/>
      <c r="Q736" s="1643"/>
      <c r="R736" s="1643"/>
      <c r="S736" s="1643"/>
      <c r="T736" s="1643"/>
      <c r="U736" s="1643"/>
      <c r="V736" s="1643"/>
      <c r="W736" s="1643"/>
      <c r="X736" s="1643"/>
      <c r="Y736" s="1643"/>
      <c r="Z736" s="1643"/>
      <c r="AA736" s="1643"/>
      <c r="AB736" s="1643"/>
      <c r="AC736" s="1643"/>
      <c r="AD736" s="1643"/>
      <c r="AE736" s="1643"/>
      <c r="AF736" s="1643"/>
      <c r="AG736" s="1643"/>
      <c r="AH736" s="1643"/>
      <c r="AI736" s="1643"/>
      <c r="AJ736" s="1643"/>
      <c r="AK736" s="1643"/>
      <c r="AL736" s="1643"/>
      <c r="AM736" s="1643"/>
    </row>
    <row r="737" spans="1:39" ht="15.75" customHeight="1" x14ac:dyDescent="0.3">
      <c r="A737" s="1643"/>
      <c r="B737" s="1643"/>
      <c r="C737" s="1643"/>
      <c r="D737" s="1643"/>
      <c r="E737" s="1643"/>
      <c r="F737" s="1643"/>
      <c r="G737" s="1643"/>
      <c r="H737" s="1643"/>
      <c r="I737" s="1643"/>
      <c r="J737" s="1643"/>
      <c r="K737" s="1643"/>
      <c r="L737" s="1643"/>
      <c r="M737" s="1643"/>
      <c r="N737" s="1643"/>
      <c r="O737" s="1643"/>
      <c r="P737" s="1643"/>
      <c r="Q737" s="1643"/>
      <c r="R737" s="1643"/>
      <c r="S737" s="1643"/>
      <c r="T737" s="1643"/>
      <c r="U737" s="1643"/>
      <c r="V737" s="1643"/>
      <c r="W737" s="1643"/>
      <c r="X737" s="1643"/>
      <c r="Y737" s="1643"/>
      <c r="Z737" s="1643"/>
      <c r="AA737" s="1643"/>
      <c r="AB737" s="1643"/>
      <c r="AC737" s="1643"/>
      <c r="AD737" s="1643"/>
      <c r="AE737" s="1643"/>
      <c r="AF737" s="1643"/>
      <c r="AG737" s="1643"/>
      <c r="AH737" s="1643"/>
      <c r="AI737" s="1643"/>
      <c r="AJ737" s="1643"/>
      <c r="AK737" s="1643"/>
      <c r="AL737" s="1643"/>
      <c r="AM737" s="1643"/>
    </row>
    <row r="738" spans="1:39" ht="15.75" customHeight="1" x14ac:dyDescent="0.3">
      <c r="A738" s="1643"/>
      <c r="B738" s="1643"/>
      <c r="C738" s="1643"/>
      <c r="D738" s="1643"/>
      <c r="E738" s="1643"/>
      <c r="F738" s="1643"/>
      <c r="G738" s="1643"/>
      <c r="H738" s="1643"/>
      <c r="I738" s="1643"/>
      <c r="J738" s="1643"/>
      <c r="K738" s="1643"/>
      <c r="L738" s="1643"/>
      <c r="M738" s="1643"/>
      <c r="N738" s="1643"/>
      <c r="O738" s="1643"/>
      <c r="P738" s="1643"/>
      <c r="Q738" s="1643"/>
      <c r="R738" s="1643"/>
      <c r="S738" s="1643"/>
      <c r="T738" s="1643"/>
      <c r="U738" s="1643"/>
      <c r="V738" s="1643"/>
      <c r="W738" s="1643"/>
      <c r="X738" s="1643"/>
      <c r="Y738" s="1643"/>
      <c r="Z738" s="1643"/>
      <c r="AA738" s="1643"/>
      <c r="AB738" s="1643"/>
      <c r="AC738" s="1643"/>
      <c r="AD738" s="1643"/>
      <c r="AE738" s="1643"/>
      <c r="AF738" s="1643"/>
      <c r="AG738" s="1643"/>
      <c r="AH738" s="1643"/>
      <c r="AI738" s="1643"/>
      <c r="AJ738" s="1643"/>
      <c r="AK738" s="1643"/>
      <c r="AL738" s="1643"/>
      <c r="AM738" s="1643"/>
    </row>
    <row r="739" spans="1:39" ht="15.75" customHeight="1" x14ac:dyDescent="0.3">
      <c r="A739" s="1643"/>
      <c r="B739" s="1643"/>
      <c r="C739" s="1643"/>
      <c r="D739" s="1643"/>
      <c r="E739" s="1643"/>
      <c r="F739" s="1643"/>
      <c r="G739" s="1643"/>
      <c r="H739" s="1643"/>
      <c r="I739" s="1643"/>
      <c r="J739" s="1643"/>
      <c r="K739" s="1643"/>
      <c r="L739" s="1643"/>
      <c r="M739" s="1643"/>
      <c r="N739" s="1643"/>
      <c r="O739" s="1643"/>
      <c r="P739" s="1643"/>
      <c r="Q739" s="1643"/>
      <c r="R739" s="1643"/>
      <c r="S739" s="1643"/>
      <c r="T739" s="1643"/>
      <c r="U739" s="1643"/>
      <c r="V739" s="1643"/>
      <c r="W739" s="1643"/>
      <c r="X739" s="1643"/>
      <c r="Y739" s="1643"/>
      <c r="Z739" s="1643"/>
      <c r="AA739" s="1643"/>
      <c r="AB739" s="1643"/>
      <c r="AC739" s="1643"/>
      <c r="AD739" s="1643"/>
      <c r="AE739" s="1643"/>
      <c r="AF739" s="1643"/>
      <c r="AG739" s="1643"/>
      <c r="AH739" s="1643"/>
      <c r="AI739" s="1643"/>
      <c r="AJ739" s="1643"/>
      <c r="AK739" s="1643"/>
      <c r="AL739" s="1643"/>
      <c r="AM739" s="1643"/>
    </row>
    <row r="740" spans="1:39" ht="15.75" customHeight="1" x14ac:dyDescent="0.3">
      <c r="A740" s="1643"/>
      <c r="B740" s="1643"/>
      <c r="C740" s="1643"/>
      <c r="D740" s="1643"/>
      <c r="E740" s="1643"/>
      <c r="F740" s="1643"/>
      <c r="G740" s="1643"/>
      <c r="H740" s="1643"/>
      <c r="I740" s="1643"/>
      <c r="J740" s="1643"/>
      <c r="K740" s="1643"/>
      <c r="L740" s="1643"/>
      <c r="M740" s="1643"/>
      <c r="N740" s="1643"/>
      <c r="O740" s="1643"/>
      <c r="P740" s="1643"/>
      <c r="Q740" s="1643"/>
      <c r="R740" s="1643"/>
      <c r="S740" s="1643"/>
      <c r="T740" s="1643"/>
      <c r="U740" s="1643"/>
      <c r="V740" s="1643"/>
      <c r="W740" s="1643"/>
      <c r="X740" s="1643"/>
      <c r="Y740" s="1643"/>
      <c r="Z740" s="1643"/>
      <c r="AA740" s="1643"/>
      <c r="AB740" s="1643"/>
      <c r="AC740" s="1643"/>
      <c r="AD740" s="1643"/>
      <c r="AE740" s="1643"/>
      <c r="AF740" s="1643"/>
      <c r="AG740" s="1643"/>
      <c r="AH740" s="1643"/>
      <c r="AI740" s="1643"/>
      <c r="AJ740" s="1643"/>
      <c r="AK740" s="1643"/>
      <c r="AL740" s="1643"/>
      <c r="AM740" s="1643"/>
    </row>
    <row r="741" spans="1:39" ht="15.75" customHeight="1" x14ac:dyDescent="0.3">
      <c r="A741" s="1643"/>
      <c r="B741" s="1643"/>
      <c r="C741" s="1643"/>
      <c r="D741" s="1643"/>
      <c r="E741" s="1643"/>
      <c r="F741" s="1643"/>
      <c r="G741" s="1643"/>
      <c r="H741" s="1643"/>
      <c r="I741" s="1643"/>
      <c r="J741" s="1643"/>
      <c r="K741" s="1643"/>
      <c r="L741" s="1643"/>
      <c r="M741" s="1643"/>
      <c r="N741" s="1643"/>
      <c r="O741" s="1643"/>
      <c r="P741" s="1643"/>
      <c r="Q741" s="1643"/>
      <c r="R741" s="1643"/>
      <c r="S741" s="1643"/>
      <c r="T741" s="1643"/>
      <c r="U741" s="1643"/>
      <c r="V741" s="1643"/>
      <c r="W741" s="1643"/>
      <c r="X741" s="1643"/>
      <c r="Y741" s="1643"/>
      <c r="Z741" s="1643"/>
      <c r="AA741" s="1643"/>
      <c r="AB741" s="1643"/>
      <c r="AC741" s="1643"/>
      <c r="AD741" s="1643"/>
      <c r="AE741" s="1643"/>
      <c r="AF741" s="1643"/>
      <c r="AG741" s="1643"/>
      <c r="AH741" s="1643"/>
      <c r="AI741" s="1643"/>
      <c r="AJ741" s="1643"/>
      <c r="AK741" s="1643"/>
      <c r="AL741" s="1643"/>
      <c r="AM741" s="1643"/>
    </row>
    <row r="742" spans="1:39" ht="15.75" customHeight="1" x14ac:dyDescent="0.3">
      <c r="A742" s="1643"/>
      <c r="B742" s="1643"/>
      <c r="C742" s="1643"/>
      <c r="D742" s="1643"/>
      <c r="E742" s="1643"/>
      <c r="F742" s="1643"/>
      <c r="G742" s="1643"/>
      <c r="H742" s="1643"/>
      <c r="I742" s="1643"/>
      <c r="J742" s="1643"/>
      <c r="K742" s="1643"/>
      <c r="L742" s="1643"/>
      <c r="M742" s="1643"/>
      <c r="N742" s="1643"/>
      <c r="O742" s="1643"/>
      <c r="P742" s="1643"/>
      <c r="Q742" s="1643"/>
      <c r="R742" s="1643"/>
      <c r="S742" s="1643"/>
      <c r="T742" s="1643"/>
      <c r="U742" s="1643"/>
      <c r="V742" s="1643"/>
      <c r="W742" s="1643"/>
      <c r="X742" s="1643"/>
      <c r="Y742" s="1643"/>
      <c r="Z742" s="1643"/>
      <c r="AA742" s="1643"/>
      <c r="AB742" s="1643"/>
      <c r="AC742" s="1643"/>
      <c r="AD742" s="1643"/>
      <c r="AE742" s="1643"/>
      <c r="AF742" s="1643"/>
      <c r="AG742" s="1643"/>
      <c r="AH742" s="1643"/>
      <c r="AI742" s="1643"/>
      <c r="AJ742" s="1643"/>
      <c r="AK742" s="1643"/>
      <c r="AL742" s="1643"/>
      <c r="AM742" s="1643"/>
    </row>
    <row r="743" spans="1:39" ht="15.75" customHeight="1" x14ac:dyDescent="0.3">
      <c r="A743" s="1643"/>
      <c r="B743" s="1643"/>
      <c r="C743" s="1643"/>
      <c r="D743" s="1643"/>
      <c r="E743" s="1643"/>
      <c r="F743" s="1643"/>
      <c r="G743" s="1643"/>
      <c r="H743" s="1643"/>
      <c r="I743" s="1643"/>
      <c r="J743" s="1643"/>
      <c r="K743" s="1643"/>
      <c r="L743" s="1643"/>
      <c r="M743" s="1643"/>
      <c r="N743" s="1643"/>
      <c r="O743" s="1643"/>
      <c r="P743" s="1643"/>
      <c r="Q743" s="1643"/>
      <c r="R743" s="1643"/>
      <c r="S743" s="1643"/>
      <c r="T743" s="1643"/>
      <c r="U743" s="1643"/>
      <c r="V743" s="1643"/>
      <c r="W743" s="1643"/>
      <c r="X743" s="1643"/>
      <c r="Y743" s="1643"/>
      <c r="Z743" s="1643"/>
      <c r="AA743" s="1643"/>
      <c r="AB743" s="1643"/>
      <c r="AC743" s="1643"/>
      <c r="AD743" s="1643"/>
      <c r="AE743" s="1643"/>
      <c r="AF743" s="1643"/>
      <c r="AG743" s="1643"/>
      <c r="AH743" s="1643"/>
      <c r="AI743" s="1643"/>
      <c r="AJ743" s="1643"/>
      <c r="AK743" s="1643"/>
      <c r="AL743" s="1643"/>
      <c r="AM743" s="1643"/>
    </row>
    <row r="744" spans="1:39" ht="15.75" customHeight="1" x14ac:dyDescent="0.3">
      <c r="A744" s="1643"/>
      <c r="B744" s="1643"/>
      <c r="C744" s="1643"/>
      <c r="D744" s="1643"/>
      <c r="E744" s="1643"/>
      <c r="F744" s="1643"/>
      <c r="G744" s="1643"/>
      <c r="H744" s="1643"/>
      <c r="I744" s="1643"/>
      <c r="J744" s="1643"/>
      <c r="K744" s="1643"/>
      <c r="L744" s="1643"/>
      <c r="M744" s="1643"/>
      <c r="N744" s="1643"/>
      <c r="O744" s="1643"/>
      <c r="P744" s="1643"/>
      <c r="Q744" s="1643"/>
      <c r="R744" s="1643"/>
      <c r="S744" s="1643"/>
      <c r="T744" s="1643"/>
      <c r="U744" s="1643"/>
      <c r="V744" s="1643"/>
      <c r="W744" s="1643"/>
      <c r="X744" s="1643"/>
      <c r="Y744" s="1643"/>
      <c r="Z744" s="1643"/>
      <c r="AA744" s="1643"/>
      <c r="AB744" s="1643"/>
      <c r="AC744" s="1643"/>
      <c r="AD744" s="1643"/>
      <c r="AE744" s="1643"/>
      <c r="AF744" s="1643"/>
      <c r="AG744" s="1643"/>
      <c r="AH744" s="1643"/>
      <c r="AI744" s="1643"/>
      <c r="AJ744" s="1643"/>
      <c r="AK744" s="1643"/>
      <c r="AL744" s="1643"/>
      <c r="AM744" s="1643"/>
    </row>
    <row r="745" spans="1:39" ht="15.75" customHeight="1" x14ac:dyDescent="0.3">
      <c r="A745" s="1643"/>
      <c r="B745" s="1643"/>
      <c r="C745" s="1643"/>
      <c r="D745" s="1643"/>
      <c r="E745" s="1643"/>
      <c r="F745" s="1643"/>
      <c r="G745" s="1643"/>
      <c r="H745" s="1643"/>
      <c r="I745" s="1643"/>
      <c r="J745" s="1643"/>
      <c r="K745" s="1643"/>
      <c r="L745" s="1643"/>
      <c r="M745" s="1643"/>
      <c r="N745" s="1643"/>
      <c r="O745" s="1643"/>
      <c r="P745" s="1643"/>
      <c r="Q745" s="1643"/>
      <c r="R745" s="1643"/>
      <c r="S745" s="1643"/>
      <c r="T745" s="1643"/>
      <c r="U745" s="1643"/>
      <c r="V745" s="1643"/>
      <c r="W745" s="1643"/>
      <c r="X745" s="1643"/>
      <c r="Y745" s="1643"/>
      <c r="Z745" s="1643"/>
      <c r="AA745" s="1643"/>
      <c r="AB745" s="1643"/>
      <c r="AC745" s="1643"/>
      <c r="AD745" s="1643"/>
      <c r="AE745" s="1643"/>
      <c r="AF745" s="1643"/>
      <c r="AG745" s="1643"/>
      <c r="AH745" s="1643"/>
      <c r="AI745" s="1643"/>
      <c r="AJ745" s="1643"/>
      <c r="AK745" s="1643"/>
      <c r="AL745" s="1643"/>
      <c r="AM745" s="1643"/>
    </row>
    <row r="746" spans="1:39" ht="15.75" customHeight="1" x14ac:dyDescent="0.3">
      <c r="A746" s="1643"/>
      <c r="B746" s="1643"/>
      <c r="C746" s="1643"/>
      <c r="D746" s="1643"/>
      <c r="E746" s="1643"/>
      <c r="F746" s="1643"/>
      <c r="G746" s="1643"/>
      <c r="H746" s="1643"/>
      <c r="I746" s="1643"/>
      <c r="J746" s="1643"/>
      <c r="K746" s="1643"/>
      <c r="L746" s="1643"/>
      <c r="M746" s="1643"/>
      <c r="N746" s="1643"/>
      <c r="O746" s="1643"/>
      <c r="P746" s="1643"/>
      <c r="Q746" s="1643"/>
      <c r="R746" s="1643"/>
      <c r="S746" s="1643"/>
      <c r="T746" s="1643"/>
      <c r="U746" s="1643"/>
      <c r="V746" s="1643"/>
      <c r="W746" s="1643"/>
      <c r="X746" s="1643"/>
      <c r="Y746" s="1643"/>
      <c r="Z746" s="1643"/>
      <c r="AA746" s="1643"/>
      <c r="AB746" s="1643"/>
      <c r="AC746" s="1643"/>
      <c r="AD746" s="1643"/>
      <c r="AE746" s="1643"/>
      <c r="AF746" s="1643"/>
      <c r="AG746" s="1643"/>
      <c r="AH746" s="1643"/>
      <c r="AI746" s="1643"/>
      <c r="AJ746" s="1643"/>
      <c r="AK746" s="1643"/>
      <c r="AL746" s="1643"/>
      <c r="AM746" s="1643"/>
    </row>
    <row r="747" spans="1:39" ht="15.75" customHeight="1" x14ac:dyDescent="0.3">
      <c r="A747" s="1643"/>
      <c r="B747" s="1643"/>
      <c r="C747" s="1643"/>
      <c r="D747" s="1643"/>
      <c r="E747" s="1643"/>
      <c r="F747" s="1643"/>
      <c r="G747" s="1643"/>
      <c r="H747" s="1643"/>
      <c r="I747" s="1643"/>
      <c r="J747" s="1643"/>
      <c r="K747" s="1643"/>
      <c r="L747" s="1643"/>
      <c r="M747" s="1643"/>
      <c r="N747" s="1643"/>
      <c r="O747" s="1643"/>
      <c r="P747" s="1643"/>
      <c r="Q747" s="1643"/>
      <c r="R747" s="1643"/>
      <c r="S747" s="1643"/>
      <c r="T747" s="1643"/>
      <c r="U747" s="1643"/>
      <c r="V747" s="1643"/>
      <c r="W747" s="1643"/>
      <c r="X747" s="1643"/>
      <c r="Y747" s="1643"/>
      <c r="Z747" s="1643"/>
      <c r="AA747" s="1643"/>
      <c r="AB747" s="1643"/>
      <c r="AC747" s="1643"/>
      <c r="AD747" s="1643"/>
      <c r="AE747" s="1643"/>
      <c r="AF747" s="1643"/>
      <c r="AG747" s="1643"/>
      <c r="AH747" s="1643"/>
      <c r="AI747" s="1643"/>
      <c r="AJ747" s="1643"/>
      <c r="AK747" s="1643"/>
      <c r="AL747" s="1643"/>
      <c r="AM747" s="1643"/>
    </row>
    <row r="748" spans="1:39" ht="15.75" customHeight="1" x14ac:dyDescent="0.3">
      <c r="A748" s="1643"/>
      <c r="B748" s="1643"/>
      <c r="C748" s="1643"/>
      <c r="D748" s="1643"/>
      <c r="E748" s="1643"/>
      <c r="F748" s="1643"/>
      <c r="G748" s="1643"/>
      <c r="H748" s="1643"/>
      <c r="I748" s="1643"/>
      <c r="J748" s="1643"/>
      <c r="K748" s="1643"/>
      <c r="L748" s="1643"/>
      <c r="M748" s="1643"/>
      <c r="N748" s="1643"/>
      <c r="O748" s="1643"/>
      <c r="P748" s="1643"/>
      <c r="Q748" s="1643"/>
      <c r="R748" s="1643"/>
      <c r="S748" s="1643"/>
      <c r="T748" s="1643"/>
      <c r="U748" s="1643"/>
      <c r="V748" s="1643"/>
      <c r="W748" s="1643"/>
      <c r="X748" s="1643"/>
      <c r="Y748" s="1643"/>
      <c r="Z748" s="1643"/>
      <c r="AA748" s="1643"/>
      <c r="AB748" s="1643"/>
      <c r="AC748" s="1643"/>
      <c r="AD748" s="1643"/>
      <c r="AE748" s="1643"/>
      <c r="AF748" s="1643"/>
      <c r="AG748" s="1643"/>
      <c r="AH748" s="1643"/>
      <c r="AI748" s="1643"/>
      <c r="AJ748" s="1643"/>
      <c r="AK748" s="1643"/>
      <c r="AL748" s="1643"/>
      <c r="AM748" s="1643"/>
    </row>
    <row r="749" spans="1:39" ht="15.75" customHeight="1" x14ac:dyDescent="0.3">
      <c r="A749" s="1643"/>
      <c r="B749" s="1643"/>
      <c r="C749" s="1643"/>
      <c r="D749" s="1643"/>
      <c r="E749" s="1643"/>
      <c r="F749" s="1643"/>
      <c r="G749" s="1643"/>
      <c r="H749" s="1643"/>
      <c r="I749" s="1643"/>
      <c r="J749" s="1643"/>
      <c r="K749" s="1643"/>
      <c r="L749" s="1643"/>
      <c r="M749" s="1643"/>
      <c r="N749" s="1643"/>
      <c r="O749" s="1643"/>
      <c r="P749" s="1643"/>
      <c r="Q749" s="1643"/>
      <c r="R749" s="1643"/>
      <c r="S749" s="1643"/>
      <c r="T749" s="1643"/>
      <c r="U749" s="1643"/>
      <c r="V749" s="1643"/>
      <c r="W749" s="1643"/>
      <c r="X749" s="1643"/>
      <c r="Y749" s="1643"/>
      <c r="Z749" s="1643"/>
      <c r="AA749" s="1643"/>
      <c r="AB749" s="1643"/>
      <c r="AC749" s="1643"/>
      <c r="AD749" s="1643"/>
      <c r="AE749" s="1643"/>
      <c r="AF749" s="1643"/>
      <c r="AG749" s="1643"/>
      <c r="AH749" s="1643"/>
      <c r="AI749" s="1643"/>
      <c r="AJ749" s="1643"/>
      <c r="AK749" s="1643"/>
      <c r="AL749" s="1643"/>
      <c r="AM749" s="1643"/>
    </row>
    <row r="750" spans="1:39" ht="15.75" customHeight="1" x14ac:dyDescent="0.3">
      <c r="A750" s="1643"/>
      <c r="B750" s="1643"/>
      <c r="C750" s="1643"/>
      <c r="D750" s="1643"/>
      <c r="E750" s="1643"/>
      <c r="F750" s="1643"/>
      <c r="G750" s="1643"/>
      <c r="H750" s="1643"/>
      <c r="I750" s="1643"/>
      <c r="J750" s="1643"/>
      <c r="K750" s="1643"/>
      <c r="L750" s="1643"/>
      <c r="M750" s="1643"/>
      <c r="N750" s="1643"/>
      <c r="O750" s="1643"/>
      <c r="P750" s="1643"/>
      <c r="Q750" s="1643"/>
      <c r="R750" s="1643"/>
      <c r="S750" s="1643"/>
      <c r="T750" s="1643"/>
      <c r="U750" s="1643"/>
      <c r="V750" s="1643"/>
      <c r="W750" s="1643"/>
      <c r="X750" s="1643"/>
      <c r="Y750" s="1643"/>
      <c r="Z750" s="1643"/>
      <c r="AA750" s="1643"/>
      <c r="AB750" s="1643"/>
      <c r="AC750" s="1643"/>
      <c r="AD750" s="1643"/>
      <c r="AE750" s="1643"/>
      <c r="AF750" s="1643"/>
      <c r="AG750" s="1643"/>
      <c r="AH750" s="1643"/>
      <c r="AI750" s="1643"/>
      <c r="AJ750" s="1643"/>
      <c r="AK750" s="1643"/>
      <c r="AL750" s="1643"/>
      <c r="AM750" s="1643"/>
    </row>
    <row r="751" spans="1:39" ht="15.75" customHeight="1" x14ac:dyDescent="0.3">
      <c r="A751" s="1643"/>
      <c r="B751" s="1643"/>
      <c r="C751" s="1643"/>
      <c r="D751" s="1643"/>
      <c r="E751" s="1643"/>
      <c r="F751" s="1643"/>
      <c r="G751" s="1643"/>
      <c r="H751" s="1643"/>
      <c r="I751" s="1643"/>
      <c r="J751" s="1643"/>
      <c r="K751" s="1643"/>
      <c r="L751" s="1643"/>
      <c r="M751" s="1643"/>
      <c r="N751" s="1643"/>
      <c r="O751" s="1643"/>
      <c r="P751" s="1643"/>
      <c r="Q751" s="1643"/>
      <c r="R751" s="1643"/>
      <c r="S751" s="1643"/>
      <c r="T751" s="1643"/>
      <c r="U751" s="1643"/>
      <c r="V751" s="1643"/>
      <c r="W751" s="1643"/>
      <c r="X751" s="1643"/>
      <c r="Y751" s="1643"/>
      <c r="Z751" s="1643"/>
      <c r="AA751" s="1643"/>
      <c r="AB751" s="1643"/>
      <c r="AC751" s="1643"/>
      <c r="AD751" s="1643"/>
      <c r="AE751" s="1643"/>
      <c r="AF751" s="1643"/>
      <c r="AG751" s="1643"/>
      <c r="AH751" s="1643"/>
      <c r="AI751" s="1643"/>
      <c r="AJ751" s="1643"/>
      <c r="AK751" s="1643"/>
      <c r="AL751" s="1643"/>
      <c r="AM751" s="1643"/>
    </row>
    <row r="752" spans="1:39" ht="15.75" customHeight="1" x14ac:dyDescent="0.3">
      <c r="A752" s="1643"/>
      <c r="B752" s="1643"/>
      <c r="C752" s="1643"/>
      <c r="D752" s="1643"/>
      <c r="E752" s="1643"/>
      <c r="F752" s="1643"/>
      <c r="G752" s="1643"/>
      <c r="H752" s="1643"/>
      <c r="I752" s="1643"/>
      <c r="J752" s="1643"/>
      <c r="K752" s="1643"/>
      <c r="L752" s="1643"/>
      <c r="M752" s="1643"/>
      <c r="N752" s="1643"/>
      <c r="O752" s="1643"/>
      <c r="P752" s="1643"/>
      <c r="Q752" s="1643"/>
      <c r="R752" s="1643"/>
      <c r="S752" s="1643"/>
      <c r="T752" s="1643"/>
      <c r="U752" s="1643"/>
      <c r="V752" s="1643"/>
      <c r="W752" s="1643"/>
      <c r="X752" s="1643"/>
      <c r="Y752" s="1643"/>
      <c r="Z752" s="1643"/>
      <c r="AA752" s="1643"/>
      <c r="AB752" s="1643"/>
      <c r="AC752" s="1643"/>
      <c r="AD752" s="1643"/>
      <c r="AE752" s="1643"/>
      <c r="AF752" s="1643"/>
      <c r="AG752" s="1643"/>
      <c r="AH752" s="1643"/>
      <c r="AI752" s="1643"/>
      <c r="AJ752" s="1643"/>
      <c r="AK752" s="1643"/>
      <c r="AL752" s="1643"/>
      <c r="AM752" s="1643"/>
    </row>
    <row r="753" spans="1:39" ht="15.75" customHeight="1" x14ac:dyDescent="0.3">
      <c r="A753" s="1643"/>
      <c r="B753" s="1643"/>
      <c r="C753" s="1643"/>
      <c r="D753" s="1643"/>
      <c r="E753" s="1643"/>
      <c r="F753" s="1643"/>
      <c r="G753" s="1643"/>
      <c r="H753" s="1643"/>
      <c r="I753" s="1643"/>
      <c r="J753" s="1643"/>
      <c r="K753" s="1643"/>
      <c r="L753" s="1643"/>
      <c r="M753" s="1643"/>
      <c r="N753" s="1643"/>
      <c r="O753" s="1643"/>
      <c r="P753" s="1643"/>
      <c r="Q753" s="1643"/>
      <c r="R753" s="1643"/>
      <c r="S753" s="1643"/>
      <c r="T753" s="1643"/>
      <c r="U753" s="1643"/>
      <c r="V753" s="1643"/>
      <c r="W753" s="1643"/>
      <c r="X753" s="1643"/>
      <c r="Y753" s="1643"/>
      <c r="Z753" s="1643"/>
      <c r="AA753" s="1643"/>
      <c r="AB753" s="1643"/>
      <c r="AC753" s="1643"/>
      <c r="AD753" s="1643"/>
      <c r="AE753" s="1643"/>
      <c r="AF753" s="1643"/>
      <c r="AG753" s="1643"/>
      <c r="AH753" s="1643"/>
      <c r="AI753" s="1643"/>
      <c r="AJ753" s="1643"/>
      <c r="AK753" s="1643"/>
      <c r="AL753" s="1643"/>
      <c r="AM753" s="1643"/>
    </row>
    <row r="754" spans="1:39" ht="15.75" customHeight="1" x14ac:dyDescent="0.3">
      <c r="A754" s="1643"/>
      <c r="B754" s="1643"/>
      <c r="C754" s="1643"/>
      <c r="D754" s="1643"/>
      <c r="E754" s="1643"/>
      <c r="F754" s="1643"/>
      <c r="G754" s="1643"/>
      <c r="H754" s="1643"/>
      <c r="I754" s="1643"/>
      <c r="J754" s="1643"/>
      <c r="K754" s="1643"/>
      <c r="L754" s="1643"/>
      <c r="M754" s="1643"/>
      <c r="N754" s="1643"/>
      <c r="O754" s="1643"/>
      <c r="P754" s="1643"/>
      <c r="Q754" s="1643"/>
      <c r="R754" s="1643"/>
      <c r="S754" s="1643"/>
      <c r="T754" s="1643"/>
      <c r="U754" s="1643"/>
      <c r="V754" s="1643"/>
      <c r="W754" s="1643"/>
      <c r="X754" s="1643"/>
      <c r="Y754" s="1643"/>
      <c r="Z754" s="1643"/>
      <c r="AA754" s="1643"/>
      <c r="AB754" s="1643"/>
      <c r="AC754" s="1643"/>
      <c r="AD754" s="1643"/>
      <c r="AE754" s="1643"/>
      <c r="AF754" s="1643"/>
      <c r="AG754" s="1643"/>
      <c r="AH754" s="1643"/>
      <c r="AI754" s="1643"/>
      <c r="AJ754" s="1643"/>
      <c r="AK754" s="1643"/>
      <c r="AL754" s="1643"/>
      <c r="AM754" s="1643"/>
    </row>
    <row r="755" spans="1:39" ht="15.75" customHeight="1" x14ac:dyDescent="0.3">
      <c r="A755" s="1643"/>
      <c r="B755" s="1643"/>
      <c r="C755" s="1643"/>
      <c r="D755" s="1643"/>
      <c r="E755" s="1643"/>
      <c r="F755" s="1643"/>
      <c r="G755" s="1643"/>
      <c r="H755" s="1643"/>
      <c r="I755" s="1643"/>
      <c r="J755" s="1643"/>
      <c r="K755" s="1643"/>
      <c r="L755" s="1643"/>
      <c r="M755" s="1643"/>
      <c r="N755" s="1643"/>
      <c r="O755" s="1643"/>
      <c r="P755" s="1643"/>
      <c r="Q755" s="1643"/>
      <c r="R755" s="1643"/>
      <c r="S755" s="1643"/>
      <c r="T755" s="1643"/>
      <c r="U755" s="1643"/>
      <c r="V755" s="1643"/>
      <c r="W755" s="1643"/>
      <c r="X755" s="1643"/>
      <c r="Y755" s="1643"/>
      <c r="Z755" s="1643"/>
      <c r="AA755" s="1643"/>
      <c r="AB755" s="1643"/>
      <c r="AC755" s="1643"/>
      <c r="AD755" s="1643"/>
      <c r="AE755" s="1643"/>
      <c r="AF755" s="1643"/>
      <c r="AG755" s="1643"/>
      <c r="AH755" s="1643"/>
      <c r="AI755" s="1643"/>
      <c r="AJ755" s="1643"/>
      <c r="AK755" s="1643"/>
      <c r="AL755" s="1643"/>
      <c r="AM755" s="1643"/>
    </row>
    <row r="756" spans="1:39" ht="15.75" customHeight="1" x14ac:dyDescent="0.3">
      <c r="A756" s="1643"/>
      <c r="B756" s="1643"/>
      <c r="C756" s="1643"/>
      <c r="D756" s="1643"/>
      <c r="E756" s="1643"/>
      <c r="F756" s="1643"/>
      <c r="G756" s="1643"/>
      <c r="H756" s="1643"/>
      <c r="I756" s="1643"/>
      <c r="J756" s="1643"/>
      <c r="K756" s="1643"/>
      <c r="L756" s="1643"/>
      <c r="M756" s="1643"/>
      <c r="N756" s="1643"/>
      <c r="O756" s="1643"/>
      <c r="P756" s="1643"/>
      <c r="Q756" s="1643"/>
      <c r="R756" s="1643"/>
      <c r="S756" s="1643"/>
      <c r="T756" s="1643"/>
      <c r="U756" s="1643"/>
      <c r="V756" s="1643"/>
      <c r="W756" s="1643"/>
      <c r="X756" s="1643"/>
      <c r="Y756" s="1643"/>
      <c r="Z756" s="1643"/>
      <c r="AA756" s="1643"/>
      <c r="AB756" s="1643"/>
      <c r="AC756" s="1643"/>
      <c r="AD756" s="1643"/>
      <c r="AE756" s="1643"/>
      <c r="AF756" s="1643"/>
      <c r="AG756" s="1643"/>
      <c r="AH756" s="1643"/>
      <c r="AI756" s="1643"/>
      <c r="AJ756" s="1643"/>
      <c r="AK756" s="1643"/>
      <c r="AL756" s="1643"/>
      <c r="AM756" s="1643"/>
    </row>
    <row r="757" spans="1:39" ht="15.75" customHeight="1" x14ac:dyDescent="0.3">
      <c r="A757" s="1643"/>
      <c r="B757" s="1643"/>
      <c r="C757" s="1643"/>
      <c r="D757" s="1643"/>
      <c r="E757" s="1643"/>
      <c r="F757" s="1643"/>
      <c r="G757" s="1643"/>
      <c r="H757" s="1643"/>
      <c r="I757" s="1643"/>
      <c r="J757" s="1643"/>
      <c r="K757" s="1643"/>
      <c r="L757" s="1643"/>
      <c r="M757" s="1643"/>
      <c r="N757" s="1643"/>
      <c r="O757" s="1643"/>
      <c r="P757" s="1643"/>
      <c r="Q757" s="1643"/>
      <c r="R757" s="1643"/>
      <c r="S757" s="1643"/>
      <c r="T757" s="1643"/>
      <c r="U757" s="1643"/>
      <c r="V757" s="1643"/>
      <c r="W757" s="1643"/>
      <c r="X757" s="1643"/>
      <c r="Y757" s="1643"/>
      <c r="Z757" s="1643"/>
      <c r="AA757" s="1643"/>
      <c r="AB757" s="1643"/>
      <c r="AC757" s="1643"/>
      <c r="AD757" s="1643"/>
      <c r="AE757" s="1643"/>
      <c r="AF757" s="1643"/>
      <c r="AG757" s="1643"/>
      <c r="AH757" s="1643"/>
      <c r="AI757" s="1643"/>
      <c r="AJ757" s="1643"/>
      <c r="AK757" s="1643"/>
      <c r="AL757" s="1643"/>
      <c r="AM757" s="1643"/>
    </row>
    <row r="758" spans="1:39" ht="15.75" customHeight="1" x14ac:dyDescent="0.3">
      <c r="A758" s="1643"/>
      <c r="B758" s="1643"/>
      <c r="C758" s="1643"/>
      <c r="D758" s="1643"/>
      <c r="E758" s="1643"/>
      <c r="F758" s="1643"/>
      <c r="G758" s="1643"/>
      <c r="H758" s="1643"/>
      <c r="I758" s="1643"/>
      <c r="J758" s="1643"/>
      <c r="K758" s="1643"/>
      <c r="L758" s="1643"/>
      <c r="M758" s="1643"/>
      <c r="N758" s="1643"/>
      <c r="O758" s="1643"/>
      <c r="P758" s="1643"/>
      <c r="Q758" s="1643"/>
      <c r="R758" s="1643"/>
      <c r="S758" s="1643"/>
      <c r="T758" s="1643"/>
      <c r="U758" s="1643"/>
      <c r="V758" s="1643"/>
      <c r="W758" s="1643"/>
      <c r="X758" s="1643"/>
      <c r="Y758" s="1643"/>
      <c r="Z758" s="1643"/>
      <c r="AA758" s="1643"/>
      <c r="AB758" s="1643"/>
      <c r="AC758" s="1643"/>
      <c r="AD758" s="1643"/>
      <c r="AE758" s="1643"/>
      <c r="AF758" s="1643"/>
      <c r="AG758" s="1643"/>
      <c r="AH758" s="1643"/>
      <c r="AI758" s="1643"/>
      <c r="AJ758" s="1643"/>
      <c r="AK758" s="1643"/>
      <c r="AL758" s="1643"/>
      <c r="AM758" s="1643"/>
    </row>
    <row r="759" spans="1:39" ht="15.75" customHeight="1" x14ac:dyDescent="0.3">
      <c r="A759" s="1643"/>
      <c r="B759" s="1643"/>
      <c r="C759" s="1643"/>
      <c r="D759" s="1643"/>
      <c r="E759" s="1643"/>
      <c r="F759" s="1643"/>
      <c r="G759" s="1643"/>
      <c r="H759" s="1643"/>
      <c r="I759" s="1643"/>
      <c r="J759" s="1643"/>
      <c r="K759" s="1643"/>
      <c r="L759" s="1643"/>
      <c r="M759" s="1643"/>
      <c r="N759" s="1643"/>
      <c r="O759" s="1643"/>
      <c r="P759" s="1643"/>
      <c r="Q759" s="1643"/>
      <c r="R759" s="1643"/>
      <c r="S759" s="1643"/>
      <c r="T759" s="1643"/>
      <c r="U759" s="1643"/>
      <c r="V759" s="1643"/>
      <c r="W759" s="1643"/>
      <c r="X759" s="1643"/>
      <c r="Y759" s="1643"/>
      <c r="Z759" s="1643"/>
      <c r="AA759" s="1643"/>
      <c r="AB759" s="1643"/>
      <c r="AC759" s="1643"/>
      <c r="AD759" s="1643"/>
      <c r="AE759" s="1643"/>
      <c r="AF759" s="1643"/>
      <c r="AG759" s="1643"/>
      <c r="AH759" s="1643"/>
      <c r="AI759" s="1643"/>
      <c r="AJ759" s="1643"/>
      <c r="AK759" s="1643"/>
      <c r="AL759" s="1643"/>
      <c r="AM759" s="1643"/>
    </row>
    <row r="760" spans="1:39" ht="15.75" customHeight="1" x14ac:dyDescent="0.3">
      <c r="A760" s="1643"/>
      <c r="B760" s="1643"/>
      <c r="C760" s="1643"/>
      <c r="D760" s="1643"/>
      <c r="E760" s="1643"/>
      <c r="F760" s="1643"/>
      <c r="G760" s="1643"/>
      <c r="H760" s="1643"/>
      <c r="I760" s="1643"/>
      <c r="J760" s="1643"/>
      <c r="K760" s="1643"/>
      <c r="L760" s="1643"/>
      <c r="M760" s="1643"/>
      <c r="N760" s="1643"/>
      <c r="O760" s="1643"/>
      <c r="P760" s="1643"/>
      <c r="Q760" s="1643"/>
      <c r="R760" s="1643"/>
      <c r="S760" s="1643"/>
      <c r="T760" s="1643"/>
      <c r="U760" s="1643"/>
      <c r="V760" s="1643"/>
      <c r="W760" s="1643"/>
      <c r="X760" s="1643"/>
      <c r="Y760" s="1643"/>
      <c r="Z760" s="1643"/>
      <c r="AA760" s="1643"/>
      <c r="AB760" s="1643"/>
      <c r="AC760" s="1643"/>
      <c r="AD760" s="1643"/>
      <c r="AE760" s="1643"/>
      <c r="AF760" s="1643"/>
      <c r="AG760" s="1643"/>
      <c r="AH760" s="1643"/>
      <c r="AI760" s="1643"/>
      <c r="AJ760" s="1643"/>
      <c r="AK760" s="1643"/>
      <c r="AL760" s="1643"/>
      <c r="AM760" s="1643"/>
    </row>
    <row r="761" spans="1:39" ht="15.75" customHeight="1" x14ac:dyDescent="0.3">
      <c r="A761" s="1643"/>
      <c r="B761" s="1643"/>
      <c r="C761" s="1643"/>
      <c r="D761" s="1643"/>
      <c r="E761" s="1643"/>
      <c r="F761" s="1643"/>
      <c r="G761" s="1643"/>
      <c r="H761" s="1643"/>
      <c r="I761" s="1643"/>
      <c r="J761" s="1643"/>
      <c r="K761" s="1643"/>
      <c r="L761" s="1643"/>
      <c r="M761" s="1643"/>
      <c r="N761" s="1643"/>
      <c r="O761" s="1643"/>
      <c r="P761" s="1643"/>
      <c r="Q761" s="1643"/>
      <c r="R761" s="1643"/>
      <c r="S761" s="1643"/>
      <c r="T761" s="1643"/>
      <c r="U761" s="1643"/>
      <c r="V761" s="1643"/>
      <c r="W761" s="1643"/>
      <c r="X761" s="1643"/>
      <c r="Y761" s="1643"/>
      <c r="Z761" s="1643"/>
      <c r="AA761" s="1643"/>
      <c r="AB761" s="1643"/>
      <c r="AC761" s="1643"/>
      <c r="AD761" s="1643"/>
      <c r="AE761" s="1643"/>
      <c r="AF761" s="1643"/>
      <c r="AG761" s="1643"/>
      <c r="AH761" s="1643"/>
      <c r="AI761" s="1643"/>
      <c r="AJ761" s="1643"/>
      <c r="AK761" s="1643"/>
      <c r="AL761" s="1643"/>
      <c r="AM761" s="1643"/>
    </row>
    <row r="762" spans="1:39" ht="15.75" customHeight="1" x14ac:dyDescent="0.3">
      <c r="A762" s="1643"/>
      <c r="B762" s="1643"/>
      <c r="C762" s="1643"/>
      <c r="D762" s="1643"/>
      <c r="E762" s="1643"/>
      <c r="F762" s="1643"/>
      <c r="G762" s="1643"/>
      <c r="H762" s="1643"/>
      <c r="I762" s="1643"/>
      <c r="J762" s="1643"/>
      <c r="K762" s="1643"/>
      <c r="L762" s="1643"/>
      <c r="M762" s="1643"/>
      <c r="N762" s="1643"/>
      <c r="O762" s="1643"/>
      <c r="P762" s="1643"/>
      <c r="Q762" s="1643"/>
      <c r="R762" s="1643"/>
      <c r="S762" s="1643"/>
      <c r="T762" s="1643"/>
      <c r="U762" s="1643"/>
      <c r="V762" s="1643"/>
      <c r="W762" s="1643"/>
      <c r="X762" s="1643"/>
      <c r="Y762" s="1643"/>
      <c r="Z762" s="1643"/>
      <c r="AA762" s="1643"/>
      <c r="AB762" s="1643"/>
      <c r="AC762" s="1643"/>
      <c r="AD762" s="1643"/>
      <c r="AE762" s="1643"/>
      <c r="AF762" s="1643"/>
      <c r="AG762" s="1643"/>
      <c r="AH762" s="1643"/>
      <c r="AI762" s="1643"/>
      <c r="AJ762" s="1643"/>
      <c r="AK762" s="1643"/>
      <c r="AL762" s="1643"/>
      <c r="AM762" s="1643"/>
    </row>
    <row r="763" spans="1:39" ht="15.75" customHeight="1" x14ac:dyDescent="0.3">
      <c r="A763" s="1643"/>
      <c r="B763" s="1643"/>
      <c r="C763" s="1643"/>
      <c r="D763" s="1643"/>
      <c r="E763" s="1643"/>
      <c r="F763" s="1643"/>
      <c r="G763" s="1643"/>
      <c r="H763" s="1643"/>
      <c r="I763" s="1643"/>
      <c r="J763" s="1643"/>
      <c r="K763" s="1643"/>
      <c r="L763" s="1643"/>
      <c r="M763" s="1643"/>
      <c r="N763" s="1643"/>
      <c r="O763" s="1643"/>
      <c r="P763" s="1643"/>
      <c r="Q763" s="1643"/>
      <c r="R763" s="1643"/>
      <c r="S763" s="1643"/>
      <c r="T763" s="1643"/>
      <c r="U763" s="1643"/>
      <c r="V763" s="1643"/>
      <c r="W763" s="1643"/>
      <c r="X763" s="1643"/>
      <c r="Y763" s="1643"/>
      <c r="Z763" s="1643"/>
      <c r="AA763" s="1643"/>
      <c r="AB763" s="1643"/>
      <c r="AC763" s="1643"/>
      <c r="AD763" s="1643"/>
      <c r="AE763" s="1643"/>
      <c r="AF763" s="1643"/>
      <c r="AG763" s="1643"/>
      <c r="AH763" s="1643"/>
      <c r="AI763" s="1643"/>
      <c r="AJ763" s="1643"/>
      <c r="AK763" s="1643"/>
      <c r="AL763" s="1643"/>
      <c r="AM763" s="1643"/>
    </row>
    <row r="764" spans="1:39" ht="15.75" customHeight="1" x14ac:dyDescent="0.3">
      <c r="A764" s="1643"/>
      <c r="B764" s="1643"/>
      <c r="C764" s="1643"/>
      <c r="D764" s="1643"/>
      <c r="E764" s="1643"/>
      <c r="F764" s="1643"/>
      <c r="G764" s="1643"/>
      <c r="H764" s="1643"/>
      <c r="I764" s="1643"/>
      <c r="J764" s="1643"/>
      <c r="K764" s="1643"/>
      <c r="L764" s="1643"/>
      <c r="M764" s="1643"/>
      <c r="N764" s="1643"/>
      <c r="O764" s="1643"/>
      <c r="P764" s="1643"/>
      <c r="Q764" s="1643"/>
      <c r="R764" s="1643"/>
      <c r="S764" s="1643"/>
      <c r="T764" s="1643"/>
      <c r="U764" s="1643"/>
      <c r="V764" s="1643"/>
      <c r="W764" s="1643"/>
      <c r="X764" s="1643"/>
      <c r="Y764" s="1643"/>
      <c r="Z764" s="1643"/>
      <c r="AA764" s="1643"/>
      <c r="AB764" s="1643"/>
      <c r="AC764" s="1643"/>
      <c r="AD764" s="1643"/>
      <c r="AE764" s="1643"/>
      <c r="AF764" s="1643"/>
      <c r="AG764" s="1643"/>
      <c r="AH764" s="1643"/>
      <c r="AI764" s="1643"/>
      <c r="AJ764" s="1643"/>
      <c r="AK764" s="1643"/>
      <c r="AL764" s="1643"/>
      <c r="AM764" s="1643"/>
    </row>
    <row r="765" spans="1:39" ht="15.75" customHeight="1" x14ac:dyDescent="0.3">
      <c r="A765" s="1643"/>
      <c r="B765" s="1643"/>
      <c r="C765" s="1643"/>
      <c r="D765" s="1643"/>
      <c r="E765" s="1643"/>
      <c r="F765" s="1643"/>
      <c r="G765" s="1643"/>
      <c r="H765" s="1643"/>
      <c r="I765" s="1643"/>
      <c r="J765" s="1643"/>
      <c r="K765" s="1643"/>
      <c r="L765" s="1643"/>
      <c r="M765" s="1643"/>
      <c r="N765" s="1643"/>
      <c r="O765" s="1643"/>
      <c r="P765" s="1643"/>
      <c r="Q765" s="1643"/>
      <c r="R765" s="1643"/>
      <c r="S765" s="1643"/>
      <c r="T765" s="1643"/>
      <c r="U765" s="1643"/>
      <c r="V765" s="1643"/>
      <c r="W765" s="1643"/>
      <c r="X765" s="1643"/>
      <c r="Y765" s="1643"/>
      <c r="Z765" s="1643"/>
      <c r="AA765" s="1643"/>
      <c r="AB765" s="1643"/>
      <c r="AC765" s="1643"/>
      <c r="AD765" s="1643"/>
      <c r="AE765" s="1643"/>
      <c r="AF765" s="1643"/>
      <c r="AG765" s="1643"/>
      <c r="AH765" s="1643"/>
      <c r="AI765" s="1643"/>
      <c r="AJ765" s="1643"/>
      <c r="AK765" s="1643"/>
      <c r="AL765" s="1643"/>
      <c r="AM765" s="1643"/>
    </row>
    <row r="766" spans="1:39" ht="15.75" customHeight="1" x14ac:dyDescent="0.3">
      <c r="A766" s="1643"/>
      <c r="B766" s="1643"/>
      <c r="C766" s="1643"/>
      <c r="D766" s="1643"/>
      <c r="E766" s="1643"/>
      <c r="F766" s="1643"/>
      <c r="G766" s="1643"/>
      <c r="H766" s="1643"/>
      <c r="I766" s="1643"/>
      <c r="J766" s="1643"/>
      <c r="K766" s="1643"/>
      <c r="L766" s="1643"/>
      <c r="M766" s="1643"/>
      <c r="N766" s="1643"/>
      <c r="O766" s="1643"/>
      <c r="P766" s="1643"/>
      <c r="Q766" s="1643"/>
      <c r="R766" s="1643"/>
      <c r="S766" s="1643"/>
      <c r="T766" s="1643"/>
      <c r="U766" s="1643"/>
      <c r="V766" s="1643"/>
      <c r="W766" s="1643"/>
      <c r="X766" s="1643"/>
      <c r="Y766" s="1643"/>
      <c r="Z766" s="1643"/>
      <c r="AA766" s="1643"/>
      <c r="AB766" s="1643"/>
      <c r="AC766" s="1643"/>
      <c r="AD766" s="1643"/>
      <c r="AE766" s="1643"/>
      <c r="AF766" s="1643"/>
      <c r="AG766" s="1643"/>
      <c r="AH766" s="1643"/>
      <c r="AI766" s="1643"/>
      <c r="AJ766" s="1643"/>
      <c r="AK766" s="1643"/>
      <c r="AL766" s="1643"/>
      <c r="AM766" s="1643"/>
    </row>
    <row r="767" spans="1:39" ht="15.75" customHeight="1" x14ac:dyDescent="0.3">
      <c r="A767" s="1643"/>
      <c r="B767" s="1643"/>
      <c r="C767" s="1643"/>
      <c r="D767" s="1643"/>
      <c r="E767" s="1643"/>
      <c r="F767" s="1643"/>
      <c r="G767" s="1643"/>
      <c r="H767" s="1643"/>
      <c r="I767" s="1643"/>
      <c r="J767" s="1643"/>
      <c r="K767" s="1643"/>
      <c r="L767" s="1643"/>
      <c r="M767" s="1643"/>
      <c r="N767" s="1643"/>
      <c r="O767" s="1643"/>
      <c r="P767" s="1643"/>
      <c r="Q767" s="1643"/>
      <c r="R767" s="1643"/>
      <c r="S767" s="1643"/>
      <c r="T767" s="1643"/>
      <c r="U767" s="1643"/>
      <c r="V767" s="1643"/>
      <c r="W767" s="1643"/>
      <c r="X767" s="1643"/>
      <c r="Y767" s="1643"/>
      <c r="Z767" s="1643"/>
      <c r="AA767" s="1643"/>
      <c r="AB767" s="1643"/>
      <c r="AC767" s="1643"/>
      <c r="AD767" s="1643"/>
      <c r="AE767" s="1643"/>
      <c r="AF767" s="1643"/>
      <c r="AG767" s="1643"/>
      <c r="AH767" s="1643"/>
      <c r="AI767" s="1643"/>
      <c r="AJ767" s="1643"/>
      <c r="AK767" s="1643"/>
      <c r="AL767" s="1643"/>
      <c r="AM767" s="1643"/>
    </row>
    <row r="768" spans="1:39" ht="15.75" customHeight="1" x14ac:dyDescent="0.3">
      <c r="A768" s="1643"/>
      <c r="B768" s="1643"/>
      <c r="C768" s="1643"/>
      <c r="D768" s="1643"/>
      <c r="E768" s="1643"/>
      <c r="F768" s="1643"/>
      <c r="G768" s="1643"/>
      <c r="H768" s="1643"/>
      <c r="I768" s="1643"/>
      <c r="J768" s="1643"/>
      <c r="K768" s="1643"/>
      <c r="L768" s="1643"/>
      <c r="M768" s="1643"/>
      <c r="N768" s="1643"/>
      <c r="O768" s="1643"/>
      <c r="P768" s="1643"/>
      <c r="Q768" s="1643"/>
      <c r="R768" s="1643"/>
      <c r="S768" s="1643"/>
      <c r="T768" s="1643"/>
      <c r="U768" s="1643"/>
      <c r="V768" s="1643"/>
      <c r="W768" s="1643"/>
      <c r="X768" s="1643"/>
      <c r="Y768" s="1643"/>
      <c r="Z768" s="1643"/>
      <c r="AA768" s="1643"/>
      <c r="AB768" s="1643"/>
      <c r="AC768" s="1643"/>
      <c r="AD768" s="1643"/>
      <c r="AE768" s="1643"/>
      <c r="AF768" s="1643"/>
      <c r="AG768" s="1643"/>
      <c r="AH768" s="1643"/>
      <c r="AI768" s="1643"/>
      <c r="AJ768" s="1643"/>
      <c r="AK768" s="1643"/>
      <c r="AL768" s="1643"/>
      <c r="AM768" s="1643"/>
    </row>
    <row r="769" spans="1:39" ht="15.75" customHeight="1" x14ac:dyDescent="0.3">
      <c r="A769" s="1643"/>
      <c r="B769" s="1643"/>
      <c r="C769" s="1643"/>
      <c r="D769" s="1643"/>
      <c r="E769" s="1643"/>
      <c r="F769" s="1643"/>
      <c r="G769" s="1643"/>
      <c r="H769" s="1643"/>
      <c r="I769" s="1643"/>
      <c r="J769" s="1643"/>
      <c r="K769" s="1643"/>
      <c r="L769" s="1643"/>
      <c r="M769" s="1643"/>
      <c r="N769" s="1643"/>
      <c r="O769" s="1643"/>
      <c r="P769" s="1643"/>
      <c r="Q769" s="1643"/>
      <c r="R769" s="1643"/>
      <c r="S769" s="1643"/>
      <c r="T769" s="1643"/>
      <c r="U769" s="1643"/>
      <c r="V769" s="1643"/>
      <c r="W769" s="1643"/>
      <c r="X769" s="1643"/>
      <c r="Y769" s="1643"/>
      <c r="Z769" s="1643"/>
      <c r="AA769" s="1643"/>
      <c r="AB769" s="1643"/>
      <c r="AC769" s="1643"/>
      <c r="AD769" s="1643"/>
      <c r="AE769" s="1643"/>
      <c r="AF769" s="1643"/>
      <c r="AG769" s="1643"/>
      <c r="AH769" s="1643"/>
      <c r="AI769" s="1643"/>
      <c r="AJ769" s="1643"/>
      <c r="AK769" s="1643"/>
      <c r="AL769" s="1643"/>
      <c r="AM769" s="1643"/>
    </row>
    <row r="770" spans="1:39" ht="15.75" customHeight="1" x14ac:dyDescent="0.3">
      <c r="A770" s="1643"/>
      <c r="B770" s="1643"/>
      <c r="C770" s="1643"/>
      <c r="D770" s="1643"/>
      <c r="E770" s="1643"/>
      <c r="F770" s="1643"/>
      <c r="G770" s="1643"/>
      <c r="H770" s="1643"/>
      <c r="I770" s="1643"/>
      <c r="J770" s="1643"/>
      <c r="K770" s="1643"/>
      <c r="L770" s="1643"/>
      <c r="M770" s="1643"/>
      <c r="N770" s="1643"/>
      <c r="O770" s="1643"/>
      <c r="P770" s="1643"/>
      <c r="Q770" s="1643"/>
      <c r="R770" s="1643"/>
      <c r="S770" s="1643"/>
      <c r="T770" s="1643"/>
      <c r="U770" s="1643"/>
      <c r="V770" s="1643"/>
      <c r="W770" s="1643"/>
      <c r="X770" s="1643"/>
      <c r="Y770" s="1643"/>
      <c r="Z770" s="1643"/>
      <c r="AA770" s="1643"/>
      <c r="AB770" s="1643"/>
      <c r="AC770" s="1643"/>
      <c r="AD770" s="1643"/>
      <c r="AE770" s="1643"/>
      <c r="AF770" s="1643"/>
      <c r="AG770" s="1643"/>
      <c r="AH770" s="1643"/>
      <c r="AI770" s="1643"/>
      <c r="AJ770" s="1643"/>
      <c r="AK770" s="1643"/>
      <c r="AL770" s="1643"/>
      <c r="AM770" s="1643"/>
    </row>
    <row r="771" spans="1:39" ht="15.75" customHeight="1" x14ac:dyDescent="0.3">
      <c r="A771" s="1643"/>
      <c r="B771" s="1643"/>
      <c r="C771" s="1643"/>
      <c r="D771" s="1643"/>
      <c r="E771" s="1643"/>
      <c r="F771" s="1643"/>
      <c r="G771" s="1643"/>
      <c r="H771" s="1643"/>
      <c r="I771" s="1643"/>
      <c r="J771" s="1643"/>
      <c r="K771" s="1643"/>
      <c r="L771" s="1643"/>
      <c r="M771" s="1643"/>
      <c r="N771" s="1643"/>
      <c r="O771" s="1643"/>
      <c r="P771" s="1643"/>
      <c r="Q771" s="1643"/>
      <c r="R771" s="1643"/>
      <c r="S771" s="1643"/>
      <c r="T771" s="1643"/>
      <c r="U771" s="1643"/>
      <c r="V771" s="1643"/>
      <c r="W771" s="1643"/>
      <c r="X771" s="1643"/>
      <c r="Y771" s="1643"/>
      <c r="Z771" s="1643"/>
      <c r="AA771" s="1643"/>
      <c r="AB771" s="1643"/>
      <c r="AC771" s="1643"/>
      <c r="AD771" s="1643"/>
      <c r="AE771" s="1643"/>
      <c r="AF771" s="1643"/>
      <c r="AG771" s="1643"/>
      <c r="AH771" s="1643"/>
      <c r="AI771" s="1643"/>
      <c r="AJ771" s="1643"/>
      <c r="AK771" s="1643"/>
      <c r="AL771" s="1643"/>
      <c r="AM771" s="1643"/>
    </row>
    <row r="772" spans="1:39" ht="15.75" customHeight="1" x14ac:dyDescent="0.3">
      <c r="A772" s="1643"/>
      <c r="B772" s="1643"/>
      <c r="C772" s="1643"/>
      <c r="D772" s="1643"/>
      <c r="E772" s="1643"/>
      <c r="F772" s="1643"/>
      <c r="G772" s="1643"/>
      <c r="H772" s="1643"/>
      <c r="I772" s="1643"/>
      <c r="J772" s="1643"/>
      <c r="K772" s="1643"/>
      <c r="L772" s="1643"/>
      <c r="M772" s="1643"/>
      <c r="N772" s="1643"/>
      <c r="O772" s="1643"/>
      <c r="P772" s="1643"/>
      <c r="Q772" s="1643"/>
      <c r="R772" s="1643"/>
      <c r="S772" s="1643"/>
      <c r="T772" s="1643"/>
      <c r="U772" s="1643"/>
      <c r="V772" s="1643"/>
      <c r="W772" s="1643"/>
      <c r="X772" s="1643"/>
      <c r="Y772" s="1643"/>
      <c r="Z772" s="1643"/>
      <c r="AA772" s="1643"/>
      <c r="AB772" s="1643"/>
      <c r="AC772" s="1643"/>
      <c r="AD772" s="1643"/>
      <c r="AE772" s="1643"/>
      <c r="AF772" s="1643"/>
      <c r="AG772" s="1643"/>
      <c r="AH772" s="1643"/>
      <c r="AI772" s="1643"/>
      <c r="AJ772" s="1643"/>
      <c r="AK772" s="1643"/>
      <c r="AL772" s="1643"/>
      <c r="AM772" s="1643"/>
    </row>
    <row r="773" spans="1:39" ht="15.75" customHeight="1" x14ac:dyDescent="0.3">
      <c r="A773" s="1643"/>
      <c r="B773" s="1643"/>
      <c r="C773" s="1643"/>
      <c r="D773" s="1643"/>
      <c r="E773" s="1643"/>
      <c r="F773" s="1643"/>
      <c r="G773" s="1643"/>
      <c r="H773" s="1643"/>
      <c r="I773" s="1643"/>
      <c r="J773" s="1643"/>
      <c r="K773" s="1643"/>
      <c r="L773" s="1643"/>
      <c r="M773" s="1643"/>
      <c r="N773" s="1643"/>
      <c r="O773" s="1643"/>
      <c r="P773" s="1643"/>
      <c r="Q773" s="1643"/>
      <c r="R773" s="1643"/>
      <c r="S773" s="1643"/>
      <c r="T773" s="1643"/>
      <c r="U773" s="1643"/>
      <c r="V773" s="1643"/>
      <c r="W773" s="1643"/>
      <c r="X773" s="1643"/>
      <c r="Y773" s="1643"/>
      <c r="Z773" s="1643"/>
      <c r="AA773" s="1643"/>
      <c r="AB773" s="1643"/>
      <c r="AC773" s="1643"/>
      <c r="AD773" s="1643"/>
      <c r="AE773" s="1643"/>
      <c r="AF773" s="1643"/>
      <c r="AG773" s="1643"/>
      <c r="AH773" s="1643"/>
      <c r="AI773" s="1643"/>
      <c r="AJ773" s="1643"/>
      <c r="AK773" s="1643"/>
      <c r="AL773" s="1643"/>
      <c r="AM773" s="1643"/>
    </row>
    <row r="774" spans="1:39" ht="15.75" customHeight="1" x14ac:dyDescent="0.3">
      <c r="A774" s="1643"/>
      <c r="B774" s="1643"/>
      <c r="C774" s="1643"/>
      <c r="D774" s="1643"/>
      <c r="E774" s="1643"/>
      <c r="F774" s="1643"/>
      <c r="G774" s="1643"/>
      <c r="H774" s="1643"/>
      <c r="I774" s="1643"/>
      <c r="J774" s="1643"/>
      <c r="K774" s="1643"/>
      <c r="L774" s="1643"/>
      <c r="M774" s="1643"/>
      <c r="N774" s="1643"/>
      <c r="O774" s="1643"/>
      <c r="P774" s="1643"/>
      <c r="Q774" s="1643"/>
      <c r="R774" s="1643"/>
      <c r="S774" s="1643"/>
      <c r="T774" s="1643"/>
      <c r="U774" s="1643"/>
      <c r="V774" s="1643"/>
      <c r="W774" s="1643"/>
      <c r="X774" s="1643"/>
      <c r="Y774" s="1643"/>
      <c r="Z774" s="1643"/>
      <c r="AA774" s="1643"/>
      <c r="AB774" s="1643"/>
      <c r="AC774" s="1643"/>
      <c r="AD774" s="1643"/>
      <c r="AE774" s="1643"/>
      <c r="AF774" s="1643"/>
      <c r="AG774" s="1643"/>
      <c r="AH774" s="1643"/>
      <c r="AI774" s="1643"/>
      <c r="AJ774" s="1643"/>
      <c r="AK774" s="1643"/>
      <c r="AL774" s="1643"/>
      <c r="AM774" s="1643"/>
    </row>
    <row r="775" spans="1:39" ht="15.75" customHeight="1" x14ac:dyDescent="0.3">
      <c r="A775" s="1643"/>
      <c r="B775" s="1643"/>
      <c r="C775" s="1643"/>
      <c r="D775" s="1643"/>
      <c r="E775" s="1643"/>
      <c r="F775" s="1643"/>
      <c r="G775" s="1643"/>
      <c r="H775" s="1643"/>
      <c r="I775" s="1643"/>
      <c r="J775" s="1643"/>
      <c r="K775" s="1643"/>
      <c r="L775" s="1643"/>
      <c r="M775" s="1643"/>
      <c r="N775" s="1643"/>
      <c r="O775" s="1643"/>
      <c r="P775" s="1643"/>
      <c r="Q775" s="1643"/>
      <c r="R775" s="1643"/>
      <c r="S775" s="1643"/>
      <c r="T775" s="1643"/>
      <c r="U775" s="1643"/>
      <c r="V775" s="1643"/>
      <c r="W775" s="1643"/>
      <c r="X775" s="1643"/>
      <c r="Y775" s="1643"/>
      <c r="Z775" s="1643"/>
      <c r="AA775" s="1643"/>
      <c r="AB775" s="1643"/>
      <c r="AC775" s="1643"/>
      <c r="AD775" s="1643"/>
      <c r="AE775" s="1643"/>
      <c r="AF775" s="1643"/>
      <c r="AG775" s="1643"/>
      <c r="AH775" s="1643"/>
      <c r="AI775" s="1643"/>
      <c r="AJ775" s="1643"/>
      <c r="AK775" s="1643"/>
      <c r="AL775" s="1643"/>
      <c r="AM775" s="1643"/>
    </row>
    <row r="776" spans="1:39" ht="15.75" customHeight="1" x14ac:dyDescent="0.3">
      <c r="A776" s="1643"/>
      <c r="B776" s="1643"/>
      <c r="C776" s="1643"/>
      <c r="D776" s="1643"/>
      <c r="E776" s="1643"/>
      <c r="F776" s="1643"/>
      <c r="G776" s="1643"/>
      <c r="H776" s="1643"/>
      <c r="I776" s="1643"/>
      <c r="J776" s="1643"/>
      <c r="K776" s="1643"/>
      <c r="L776" s="1643"/>
      <c r="M776" s="1643"/>
      <c r="N776" s="1643"/>
      <c r="O776" s="1643"/>
      <c r="P776" s="1643"/>
      <c r="Q776" s="1643"/>
      <c r="R776" s="1643"/>
      <c r="S776" s="1643"/>
      <c r="T776" s="1643"/>
      <c r="U776" s="1643"/>
      <c r="V776" s="1643"/>
      <c r="W776" s="1643"/>
      <c r="X776" s="1643"/>
      <c r="Y776" s="1643"/>
      <c r="Z776" s="1643"/>
      <c r="AA776" s="1643"/>
      <c r="AB776" s="1643"/>
      <c r="AC776" s="1643"/>
      <c r="AD776" s="1643"/>
      <c r="AE776" s="1643"/>
      <c r="AF776" s="1643"/>
      <c r="AG776" s="1643"/>
      <c r="AH776" s="1643"/>
      <c r="AI776" s="1643"/>
      <c r="AJ776" s="1643"/>
      <c r="AK776" s="1643"/>
      <c r="AL776" s="1643"/>
      <c r="AM776" s="1643"/>
    </row>
    <row r="777" spans="1:39" ht="15.75" customHeight="1" x14ac:dyDescent="0.3">
      <c r="A777" s="1643"/>
      <c r="B777" s="1643"/>
      <c r="C777" s="1643"/>
      <c r="D777" s="1643"/>
      <c r="E777" s="1643"/>
      <c r="F777" s="1643"/>
      <c r="G777" s="1643"/>
      <c r="H777" s="1643"/>
      <c r="I777" s="1643"/>
      <c r="J777" s="1643"/>
      <c r="K777" s="1643"/>
      <c r="L777" s="1643"/>
      <c r="M777" s="1643"/>
      <c r="N777" s="1643"/>
      <c r="O777" s="1643"/>
      <c r="P777" s="1643"/>
      <c r="Q777" s="1643"/>
      <c r="R777" s="1643"/>
      <c r="S777" s="1643"/>
      <c r="T777" s="1643"/>
      <c r="U777" s="1643"/>
      <c r="V777" s="1643"/>
      <c r="W777" s="1643"/>
      <c r="X777" s="1643"/>
      <c r="Y777" s="1643"/>
      <c r="Z777" s="1643"/>
      <c r="AA777" s="1643"/>
      <c r="AB777" s="1643"/>
      <c r="AC777" s="1643"/>
      <c r="AD777" s="1643"/>
      <c r="AE777" s="1643"/>
      <c r="AF777" s="1643"/>
      <c r="AG777" s="1643"/>
      <c r="AH777" s="1643"/>
      <c r="AI777" s="1643"/>
      <c r="AJ777" s="1643"/>
      <c r="AK777" s="1643"/>
      <c r="AL777" s="1643"/>
      <c r="AM777" s="1643"/>
    </row>
    <row r="778" spans="1:39" ht="15.75" customHeight="1" x14ac:dyDescent="0.3">
      <c r="A778" s="1643"/>
      <c r="B778" s="1643"/>
      <c r="C778" s="1643"/>
      <c r="D778" s="1643"/>
      <c r="E778" s="1643"/>
      <c r="F778" s="1643"/>
      <c r="G778" s="1643"/>
      <c r="H778" s="1643"/>
      <c r="I778" s="1643"/>
      <c r="J778" s="1643"/>
      <c r="K778" s="1643"/>
      <c r="L778" s="1643"/>
      <c r="M778" s="1643"/>
      <c r="N778" s="1643"/>
      <c r="O778" s="1643"/>
      <c r="P778" s="1643"/>
      <c r="Q778" s="1643"/>
      <c r="R778" s="1643"/>
      <c r="S778" s="1643"/>
      <c r="T778" s="1643"/>
      <c r="U778" s="1643"/>
      <c r="V778" s="1643"/>
      <c r="W778" s="1643"/>
      <c r="X778" s="1643"/>
      <c r="Y778" s="1643"/>
      <c r="Z778" s="1643"/>
      <c r="AA778" s="1643"/>
      <c r="AB778" s="1643"/>
      <c r="AC778" s="1643"/>
      <c r="AD778" s="1643"/>
      <c r="AE778" s="1643"/>
      <c r="AF778" s="1643"/>
      <c r="AG778" s="1643"/>
      <c r="AH778" s="1643"/>
      <c r="AI778" s="1643"/>
      <c r="AJ778" s="1643"/>
      <c r="AK778" s="1643"/>
      <c r="AL778" s="1643"/>
      <c r="AM778" s="1643"/>
    </row>
    <row r="779" spans="1:39" ht="15.75" customHeight="1" x14ac:dyDescent="0.3">
      <c r="A779" s="1643"/>
      <c r="B779" s="1643"/>
      <c r="C779" s="1643"/>
      <c r="D779" s="1643"/>
      <c r="E779" s="1643"/>
      <c r="F779" s="1643"/>
      <c r="G779" s="1643"/>
      <c r="H779" s="1643"/>
      <c r="I779" s="1643"/>
      <c r="J779" s="1643"/>
      <c r="K779" s="1643"/>
      <c r="L779" s="1643"/>
      <c r="M779" s="1643"/>
      <c r="N779" s="1643"/>
      <c r="O779" s="1643"/>
      <c r="P779" s="1643"/>
      <c r="Q779" s="1643"/>
      <c r="R779" s="1643"/>
      <c r="S779" s="1643"/>
      <c r="T779" s="1643"/>
      <c r="U779" s="1643"/>
      <c r="V779" s="1643"/>
      <c r="W779" s="1643"/>
      <c r="X779" s="1643"/>
      <c r="Y779" s="1643"/>
      <c r="Z779" s="1643"/>
      <c r="AA779" s="1643"/>
      <c r="AB779" s="1643"/>
      <c r="AC779" s="1643"/>
      <c r="AD779" s="1643"/>
      <c r="AE779" s="1643"/>
      <c r="AF779" s="1643"/>
      <c r="AG779" s="1643"/>
      <c r="AH779" s="1643"/>
      <c r="AI779" s="1643"/>
      <c r="AJ779" s="1643"/>
      <c r="AK779" s="1643"/>
      <c r="AL779" s="1643"/>
      <c r="AM779" s="1643"/>
    </row>
    <row r="780" spans="1:39" ht="15.75" customHeight="1" x14ac:dyDescent="0.3">
      <c r="A780" s="1643"/>
      <c r="B780" s="1643"/>
      <c r="C780" s="1643"/>
      <c r="D780" s="1643"/>
      <c r="E780" s="1643"/>
      <c r="F780" s="1643"/>
      <c r="G780" s="1643"/>
      <c r="H780" s="1643"/>
      <c r="I780" s="1643"/>
      <c r="J780" s="1643"/>
      <c r="K780" s="1643"/>
      <c r="L780" s="1643"/>
      <c r="M780" s="1643"/>
      <c r="N780" s="1643"/>
      <c r="O780" s="1643"/>
      <c r="P780" s="1643"/>
      <c r="Q780" s="1643"/>
      <c r="R780" s="1643"/>
      <c r="S780" s="1643"/>
      <c r="T780" s="1643"/>
      <c r="U780" s="1643"/>
      <c r="V780" s="1643"/>
      <c r="W780" s="1643"/>
      <c r="X780" s="1643"/>
      <c r="Y780" s="1643"/>
      <c r="Z780" s="1643"/>
      <c r="AA780" s="1643"/>
      <c r="AB780" s="1643"/>
      <c r="AC780" s="1643"/>
      <c r="AD780" s="1643"/>
      <c r="AE780" s="1643"/>
      <c r="AF780" s="1643"/>
      <c r="AG780" s="1643"/>
      <c r="AH780" s="1643"/>
      <c r="AI780" s="1643"/>
      <c r="AJ780" s="1643"/>
      <c r="AK780" s="1643"/>
      <c r="AL780" s="1643"/>
      <c r="AM780" s="1643"/>
    </row>
    <row r="781" spans="1:39" ht="15.75" customHeight="1" x14ac:dyDescent="0.3">
      <c r="A781" s="1643"/>
      <c r="B781" s="1643"/>
      <c r="C781" s="1643"/>
      <c r="D781" s="1643"/>
      <c r="E781" s="1643"/>
      <c r="F781" s="1643"/>
      <c r="G781" s="1643"/>
      <c r="H781" s="1643"/>
      <c r="I781" s="1643"/>
      <c r="J781" s="1643"/>
      <c r="K781" s="1643"/>
      <c r="L781" s="1643"/>
      <c r="M781" s="1643"/>
      <c r="N781" s="1643"/>
      <c r="O781" s="1643"/>
      <c r="P781" s="1643"/>
      <c r="Q781" s="1643"/>
      <c r="R781" s="1643"/>
      <c r="S781" s="1643"/>
      <c r="T781" s="1643"/>
      <c r="U781" s="1643"/>
      <c r="V781" s="1643"/>
      <c r="W781" s="1643"/>
      <c r="X781" s="1643"/>
      <c r="Y781" s="1643"/>
      <c r="Z781" s="1643"/>
      <c r="AA781" s="1643"/>
      <c r="AB781" s="1643"/>
      <c r="AC781" s="1643"/>
      <c r="AD781" s="1643"/>
      <c r="AE781" s="1643"/>
      <c r="AF781" s="1643"/>
      <c r="AG781" s="1643"/>
      <c r="AH781" s="1643"/>
      <c r="AI781" s="1643"/>
      <c r="AJ781" s="1643"/>
      <c r="AK781" s="1643"/>
      <c r="AL781" s="1643"/>
      <c r="AM781" s="1643"/>
    </row>
    <row r="782" spans="1:39" ht="15.75" customHeight="1" x14ac:dyDescent="0.3">
      <c r="A782" s="1643"/>
      <c r="B782" s="1643"/>
      <c r="C782" s="1643"/>
      <c r="D782" s="1643"/>
      <c r="E782" s="1643"/>
      <c r="F782" s="1643"/>
      <c r="G782" s="1643"/>
      <c r="H782" s="1643"/>
      <c r="I782" s="1643"/>
      <c r="J782" s="1643"/>
      <c r="K782" s="1643"/>
      <c r="L782" s="1643"/>
      <c r="M782" s="1643"/>
      <c r="N782" s="1643"/>
      <c r="O782" s="1643"/>
      <c r="P782" s="1643"/>
      <c r="Q782" s="1643"/>
      <c r="R782" s="1643"/>
      <c r="S782" s="1643"/>
      <c r="T782" s="1643"/>
      <c r="U782" s="1643"/>
      <c r="V782" s="1643"/>
      <c r="W782" s="1643"/>
      <c r="X782" s="1643"/>
      <c r="Y782" s="1643"/>
      <c r="Z782" s="1643"/>
      <c r="AA782" s="1643"/>
      <c r="AB782" s="1643"/>
      <c r="AC782" s="1643"/>
      <c r="AD782" s="1643"/>
      <c r="AE782" s="1643"/>
      <c r="AF782" s="1643"/>
      <c r="AG782" s="1643"/>
      <c r="AH782" s="1643"/>
      <c r="AI782" s="1643"/>
      <c r="AJ782" s="1643"/>
      <c r="AK782" s="1643"/>
      <c r="AL782" s="1643"/>
      <c r="AM782" s="1643"/>
    </row>
    <row r="783" spans="1:39" ht="15.75" customHeight="1" x14ac:dyDescent="0.3">
      <c r="A783" s="1643"/>
      <c r="B783" s="1643"/>
      <c r="C783" s="1643"/>
      <c r="D783" s="1643"/>
      <c r="E783" s="1643"/>
      <c r="F783" s="1643"/>
      <c r="G783" s="1643"/>
      <c r="H783" s="1643"/>
      <c r="I783" s="1643"/>
      <c r="J783" s="1643"/>
      <c r="K783" s="1643"/>
      <c r="L783" s="1643"/>
      <c r="M783" s="1643"/>
      <c r="N783" s="1643"/>
      <c r="O783" s="1643"/>
      <c r="P783" s="1643"/>
      <c r="Q783" s="1643"/>
      <c r="R783" s="1643"/>
      <c r="S783" s="1643"/>
      <c r="T783" s="1643"/>
      <c r="U783" s="1643"/>
      <c r="V783" s="1643"/>
      <c r="W783" s="1643"/>
      <c r="X783" s="1643"/>
      <c r="Y783" s="1643"/>
      <c r="Z783" s="1643"/>
      <c r="AA783" s="1643"/>
      <c r="AB783" s="1643"/>
      <c r="AC783" s="1643"/>
      <c r="AD783" s="1643"/>
      <c r="AE783" s="1643"/>
      <c r="AF783" s="1643"/>
      <c r="AG783" s="1643"/>
      <c r="AH783" s="1643"/>
      <c r="AI783" s="1643"/>
      <c r="AJ783" s="1643"/>
      <c r="AK783" s="1643"/>
      <c r="AL783" s="1643"/>
      <c r="AM783" s="1643"/>
    </row>
    <row r="784" spans="1:39" ht="15.75" customHeight="1" x14ac:dyDescent="0.3">
      <c r="A784" s="1643"/>
      <c r="B784" s="1643"/>
      <c r="C784" s="1643"/>
      <c r="D784" s="1643"/>
      <c r="E784" s="1643"/>
      <c r="F784" s="1643"/>
      <c r="G784" s="1643"/>
      <c r="H784" s="1643"/>
      <c r="I784" s="1643"/>
      <c r="J784" s="1643"/>
      <c r="K784" s="1643"/>
      <c r="L784" s="1643"/>
      <c r="M784" s="1643"/>
      <c r="N784" s="1643"/>
      <c r="O784" s="1643"/>
      <c r="P784" s="1643"/>
      <c r="Q784" s="1643"/>
      <c r="R784" s="1643"/>
      <c r="S784" s="1643"/>
      <c r="T784" s="1643"/>
      <c r="U784" s="1643"/>
      <c r="V784" s="1643"/>
      <c r="W784" s="1643"/>
      <c r="X784" s="1643"/>
      <c r="Y784" s="1643"/>
      <c r="Z784" s="1643"/>
      <c r="AA784" s="1643"/>
      <c r="AB784" s="1643"/>
      <c r="AC784" s="1643"/>
      <c r="AD784" s="1643"/>
      <c r="AE784" s="1643"/>
      <c r="AF784" s="1643"/>
      <c r="AG784" s="1643"/>
      <c r="AH784" s="1643"/>
      <c r="AI784" s="1643"/>
      <c r="AJ784" s="1643"/>
      <c r="AK784" s="1643"/>
      <c r="AL784" s="1643"/>
      <c r="AM784" s="1643"/>
    </row>
    <row r="785" spans="1:39" ht="15.75" customHeight="1" x14ac:dyDescent="0.3">
      <c r="A785" s="1643"/>
      <c r="B785" s="1643"/>
      <c r="C785" s="1643"/>
      <c r="D785" s="1643"/>
      <c r="E785" s="1643"/>
      <c r="F785" s="1643"/>
      <c r="G785" s="1643"/>
      <c r="H785" s="1643"/>
      <c r="I785" s="1643"/>
      <c r="J785" s="1643"/>
      <c r="K785" s="1643"/>
      <c r="L785" s="1643"/>
      <c r="M785" s="1643"/>
      <c r="N785" s="1643"/>
      <c r="O785" s="1643"/>
      <c r="P785" s="1643"/>
      <c r="Q785" s="1643"/>
      <c r="R785" s="1643"/>
      <c r="S785" s="1643"/>
      <c r="T785" s="1643"/>
      <c r="U785" s="1643"/>
      <c r="V785" s="1643"/>
      <c r="W785" s="1643"/>
      <c r="X785" s="1643"/>
      <c r="Y785" s="1643"/>
      <c r="Z785" s="1643"/>
      <c r="AA785" s="1643"/>
      <c r="AB785" s="1643"/>
      <c r="AC785" s="1643"/>
      <c r="AD785" s="1643"/>
      <c r="AE785" s="1643"/>
      <c r="AF785" s="1643"/>
      <c r="AG785" s="1643"/>
      <c r="AH785" s="1643"/>
      <c r="AI785" s="1643"/>
      <c r="AJ785" s="1643"/>
      <c r="AK785" s="1643"/>
      <c r="AL785" s="1643"/>
      <c r="AM785" s="1643"/>
    </row>
    <row r="786" spans="1:39" ht="15.75" customHeight="1" x14ac:dyDescent="0.3">
      <c r="A786" s="1643"/>
      <c r="B786" s="1643"/>
      <c r="C786" s="1643"/>
      <c r="D786" s="1643"/>
      <c r="E786" s="1643"/>
      <c r="F786" s="1643"/>
      <c r="G786" s="1643"/>
      <c r="H786" s="1643"/>
      <c r="I786" s="1643"/>
      <c r="J786" s="1643"/>
      <c r="K786" s="1643"/>
      <c r="L786" s="1643"/>
      <c r="M786" s="1643"/>
      <c r="N786" s="1643"/>
      <c r="O786" s="1643"/>
      <c r="P786" s="1643"/>
      <c r="Q786" s="1643"/>
      <c r="R786" s="1643"/>
      <c r="S786" s="1643"/>
      <c r="T786" s="1643"/>
      <c r="U786" s="1643"/>
      <c r="V786" s="1643"/>
      <c r="W786" s="1643"/>
      <c r="X786" s="1643"/>
      <c r="Y786" s="1643"/>
      <c r="Z786" s="1643"/>
      <c r="AA786" s="1643"/>
      <c r="AB786" s="1643"/>
      <c r="AC786" s="1643"/>
      <c r="AD786" s="1643"/>
      <c r="AE786" s="1643"/>
      <c r="AF786" s="1643"/>
      <c r="AG786" s="1643"/>
      <c r="AH786" s="1643"/>
      <c r="AI786" s="1643"/>
      <c r="AJ786" s="1643"/>
      <c r="AK786" s="1643"/>
      <c r="AL786" s="1643"/>
      <c r="AM786" s="1643"/>
    </row>
    <row r="787" spans="1:39" ht="15.75" customHeight="1" x14ac:dyDescent="0.3">
      <c r="A787" s="1643"/>
      <c r="B787" s="1643"/>
      <c r="C787" s="1643"/>
      <c r="D787" s="1643"/>
      <c r="E787" s="1643"/>
      <c r="F787" s="1643"/>
      <c r="G787" s="1643"/>
      <c r="H787" s="1643"/>
      <c r="I787" s="1643"/>
      <c r="J787" s="1643"/>
      <c r="K787" s="1643"/>
      <c r="L787" s="1643"/>
      <c r="M787" s="1643"/>
      <c r="N787" s="1643"/>
      <c r="O787" s="1643"/>
      <c r="P787" s="1643"/>
      <c r="Q787" s="1643"/>
      <c r="R787" s="1643"/>
      <c r="S787" s="1643"/>
      <c r="T787" s="1643"/>
      <c r="U787" s="1643"/>
      <c r="V787" s="1643"/>
      <c r="W787" s="1643"/>
      <c r="X787" s="1643"/>
      <c r="Y787" s="1643"/>
      <c r="Z787" s="1643"/>
      <c r="AA787" s="1643"/>
      <c r="AB787" s="1643"/>
      <c r="AC787" s="1643"/>
      <c r="AD787" s="1643"/>
      <c r="AE787" s="1643"/>
      <c r="AF787" s="1643"/>
      <c r="AG787" s="1643"/>
      <c r="AH787" s="1643"/>
      <c r="AI787" s="1643"/>
      <c r="AJ787" s="1643"/>
      <c r="AK787" s="1643"/>
      <c r="AL787" s="1643"/>
      <c r="AM787" s="1643"/>
    </row>
    <row r="788" spans="1:39" ht="15.75" customHeight="1" x14ac:dyDescent="0.3">
      <c r="A788" s="1643"/>
      <c r="B788" s="1643"/>
      <c r="C788" s="1643"/>
      <c r="D788" s="1643"/>
      <c r="E788" s="1643"/>
      <c r="F788" s="1643"/>
      <c r="G788" s="1643"/>
      <c r="H788" s="1643"/>
      <c r="I788" s="1643"/>
      <c r="J788" s="1643"/>
      <c r="K788" s="1643"/>
      <c r="L788" s="1643"/>
      <c r="M788" s="1643"/>
      <c r="N788" s="1643"/>
      <c r="O788" s="1643"/>
      <c r="P788" s="1643"/>
      <c r="Q788" s="1643"/>
      <c r="R788" s="1643"/>
      <c r="S788" s="1643"/>
      <c r="T788" s="1643"/>
      <c r="U788" s="1643"/>
      <c r="V788" s="1643"/>
      <c r="W788" s="1643"/>
      <c r="X788" s="1643"/>
      <c r="Y788" s="1643"/>
      <c r="Z788" s="1643"/>
      <c r="AA788" s="1643"/>
      <c r="AB788" s="1643"/>
      <c r="AC788" s="1643"/>
      <c r="AD788" s="1643"/>
      <c r="AE788" s="1643"/>
      <c r="AF788" s="1643"/>
      <c r="AG788" s="1643"/>
      <c r="AH788" s="1643"/>
      <c r="AI788" s="1643"/>
      <c r="AJ788" s="1643"/>
      <c r="AK788" s="1643"/>
      <c r="AL788" s="1643"/>
      <c r="AM788" s="1643"/>
    </row>
    <row r="789" spans="1:39" ht="15.75" customHeight="1" x14ac:dyDescent="0.3">
      <c r="A789" s="1643"/>
      <c r="B789" s="1643"/>
      <c r="C789" s="1643"/>
      <c r="D789" s="1643"/>
      <c r="E789" s="1643"/>
      <c r="F789" s="1643"/>
      <c r="G789" s="1643"/>
      <c r="H789" s="1643"/>
      <c r="I789" s="1643"/>
      <c r="J789" s="1643"/>
      <c r="K789" s="1643"/>
      <c r="L789" s="1643"/>
      <c r="M789" s="1643"/>
      <c r="N789" s="1643"/>
      <c r="O789" s="1643"/>
      <c r="P789" s="1643"/>
      <c r="Q789" s="1643"/>
      <c r="R789" s="1643"/>
      <c r="S789" s="1643"/>
      <c r="T789" s="1643"/>
      <c r="U789" s="1643"/>
      <c r="V789" s="1643"/>
      <c r="W789" s="1643"/>
      <c r="X789" s="1643"/>
      <c r="Y789" s="1643"/>
      <c r="Z789" s="1643"/>
      <c r="AA789" s="1643"/>
      <c r="AB789" s="1643"/>
      <c r="AC789" s="1643"/>
      <c r="AD789" s="1643"/>
      <c r="AE789" s="1643"/>
      <c r="AF789" s="1643"/>
      <c r="AG789" s="1643"/>
      <c r="AH789" s="1643"/>
      <c r="AI789" s="1643"/>
      <c r="AJ789" s="1643"/>
      <c r="AK789" s="1643"/>
      <c r="AL789" s="1643"/>
      <c r="AM789" s="1643"/>
    </row>
    <row r="790" spans="1:39" ht="15.75" customHeight="1" x14ac:dyDescent="0.3">
      <c r="A790" s="1643"/>
      <c r="B790" s="1643"/>
      <c r="C790" s="1643"/>
      <c r="D790" s="1643"/>
      <c r="E790" s="1643"/>
      <c r="F790" s="1643"/>
      <c r="G790" s="1643"/>
      <c r="H790" s="1643"/>
      <c r="I790" s="1643"/>
      <c r="J790" s="1643"/>
      <c r="K790" s="1643"/>
      <c r="L790" s="1643"/>
      <c r="M790" s="1643"/>
      <c r="N790" s="1643"/>
      <c r="O790" s="1643"/>
      <c r="P790" s="1643"/>
      <c r="Q790" s="1643"/>
      <c r="R790" s="1643"/>
      <c r="S790" s="1643"/>
      <c r="T790" s="1643"/>
      <c r="U790" s="1643"/>
      <c r="V790" s="1643"/>
      <c r="W790" s="1643"/>
      <c r="X790" s="1643"/>
      <c r="Y790" s="1643"/>
      <c r="Z790" s="1643"/>
      <c r="AA790" s="1643"/>
      <c r="AB790" s="1643"/>
      <c r="AC790" s="1643"/>
      <c r="AD790" s="1643"/>
      <c r="AE790" s="1643"/>
      <c r="AF790" s="1643"/>
      <c r="AG790" s="1643"/>
      <c r="AH790" s="1643"/>
      <c r="AI790" s="1643"/>
      <c r="AJ790" s="1643"/>
      <c r="AK790" s="1643"/>
      <c r="AL790" s="1643"/>
      <c r="AM790" s="1643"/>
    </row>
    <row r="791" spans="1:39" ht="15.75" customHeight="1" x14ac:dyDescent="0.3">
      <c r="A791" s="1643"/>
      <c r="B791" s="1643"/>
      <c r="C791" s="1643"/>
      <c r="D791" s="1643"/>
      <c r="E791" s="1643"/>
      <c r="F791" s="1643"/>
      <c r="G791" s="1643"/>
      <c r="H791" s="1643"/>
      <c r="I791" s="1643"/>
      <c r="J791" s="1643"/>
      <c r="K791" s="1643"/>
      <c r="L791" s="1643"/>
      <c r="M791" s="1643"/>
      <c r="N791" s="1643"/>
      <c r="O791" s="1643"/>
      <c r="P791" s="1643"/>
      <c r="Q791" s="1643"/>
      <c r="R791" s="1643"/>
      <c r="S791" s="1643"/>
      <c r="T791" s="1643"/>
      <c r="U791" s="1643"/>
      <c r="V791" s="1643"/>
      <c r="W791" s="1643"/>
      <c r="X791" s="1643"/>
      <c r="Y791" s="1643"/>
      <c r="Z791" s="1643"/>
      <c r="AA791" s="1643"/>
      <c r="AB791" s="1643"/>
      <c r="AC791" s="1643"/>
      <c r="AD791" s="1643"/>
      <c r="AE791" s="1643"/>
      <c r="AF791" s="1643"/>
      <c r="AG791" s="1643"/>
      <c r="AH791" s="1643"/>
      <c r="AI791" s="1643"/>
      <c r="AJ791" s="1643"/>
      <c r="AK791" s="1643"/>
      <c r="AL791" s="1643"/>
      <c r="AM791" s="1643"/>
    </row>
    <row r="792" spans="1:39" ht="15.75" customHeight="1" x14ac:dyDescent="0.3">
      <c r="A792" s="1643"/>
      <c r="B792" s="1643"/>
      <c r="C792" s="1643"/>
      <c r="D792" s="1643"/>
      <c r="E792" s="1643"/>
      <c r="F792" s="1643"/>
      <c r="G792" s="1643"/>
      <c r="H792" s="1643"/>
      <c r="I792" s="1643"/>
      <c r="J792" s="1643"/>
      <c r="K792" s="1643"/>
      <c r="L792" s="1643"/>
      <c r="M792" s="1643"/>
      <c r="N792" s="1643"/>
      <c r="O792" s="1643"/>
      <c r="P792" s="1643"/>
      <c r="Q792" s="1643"/>
      <c r="R792" s="1643"/>
      <c r="S792" s="1643"/>
      <c r="T792" s="1643"/>
      <c r="U792" s="1643"/>
      <c r="V792" s="1643"/>
      <c r="W792" s="1643"/>
      <c r="X792" s="1643"/>
      <c r="Y792" s="1643"/>
      <c r="Z792" s="1643"/>
      <c r="AA792" s="1643"/>
      <c r="AB792" s="1643"/>
      <c r="AC792" s="1643"/>
      <c r="AD792" s="1643"/>
      <c r="AE792" s="1643"/>
      <c r="AF792" s="1643"/>
      <c r="AG792" s="1643"/>
      <c r="AH792" s="1643"/>
      <c r="AI792" s="1643"/>
      <c r="AJ792" s="1643"/>
      <c r="AK792" s="1643"/>
      <c r="AL792" s="1643"/>
      <c r="AM792" s="1643"/>
    </row>
    <row r="793" spans="1:39" ht="15.75" customHeight="1" x14ac:dyDescent="0.3">
      <c r="A793" s="1643"/>
      <c r="B793" s="1643"/>
      <c r="C793" s="1643"/>
      <c r="D793" s="1643"/>
      <c r="E793" s="1643"/>
      <c r="F793" s="1643"/>
      <c r="G793" s="1643"/>
      <c r="H793" s="1643"/>
      <c r="I793" s="1643"/>
      <c r="J793" s="1643"/>
      <c r="K793" s="1643"/>
      <c r="L793" s="1643"/>
      <c r="M793" s="1643"/>
      <c r="N793" s="1643"/>
      <c r="O793" s="1643"/>
      <c r="P793" s="1643"/>
      <c r="Q793" s="1643"/>
      <c r="R793" s="1643"/>
      <c r="S793" s="1643"/>
      <c r="T793" s="1643"/>
      <c r="U793" s="1643"/>
      <c r="V793" s="1643"/>
      <c r="W793" s="1643"/>
      <c r="X793" s="1643"/>
      <c r="Y793" s="1643"/>
      <c r="Z793" s="1643"/>
      <c r="AA793" s="1643"/>
      <c r="AB793" s="1643"/>
      <c r="AC793" s="1643"/>
      <c r="AD793" s="1643"/>
      <c r="AE793" s="1643"/>
      <c r="AF793" s="1643"/>
      <c r="AG793" s="1643"/>
      <c r="AH793" s="1643"/>
      <c r="AI793" s="1643"/>
      <c r="AJ793" s="1643"/>
      <c r="AK793" s="1643"/>
      <c r="AL793" s="1643"/>
      <c r="AM793" s="1643"/>
    </row>
    <row r="794" spans="1:39" ht="15.75" customHeight="1" x14ac:dyDescent="0.3">
      <c r="A794" s="1643"/>
      <c r="B794" s="1643"/>
      <c r="C794" s="1643"/>
      <c r="D794" s="1643"/>
      <c r="E794" s="1643"/>
      <c r="F794" s="1643"/>
      <c r="G794" s="1643"/>
      <c r="H794" s="1643"/>
      <c r="I794" s="1643"/>
      <c r="J794" s="1643"/>
      <c r="K794" s="1643"/>
      <c r="L794" s="1643"/>
      <c r="M794" s="1643"/>
      <c r="N794" s="1643"/>
      <c r="O794" s="1643"/>
      <c r="P794" s="1643"/>
      <c r="Q794" s="1643"/>
      <c r="R794" s="1643"/>
      <c r="S794" s="1643"/>
      <c r="T794" s="1643"/>
      <c r="U794" s="1643"/>
      <c r="V794" s="1643"/>
      <c r="W794" s="1643"/>
      <c r="X794" s="1643"/>
      <c r="Y794" s="1643"/>
      <c r="Z794" s="1643"/>
      <c r="AA794" s="1643"/>
      <c r="AB794" s="1643"/>
      <c r="AC794" s="1643"/>
      <c r="AD794" s="1643"/>
      <c r="AE794" s="1643"/>
      <c r="AF794" s="1643"/>
      <c r="AG794" s="1643"/>
      <c r="AH794" s="1643"/>
      <c r="AI794" s="1643"/>
      <c r="AJ794" s="1643"/>
      <c r="AK794" s="1643"/>
      <c r="AL794" s="1643"/>
      <c r="AM794" s="1643"/>
    </row>
    <row r="795" spans="1:39" ht="15.75" customHeight="1" x14ac:dyDescent="0.3">
      <c r="A795" s="1643"/>
      <c r="B795" s="1643"/>
      <c r="C795" s="1643"/>
      <c r="D795" s="1643"/>
      <c r="E795" s="1643"/>
      <c r="F795" s="1643"/>
      <c r="G795" s="1643"/>
      <c r="H795" s="1643"/>
      <c r="I795" s="1643"/>
      <c r="J795" s="1643"/>
      <c r="K795" s="1643"/>
      <c r="L795" s="1643"/>
      <c r="M795" s="1643"/>
      <c r="N795" s="1643"/>
      <c r="O795" s="1643"/>
      <c r="P795" s="1643"/>
      <c r="Q795" s="1643"/>
      <c r="R795" s="1643"/>
      <c r="S795" s="1643"/>
      <c r="T795" s="1643"/>
      <c r="U795" s="1643"/>
      <c r="V795" s="1643"/>
      <c r="W795" s="1643"/>
      <c r="X795" s="1643"/>
      <c r="Y795" s="1643"/>
      <c r="Z795" s="1643"/>
      <c r="AA795" s="1643"/>
      <c r="AB795" s="1643"/>
      <c r="AC795" s="1643"/>
      <c r="AD795" s="1643"/>
      <c r="AE795" s="1643"/>
      <c r="AF795" s="1643"/>
      <c r="AG795" s="1643"/>
      <c r="AH795" s="1643"/>
      <c r="AI795" s="1643"/>
      <c r="AJ795" s="1643"/>
      <c r="AK795" s="1643"/>
      <c r="AL795" s="1643"/>
      <c r="AM795" s="1643"/>
    </row>
    <row r="796" spans="1:39" ht="15.75" customHeight="1" x14ac:dyDescent="0.3">
      <c r="A796" s="1643"/>
      <c r="B796" s="1643"/>
      <c r="C796" s="1643"/>
      <c r="D796" s="1643"/>
      <c r="E796" s="1643"/>
      <c r="F796" s="1643"/>
      <c r="G796" s="1643"/>
      <c r="H796" s="1643"/>
      <c r="I796" s="1643"/>
      <c r="J796" s="1643"/>
      <c r="K796" s="1643"/>
      <c r="L796" s="1643"/>
      <c r="M796" s="1643"/>
      <c r="N796" s="1643"/>
      <c r="O796" s="1643"/>
      <c r="P796" s="1643"/>
      <c r="Q796" s="1643"/>
      <c r="R796" s="1643"/>
      <c r="S796" s="1643"/>
      <c r="T796" s="1643"/>
      <c r="U796" s="1643"/>
      <c r="V796" s="1643"/>
      <c r="W796" s="1643"/>
      <c r="X796" s="1643"/>
      <c r="Y796" s="1643"/>
      <c r="Z796" s="1643"/>
      <c r="AA796" s="1643"/>
      <c r="AB796" s="1643"/>
      <c r="AC796" s="1643"/>
      <c r="AD796" s="1643"/>
      <c r="AE796" s="1643"/>
      <c r="AF796" s="1643"/>
      <c r="AG796" s="1643"/>
      <c r="AH796" s="1643"/>
      <c r="AI796" s="1643"/>
      <c r="AJ796" s="1643"/>
      <c r="AK796" s="1643"/>
      <c r="AL796" s="1643"/>
      <c r="AM796" s="1643"/>
    </row>
    <row r="797" spans="1:39" ht="15.75" customHeight="1" x14ac:dyDescent="0.3">
      <c r="A797" s="1643"/>
      <c r="B797" s="1643"/>
      <c r="C797" s="1643"/>
      <c r="D797" s="1643"/>
      <c r="E797" s="1643"/>
      <c r="F797" s="1643"/>
      <c r="G797" s="1643"/>
      <c r="H797" s="1643"/>
      <c r="I797" s="1643"/>
      <c r="J797" s="1643"/>
      <c r="K797" s="1643"/>
      <c r="L797" s="1643"/>
      <c r="M797" s="1643"/>
      <c r="N797" s="1643"/>
      <c r="O797" s="1643"/>
      <c r="P797" s="1643"/>
      <c r="Q797" s="1643"/>
      <c r="R797" s="1643"/>
      <c r="S797" s="1643"/>
      <c r="T797" s="1643"/>
      <c r="U797" s="1643"/>
      <c r="V797" s="1643"/>
      <c r="W797" s="1643"/>
      <c r="X797" s="1643"/>
      <c r="Y797" s="1643"/>
      <c r="Z797" s="1643"/>
      <c r="AA797" s="1643"/>
      <c r="AB797" s="1643"/>
      <c r="AC797" s="1643"/>
      <c r="AD797" s="1643"/>
      <c r="AE797" s="1643"/>
      <c r="AF797" s="1643"/>
      <c r="AG797" s="1643"/>
      <c r="AH797" s="1643"/>
      <c r="AI797" s="1643"/>
      <c r="AJ797" s="1643"/>
      <c r="AK797" s="1643"/>
      <c r="AL797" s="1643"/>
      <c r="AM797" s="1643"/>
    </row>
    <row r="798" spans="1:39" ht="15.75" customHeight="1" x14ac:dyDescent="0.3">
      <c r="A798" s="1643"/>
      <c r="B798" s="1643"/>
      <c r="C798" s="1643"/>
      <c r="D798" s="1643"/>
      <c r="E798" s="1643"/>
      <c r="F798" s="1643"/>
      <c r="G798" s="1643"/>
      <c r="H798" s="1643"/>
      <c r="I798" s="1643"/>
      <c r="J798" s="1643"/>
      <c r="K798" s="1643"/>
      <c r="L798" s="1643"/>
      <c r="M798" s="1643"/>
      <c r="N798" s="1643"/>
      <c r="O798" s="1643"/>
      <c r="P798" s="1643"/>
      <c r="Q798" s="1643"/>
      <c r="R798" s="1643"/>
      <c r="S798" s="1643"/>
      <c r="T798" s="1643"/>
      <c r="U798" s="1643"/>
      <c r="V798" s="1643"/>
      <c r="W798" s="1643"/>
      <c r="X798" s="1643"/>
      <c r="Y798" s="1643"/>
      <c r="Z798" s="1643"/>
      <c r="AA798" s="1643"/>
      <c r="AB798" s="1643"/>
      <c r="AC798" s="1643"/>
      <c r="AD798" s="1643"/>
      <c r="AE798" s="1643"/>
      <c r="AF798" s="1643"/>
      <c r="AG798" s="1643"/>
      <c r="AH798" s="1643"/>
      <c r="AI798" s="1643"/>
      <c r="AJ798" s="1643"/>
      <c r="AK798" s="1643"/>
      <c r="AL798" s="1643"/>
      <c r="AM798" s="1643"/>
    </row>
    <row r="799" spans="1:39" ht="15.75" customHeight="1" x14ac:dyDescent="0.3">
      <c r="A799" s="1643"/>
      <c r="B799" s="1643"/>
      <c r="C799" s="1643"/>
      <c r="D799" s="1643"/>
      <c r="E799" s="1643"/>
      <c r="F799" s="1643"/>
      <c r="G799" s="1643"/>
      <c r="H799" s="1643"/>
      <c r="I799" s="1643"/>
      <c r="J799" s="1643"/>
      <c r="K799" s="1643"/>
      <c r="L799" s="1643"/>
      <c r="M799" s="1643"/>
      <c r="N799" s="1643"/>
      <c r="O799" s="1643"/>
      <c r="P799" s="1643"/>
      <c r="Q799" s="1643"/>
      <c r="R799" s="1643"/>
      <c r="S799" s="1643"/>
      <c r="T799" s="1643"/>
      <c r="U799" s="1643"/>
      <c r="V799" s="1643"/>
      <c r="W799" s="1643"/>
      <c r="X799" s="1643"/>
      <c r="Y799" s="1643"/>
      <c r="Z799" s="1643"/>
      <c r="AA799" s="1643"/>
      <c r="AB799" s="1643"/>
      <c r="AC799" s="1643"/>
      <c r="AD799" s="1643"/>
      <c r="AE799" s="1643"/>
      <c r="AF799" s="1643"/>
      <c r="AG799" s="1643"/>
      <c r="AH799" s="1643"/>
      <c r="AI799" s="1643"/>
      <c r="AJ799" s="1643"/>
      <c r="AK799" s="1643"/>
      <c r="AL799" s="1643"/>
      <c r="AM799" s="1643"/>
    </row>
    <row r="800" spans="1:39" ht="15.75" customHeight="1" x14ac:dyDescent="0.3">
      <c r="A800" s="1643"/>
      <c r="B800" s="1643"/>
      <c r="C800" s="1643"/>
      <c r="D800" s="1643"/>
      <c r="E800" s="1643"/>
      <c r="F800" s="1643"/>
      <c r="G800" s="1643"/>
      <c r="H800" s="1643"/>
      <c r="I800" s="1643"/>
      <c r="J800" s="1643"/>
      <c r="K800" s="1643"/>
      <c r="L800" s="1643"/>
      <c r="M800" s="1643"/>
      <c r="N800" s="1643"/>
      <c r="O800" s="1643"/>
      <c r="P800" s="1643"/>
      <c r="Q800" s="1643"/>
      <c r="R800" s="1643"/>
      <c r="S800" s="1643"/>
      <c r="T800" s="1643"/>
      <c r="U800" s="1643"/>
      <c r="V800" s="1643"/>
      <c r="W800" s="1643"/>
      <c r="X800" s="1643"/>
      <c r="Y800" s="1643"/>
      <c r="Z800" s="1643"/>
      <c r="AA800" s="1643"/>
      <c r="AB800" s="1643"/>
      <c r="AC800" s="1643"/>
      <c r="AD800" s="1643"/>
      <c r="AE800" s="1643"/>
      <c r="AF800" s="1643"/>
      <c r="AG800" s="1643"/>
      <c r="AH800" s="1643"/>
      <c r="AI800" s="1643"/>
      <c r="AJ800" s="1643"/>
      <c r="AK800" s="1643"/>
      <c r="AL800" s="1643"/>
      <c r="AM800" s="1643"/>
    </row>
    <row r="801" spans="1:39" ht="15.75" customHeight="1" x14ac:dyDescent="0.3">
      <c r="A801" s="1643"/>
      <c r="B801" s="1643"/>
      <c r="C801" s="1643"/>
      <c r="D801" s="1643"/>
      <c r="E801" s="1643"/>
      <c r="F801" s="1643"/>
      <c r="G801" s="1643"/>
      <c r="H801" s="1643"/>
      <c r="I801" s="1643"/>
      <c r="J801" s="1643"/>
      <c r="K801" s="1643"/>
      <c r="L801" s="1643"/>
      <c r="M801" s="1643"/>
      <c r="N801" s="1643"/>
      <c r="O801" s="1643"/>
      <c r="P801" s="1643"/>
      <c r="Q801" s="1643"/>
      <c r="R801" s="1643"/>
      <c r="S801" s="1643"/>
      <c r="T801" s="1643"/>
      <c r="U801" s="1643"/>
      <c r="V801" s="1643"/>
      <c r="W801" s="1643"/>
      <c r="X801" s="1643"/>
      <c r="Y801" s="1643"/>
      <c r="Z801" s="1643"/>
      <c r="AA801" s="1643"/>
      <c r="AB801" s="1643"/>
      <c r="AC801" s="1643"/>
      <c r="AD801" s="1643"/>
      <c r="AE801" s="1643"/>
      <c r="AF801" s="1643"/>
      <c r="AG801" s="1643"/>
      <c r="AH801" s="1643"/>
      <c r="AI801" s="1643"/>
      <c r="AJ801" s="1643"/>
      <c r="AK801" s="1643"/>
      <c r="AL801" s="1643"/>
      <c r="AM801" s="1643"/>
    </row>
    <row r="802" spans="1:39" ht="15.75" customHeight="1" x14ac:dyDescent="0.3">
      <c r="A802" s="1643"/>
      <c r="B802" s="1643"/>
      <c r="C802" s="1643"/>
      <c r="D802" s="1643"/>
      <c r="E802" s="1643"/>
      <c r="F802" s="1643"/>
      <c r="G802" s="1643"/>
      <c r="H802" s="1643"/>
      <c r="I802" s="1643"/>
      <c r="J802" s="1643"/>
      <c r="K802" s="1643"/>
      <c r="L802" s="1643"/>
      <c r="M802" s="1643"/>
      <c r="N802" s="1643"/>
      <c r="O802" s="1643"/>
      <c r="P802" s="1643"/>
      <c r="Q802" s="1643"/>
      <c r="R802" s="1643"/>
      <c r="S802" s="1643"/>
      <c r="T802" s="1643"/>
      <c r="U802" s="1643"/>
      <c r="V802" s="1643"/>
      <c r="W802" s="1643"/>
      <c r="X802" s="1643"/>
      <c r="Y802" s="1643"/>
      <c r="Z802" s="1643"/>
      <c r="AA802" s="1643"/>
      <c r="AB802" s="1643"/>
      <c r="AC802" s="1643"/>
      <c r="AD802" s="1643"/>
      <c r="AE802" s="1643"/>
      <c r="AF802" s="1643"/>
      <c r="AG802" s="1643"/>
      <c r="AH802" s="1643"/>
      <c r="AI802" s="1643"/>
      <c r="AJ802" s="1643"/>
      <c r="AK802" s="1643"/>
      <c r="AL802" s="1643"/>
      <c r="AM802" s="1643"/>
    </row>
    <row r="803" spans="1:39" ht="15.75" customHeight="1" x14ac:dyDescent="0.3">
      <c r="A803" s="1643"/>
      <c r="B803" s="1643"/>
      <c r="C803" s="1643"/>
      <c r="D803" s="1643"/>
      <c r="E803" s="1643"/>
      <c r="F803" s="1643"/>
      <c r="G803" s="1643"/>
      <c r="H803" s="1643"/>
      <c r="I803" s="1643"/>
      <c r="J803" s="1643"/>
      <c r="K803" s="1643"/>
      <c r="L803" s="1643"/>
      <c r="M803" s="1643"/>
      <c r="N803" s="1643"/>
      <c r="O803" s="1643"/>
      <c r="P803" s="1643"/>
      <c r="Q803" s="1643"/>
      <c r="R803" s="1643"/>
      <c r="S803" s="1643"/>
      <c r="T803" s="1643"/>
      <c r="U803" s="1643"/>
      <c r="V803" s="1643"/>
      <c r="W803" s="1643"/>
      <c r="X803" s="1643"/>
      <c r="Y803" s="1643"/>
      <c r="Z803" s="1643"/>
      <c r="AA803" s="1643"/>
      <c r="AB803" s="1643"/>
      <c r="AC803" s="1643"/>
      <c r="AD803" s="1643"/>
      <c r="AE803" s="1643"/>
      <c r="AF803" s="1643"/>
      <c r="AG803" s="1643"/>
      <c r="AH803" s="1643"/>
      <c r="AI803" s="1643"/>
      <c r="AJ803" s="1643"/>
      <c r="AK803" s="1643"/>
      <c r="AL803" s="1643"/>
      <c r="AM803" s="1643"/>
    </row>
    <row r="804" spans="1:39" ht="15.75" customHeight="1" x14ac:dyDescent="0.3">
      <c r="A804" s="1643"/>
      <c r="B804" s="1643"/>
      <c r="C804" s="1643"/>
      <c r="D804" s="1643"/>
      <c r="E804" s="1643"/>
      <c r="F804" s="1643"/>
      <c r="G804" s="1643"/>
      <c r="H804" s="1643"/>
      <c r="I804" s="1643"/>
      <c r="J804" s="1643"/>
      <c r="K804" s="1643"/>
      <c r="L804" s="1643"/>
      <c r="M804" s="1643"/>
      <c r="N804" s="1643"/>
      <c r="O804" s="1643"/>
      <c r="P804" s="1643"/>
      <c r="Q804" s="1643"/>
      <c r="R804" s="1643"/>
      <c r="S804" s="1643"/>
      <c r="T804" s="1643"/>
      <c r="U804" s="1643"/>
      <c r="V804" s="1643"/>
      <c r="W804" s="1643"/>
      <c r="X804" s="1643"/>
      <c r="Y804" s="1643"/>
      <c r="Z804" s="1643"/>
      <c r="AA804" s="1643"/>
      <c r="AB804" s="1643"/>
      <c r="AC804" s="1643"/>
      <c r="AD804" s="1643"/>
      <c r="AE804" s="1643"/>
      <c r="AF804" s="1643"/>
      <c r="AG804" s="1643"/>
      <c r="AH804" s="1643"/>
      <c r="AI804" s="1643"/>
      <c r="AJ804" s="1643"/>
      <c r="AK804" s="1643"/>
      <c r="AL804" s="1643"/>
      <c r="AM804" s="1643"/>
    </row>
    <row r="805" spans="1:39" ht="15.75" customHeight="1" x14ac:dyDescent="0.3">
      <c r="A805" s="1643"/>
      <c r="B805" s="1643"/>
      <c r="C805" s="1643"/>
      <c r="D805" s="1643"/>
      <c r="E805" s="1643"/>
      <c r="F805" s="1643"/>
      <c r="G805" s="1643"/>
      <c r="H805" s="1643"/>
      <c r="I805" s="1643"/>
      <c r="J805" s="1643"/>
      <c r="K805" s="1643"/>
      <c r="L805" s="1643"/>
      <c r="M805" s="1643"/>
      <c r="N805" s="1643"/>
      <c r="O805" s="1643"/>
      <c r="P805" s="1643"/>
      <c r="Q805" s="1643"/>
      <c r="R805" s="1643"/>
      <c r="S805" s="1643"/>
      <c r="T805" s="1643"/>
      <c r="U805" s="1643"/>
      <c r="V805" s="1643"/>
      <c r="W805" s="1643"/>
      <c r="X805" s="1643"/>
      <c r="Y805" s="1643"/>
      <c r="Z805" s="1643"/>
      <c r="AA805" s="1643"/>
      <c r="AB805" s="1643"/>
      <c r="AC805" s="1643"/>
      <c r="AD805" s="1643"/>
      <c r="AE805" s="1643"/>
      <c r="AF805" s="1643"/>
      <c r="AG805" s="1643"/>
      <c r="AH805" s="1643"/>
      <c r="AI805" s="1643"/>
      <c r="AJ805" s="1643"/>
      <c r="AK805" s="1643"/>
      <c r="AL805" s="1643"/>
      <c r="AM805" s="1643"/>
    </row>
    <row r="806" spans="1:39" ht="15.75" customHeight="1" x14ac:dyDescent="0.3">
      <c r="A806" s="1643"/>
      <c r="B806" s="1643"/>
      <c r="C806" s="1643"/>
      <c r="D806" s="1643"/>
      <c r="E806" s="1643"/>
      <c r="F806" s="1643"/>
      <c r="G806" s="1643"/>
      <c r="H806" s="1643"/>
      <c r="I806" s="1643"/>
      <c r="J806" s="1643"/>
      <c r="K806" s="1643"/>
      <c r="L806" s="1643"/>
      <c r="M806" s="1643"/>
      <c r="N806" s="1643"/>
      <c r="O806" s="1643"/>
      <c r="P806" s="1643"/>
      <c r="Q806" s="1643"/>
      <c r="R806" s="1643"/>
      <c r="S806" s="1643"/>
      <c r="T806" s="1643"/>
      <c r="U806" s="1643"/>
      <c r="V806" s="1643"/>
      <c r="W806" s="1643"/>
      <c r="X806" s="1643"/>
      <c r="Y806" s="1643"/>
      <c r="Z806" s="1643"/>
      <c r="AA806" s="1643"/>
      <c r="AB806" s="1643"/>
      <c r="AC806" s="1643"/>
      <c r="AD806" s="1643"/>
      <c r="AE806" s="1643"/>
      <c r="AF806" s="1643"/>
      <c r="AG806" s="1643"/>
      <c r="AH806" s="1643"/>
      <c r="AI806" s="1643"/>
      <c r="AJ806" s="1643"/>
      <c r="AK806" s="1643"/>
      <c r="AL806" s="1643"/>
      <c r="AM806" s="1643"/>
    </row>
    <row r="807" spans="1:39" ht="15.75" customHeight="1" x14ac:dyDescent="0.3">
      <c r="A807" s="1643"/>
      <c r="B807" s="1643"/>
      <c r="C807" s="1643"/>
      <c r="D807" s="1643"/>
      <c r="E807" s="1643"/>
      <c r="F807" s="1643"/>
      <c r="G807" s="1643"/>
      <c r="H807" s="1643"/>
      <c r="I807" s="1643"/>
      <c r="J807" s="1643"/>
      <c r="K807" s="1643"/>
      <c r="L807" s="1643"/>
      <c r="M807" s="1643"/>
      <c r="N807" s="1643"/>
      <c r="O807" s="1643"/>
      <c r="P807" s="1643"/>
      <c r="Q807" s="1643"/>
      <c r="R807" s="1643"/>
      <c r="S807" s="1643"/>
      <c r="T807" s="1643"/>
      <c r="U807" s="1643"/>
      <c r="V807" s="1643"/>
      <c r="W807" s="1643"/>
      <c r="X807" s="1643"/>
      <c r="Y807" s="1643"/>
      <c r="Z807" s="1643"/>
      <c r="AA807" s="1643"/>
      <c r="AB807" s="1643"/>
      <c r="AC807" s="1643"/>
      <c r="AD807" s="1643"/>
      <c r="AE807" s="1643"/>
      <c r="AF807" s="1643"/>
      <c r="AG807" s="1643"/>
      <c r="AH807" s="1643"/>
      <c r="AI807" s="1643"/>
      <c r="AJ807" s="1643"/>
      <c r="AK807" s="1643"/>
      <c r="AL807" s="1643"/>
      <c r="AM807" s="1643"/>
    </row>
    <row r="808" spans="1:39" ht="15.75" customHeight="1" x14ac:dyDescent="0.3">
      <c r="A808" s="1643"/>
      <c r="B808" s="1643"/>
      <c r="C808" s="1643"/>
      <c r="D808" s="1643"/>
      <c r="E808" s="1643"/>
      <c r="F808" s="1643"/>
      <c r="G808" s="1643"/>
      <c r="H808" s="1643"/>
      <c r="I808" s="1643"/>
      <c r="J808" s="1643"/>
      <c r="K808" s="1643"/>
      <c r="L808" s="1643"/>
      <c r="M808" s="1643"/>
      <c r="N808" s="1643"/>
      <c r="O808" s="1643"/>
      <c r="P808" s="1643"/>
      <c r="Q808" s="1643"/>
      <c r="R808" s="1643"/>
      <c r="S808" s="1643"/>
      <c r="T808" s="1643"/>
      <c r="U808" s="1643"/>
      <c r="V808" s="1643"/>
      <c r="W808" s="1643"/>
      <c r="X808" s="1643"/>
      <c r="Y808" s="1643"/>
      <c r="Z808" s="1643"/>
      <c r="AA808" s="1643"/>
      <c r="AB808" s="1643"/>
      <c r="AC808" s="1643"/>
      <c r="AD808" s="1643"/>
      <c r="AE808" s="1643"/>
      <c r="AF808" s="1643"/>
      <c r="AG808" s="1643"/>
      <c r="AH808" s="1643"/>
      <c r="AI808" s="1643"/>
      <c r="AJ808" s="1643"/>
      <c r="AK808" s="1643"/>
      <c r="AL808" s="1643"/>
      <c r="AM808" s="1643"/>
    </row>
    <row r="809" spans="1:39" ht="15.75" customHeight="1" x14ac:dyDescent="0.3">
      <c r="A809" s="1643"/>
      <c r="B809" s="1643"/>
      <c r="C809" s="1643"/>
      <c r="D809" s="1643"/>
      <c r="E809" s="1643"/>
      <c r="F809" s="1643"/>
      <c r="G809" s="1643"/>
      <c r="H809" s="1643"/>
      <c r="I809" s="1643"/>
      <c r="J809" s="1643"/>
      <c r="K809" s="1643"/>
      <c r="L809" s="1643"/>
      <c r="M809" s="1643"/>
      <c r="N809" s="1643"/>
      <c r="O809" s="1643"/>
      <c r="P809" s="1643"/>
      <c r="Q809" s="1643"/>
      <c r="R809" s="1643"/>
      <c r="S809" s="1643"/>
      <c r="T809" s="1643"/>
      <c r="U809" s="1643"/>
      <c r="V809" s="1643"/>
      <c r="W809" s="1643"/>
      <c r="X809" s="1643"/>
      <c r="Y809" s="1643"/>
      <c r="Z809" s="1643"/>
      <c r="AA809" s="1643"/>
      <c r="AB809" s="1643"/>
      <c r="AC809" s="1643"/>
      <c r="AD809" s="1643"/>
      <c r="AE809" s="1643"/>
      <c r="AF809" s="1643"/>
      <c r="AG809" s="1643"/>
      <c r="AH809" s="1643"/>
      <c r="AI809" s="1643"/>
      <c r="AJ809" s="1643"/>
      <c r="AK809" s="1643"/>
      <c r="AL809" s="1643"/>
      <c r="AM809" s="1643"/>
    </row>
    <row r="810" spans="1:39" ht="15.75" customHeight="1" x14ac:dyDescent="0.3">
      <c r="A810" s="1643"/>
      <c r="B810" s="1643"/>
      <c r="C810" s="1643"/>
      <c r="D810" s="1643"/>
      <c r="E810" s="1643"/>
      <c r="F810" s="1643"/>
      <c r="G810" s="1643"/>
      <c r="H810" s="1643"/>
      <c r="I810" s="1643"/>
      <c r="J810" s="1643"/>
      <c r="K810" s="1643"/>
      <c r="L810" s="1643"/>
      <c r="M810" s="1643"/>
      <c r="N810" s="1643"/>
      <c r="O810" s="1643"/>
      <c r="P810" s="1643"/>
      <c r="Q810" s="1643"/>
      <c r="R810" s="1643"/>
      <c r="S810" s="1643"/>
      <c r="T810" s="1643"/>
      <c r="U810" s="1643"/>
      <c r="V810" s="1643"/>
      <c r="W810" s="1643"/>
      <c r="X810" s="1643"/>
      <c r="Y810" s="1643"/>
      <c r="Z810" s="1643"/>
      <c r="AA810" s="1643"/>
      <c r="AB810" s="1643"/>
      <c r="AC810" s="1643"/>
      <c r="AD810" s="1643"/>
      <c r="AE810" s="1643"/>
      <c r="AF810" s="1643"/>
      <c r="AG810" s="1643"/>
      <c r="AH810" s="1643"/>
      <c r="AI810" s="1643"/>
      <c r="AJ810" s="1643"/>
      <c r="AK810" s="1643"/>
      <c r="AL810" s="1643"/>
      <c r="AM810" s="1643"/>
    </row>
    <row r="811" spans="1:39" ht="15.75" customHeight="1" x14ac:dyDescent="0.3">
      <c r="A811" s="1643"/>
      <c r="B811" s="1643"/>
      <c r="C811" s="1643"/>
      <c r="D811" s="1643"/>
      <c r="E811" s="1643"/>
      <c r="F811" s="1643"/>
      <c r="G811" s="1643"/>
      <c r="H811" s="1643"/>
      <c r="I811" s="1643"/>
      <c r="J811" s="1643"/>
      <c r="K811" s="1643"/>
      <c r="L811" s="1643"/>
      <c r="M811" s="1643"/>
      <c r="N811" s="1643"/>
      <c r="O811" s="1643"/>
      <c r="P811" s="1643"/>
      <c r="Q811" s="1643"/>
      <c r="R811" s="1643"/>
      <c r="S811" s="1643"/>
      <c r="T811" s="1643"/>
      <c r="U811" s="1643"/>
      <c r="V811" s="1643"/>
      <c r="W811" s="1643"/>
      <c r="X811" s="1643"/>
      <c r="Y811" s="1643"/>
      <c r="Z811" s="1643"/>
      <c r="AA811" s="1643"/>
      <c r="AB811" s="1643"/>
      <c r="AC811" s="1643"/>
      <c r="AD811" s="1643"/>
      <c r="AE811" s="1643"/>
      <c r="AF811" s="1643"/>
      <c r="AG811" s="1643"/>
      <c r="AH811" s="1643"/>
      <c r="AI811" s="1643"/>
      <c r="AJ811" s="1643"/>
      <c r="AK811" s="1643"/>
      <c r="AL811" s="1643"/>
      <c r="AM811" s="1643"/>
    </row>
    <row r="812" spans="1:39" ht="15.75" customHeight="1" x14ac:dyDescent="0.3">
      <c r="A812" s="1643"/>
      <c r="B812" s="1643"/>
      <c r="C812" s="1643"/>
      <c r="D812" s="1643"/>
      <c r="E812" s="1643"/>
      <c r="F812" s="1643"/>
      <c r="G812" s="1643"/>
      <c r="H812" s="1643"/>
      <c r="I812" s="1643"/>
      <c r="J812" s="1643"/>
      <c r="K812" s="1643"/>
      <c r="L812" s="1643"/>
      <c r="M812" s="1643"/>
      <c r="N812" s="1643"/>
      <c r="O812" s="1643"/>
      <c r="P812" s="1643"/>
      <c r="Q812" s="1643"/>
      <c r="R812" s="1643"/>
      <c r="S812" s="1643"/>
      <c r="T812" s="1643"/>
      <c r="U812" s="1643"/>
      <c r="V812" s="1643"/>
      <c r="W812" s="1643"/>
      <c r="X812" s="1643"/>
      <c r="Y812" s="1643"/>
      <c r="Z812" s="1643"/>
      <c r="AA812" s="1643"/>
      <c r="AB812" s="1643"/>
      <c r="AC812" s="1643"/>
      <c r="AD812" s="1643"/>
      <c r="AE812" s="1643"/>
      <c r="AF812" s="1643"/>
      <c r="AG812" s="1643"/>
      <c r="AH812" s="1643"/>
      <c r="AI812" s="1643"/>
      <c r="AJ812" s="1643"/>
      <c r="AK812" s="1643"/>
      <c r="AL812" s="1643"/>
      <c r="AM812" s="1643"/>
    </row>
    <row r="813" spans="1:39" ht="15.75" customHeight="1" x14ac:dyDescent="0.3">
      <c r="A813" s="1643"/>
      <c r="B813" s="1643"/>
      <c r="C813" s="1643"/>
      <c r="D813" s="1643"/>
      <c r="E813" s="1643"/>
      <c r="F813" s="1643"/>
      <c r="G813" s="1643"/>
      <c r="H813" s="1643"/>
      <c r="I813" s="1643"/>
      <c r="J813" s="1643"/>
      <c r="K813" s="1643"/>
      <c r="L813" s="1643"/>
      <c r="M813" s="1643"/>
      <c r="N813" s="1643"/>
      <c r="O813" s="1643"/>
      <c r="P813" s="1643"/>
      <c r="Q813" s="1643"/>
      <c r="R813" s="1643"/>
      <c r="S813" s="1643"/>
      <c r="T813" s="1643"/>
      <c r="U813" s="1643"/>
      <c r="V813" s="1643"/>
      <c r="W813" s="1643"/>
      <c r="X813" s="1643"/>
      <c r="Y813" s="1643"/>
      <c r="Z813" s="1643"/>
      <c r="AA813" s="1643"/>
      <c r="AB813" s="1643"/>
      <c r="AC813" s="1643"/>
      <c r="AD813" s="1643"/>
      <c r="AE813" s="1643"/>
      <c r="AF813" s="1643"/>
      <c r="AG813" s="1643"/>
      <c r="AH813" s="1643"/>
      <c r="AI813" s="1643"/>
      <c r="AJ813" s="1643"/>
      <c r="AK813" s="1643"/>
      <c r="AL813" s="1643"/>
      <c r="AM813" s="1643"/>
    </row>
    <row r="814" spans="1:39" ht="15.75" customHeight="1" x14ac:dyDescent="0.3">
      <c r="A814" s="1643"/>
      <c r="B814" s="1643"/>
      <c r="C814" s="1643"/>
      <c r="D814" s="1643"/>
      <c r="E814" s="1643"/>
      <c r="F814" s="1643"/>
      <c r="G814" s="1643"/>
      <c r="H814" s="1643"/>
      <c r="I814" s="1643"/>
      <c r="J814" s="1643"/>
      <c r="K814" s="1643"/>
      <c r="L814" s="1643"/>
      <c r="M814" s="1643"/>
      <c r="N814" s="1643"/>
      <c r="O814" s="1643"/>
      <c r="P814" s="1643"/>
      <c r="Q814" s="1643"/>
      <c r="R814" s="1643"/>
      <c r="S814" s="1643"/>
      <c r="T814" s="1643"/>
      <c r="U814" s="1643"/>
      <c r="V814" s="1643"/>
      <c r="W814" s="1643"/>
      <c r="X814" s="1643"/>
      <c r="Y814" s="1643"/>
      <c r="Z814" s="1643"/>
      <c r="AA814" s="1643"/>
      <c r="AB814" s="1643"/>
      <c r="AC814" s="1643"/>
      <c r="AD814" s="1643"/>
      <c r="AE814" s="1643"/>
      <c r="AF814" s="1643"/>
      <c r="AG814" s="1643"/>
      <c r="AH814" s="1643"/>
      <c r="AI814" s="1643"/>
      <c r="AJ814" s="1643"/>
      <c r="AK814" s="1643"/>
      <c r="AL814" s="1643"/>
      <c r="AM814" s="1643"/>
    </row>
    <row r="815" spans="1:39" ht="15.75" customHeight="1" x14ac:dyDescent="0.3">
      <c r="A815" s="1643"/>
      <c r="B815" s="1643"/>
      <c r="C815" s="1643"/>
      <c r="D815" s="1643"/>
      <c r="E815" s="1643"/>
      <c r="F815" s="1643"/>
      <c r="G815" s="1643"/>
      <c r="H815" s="1643"/>
      <c r="I815" s="1643"/>
      <c r="J815" s="1643"/>
      <c r="K815" s="1643"/>
      <c r="L815" s="1643"/>
      <c r="M815" s="1643"/>
      <c r="N815" s="1643"/>
      <c r="O815" s="1643"/>
      <c r="P815" s="1643"/>
      <c r="Q815" s="1643"/>
      <c r="R815" s="1643"/>
      <c r="S815" s="1643"/>
      <c r="T815" s="1643"/>
      <c r="U815" s="1643"/>
      <c r="V815" s="1643"/>
      <c r="W815" s="1643"/>
      <c r="X815" s="1643"/>
      <c r="Y815" s="1643"/>
      <c r="Z815" s="1643"/>
      <c r="AA815" s="1643"/>
      <c r="AB815" s="1643"/>
      <c r="AC815" s="1643"/>
      <c r="AD815" s="1643"/>
      <c r="AE815" s="1643"/>
      <c r="AF815" s="1643"/>
      <c r="AG815" s="1643"/>
      <c r="AH815" s="1643"/>
      <c r="AI815" s="1643"/>
      <c r="AJ815" s="1643"/>
      <c r="AK815" s="1643"/>
      <c r="AL815" s="1643"/>
      <c r="AM815" s="1643"/>
    </row>
    <row r="816" spans="1:39" ht="15.75" customHeight="1" x14ac:dyDescent="0.3">
      <c r="A816" s="1643"/>
      <c r="B816" s="1643"/>
      <c r="C816" s="1643"/>
      <c r="D816" s="1643"/>
      <c r="E816" s="1643"/>
      <c r="F816" s="1643"/>
      <c r="G816" s="1643"/>
      <c r="H816" s="1643"/>
      <c r="I816" s="1643"/>
      <c r="J816" s="1643"/>
      <c r="K816" s="1643"/>
      <c r="L816" s="1643"/>
      <c r="M816" s="1643"/>
      <c r="N816" s="1643"/>
      <c r="O816" s="1643"/>
      <c r="P816" s="1643"/>
      <c r="Q816" s="1643"/>
      <c r="R816" s="1643"/>
      <c r="S816" s="1643"/>
      <c r="T816" s="1643"/>
      <c r="U816" s="1643"/>
      <c r="V816" s="1643"/>
      <c r="W816" s="1643"/>
      <c r="X816" s="1643"/>
      <c r="Y816" s="1643"/>
      <c r="Z816" s="1643"/>
      <c r="AA816" s="1643"/>
      <c r="AB816" s="1643"/>
      <c r="AC816" s="1643"/>
      <c r="AD816" s="1643"/>
      <c r="AE816" s="1643"/>
      <c r="AF816" s="1643"/>
      <c r="AG816" s="1643"/>
      <c r="AH816" s="1643"/>
      <c r="AI816" s="1643"/>
      <c r="AJ816" s="1643"/>
      <c r="AK816" s="1643"/>
      <c r="AL816" s="1643"/>
      <c r="AM816" s="1643"/>
    </row>
    <row r="817" spans="1:39" ht="15.75" customHeight="1" x14ac:dyDescent="0.3">
      <c r="A817" s="1643"/>
      <c r="B817" s="1643"/>
      <c r="C817" s="1643"/>
      <c r="D817" s="1643"/>
      <c r="E817" s="1643"/>
      <c r="F817" s="1643"/>
      <c r="G817" s="1643"/>
      <c r="H817" s="1643"/>
      <c r="I817" s="1643"/>
      <c r="J817" s="1643"/>
      <c r="K817" s="1643"/>
      <c r="L817" s="1643"/>
      <c r="M817" s="1643"/>
      <c r="N817" s="1643"/>
      <c r="O817" s="1643"/>
      <c r="P817" s="1643"/>
      <c r="Q817" s="1643"/>
      <c r="R817" s="1643"/>
      <c r="S817" s="1643"/>
      <c r="T817" s="1643"/>
      <c r="U817" s="1643"/>
      <c r="V817" s="1643"/>
      <c r="W817" s="1643"/>
      <c r="X817" s="1643"/>
      <c r="Y817" s="1643"/>
      <c r="Z817" s="1643"/>
      <c r="AA817" s="1643"/>
      <c r="AB817" s="1643"/>
      <c r="AC817" s="1643"/>
      <c r="AD817" s="1643"/>
      <c r="AE817" s="1643"/>
      <c r="AF817" s="1643"/>
      <c r="AG817" s="1643"/>
      <c r="AH817" s="1643"/>
      <c r="AI817" s="1643"/>
      <c r="AJ817" s="1643"/>
      <c r="AK817" s="1643"/>
      <c r="AL817" s="1643"/>
      <c r="AM817" s="1643"/>
    </row>
    <row r="818" spans="1:39" ht="15.75" customHeight="1" x14ac:dyDescent="0.3">
      <c r="A818" s="1643"/>
      <c r="B818" s="1643"/>
      <c r="C818" s="1643"/>
      <c r="D818" s="1643"/>
      <c r="E818" s="1643"/>
      <c r="F818" s="1643"/>
      <c r="G818" s="1643"/>
      <c r="H818" s="1643"/>
      <c r="I818" s="1643"/>
      <c r="J818" s="1643"/>
      <c r="K818" s="1643"/>
      <c r="L818" s="1643"/>
      <c r="M818" s="1643"/>
      <c r="N818" s="1643"/>
      <c r="O818" s="1643"/>
      <c r="P818" s="1643"/>
      <c r="Q818" s="1643"/>
      <c r="R818" s="1643"/>
      <c r="S818" s="1643"/>
      <c r="T818" s="1643"/>
      <c r="U818" s="1643"/>
      <c r="V818" s="1643"/>
      <c r="W818" s="1643"/>
      <c r="X818" s="1643"/>
      <c r="Y818" s="1643"/>
      <c r="Z818" s="1643"/>
      <c r="AA818" s="1643"/>
      <c r="AB818" s="1643"/>
      <c r="AC818" s="1643"/>
      <c r="AD818" s="1643"/>
      <c r="AE818" s="1643"/>
      <c r="AF818" s="1643"/>
      <c r="AG818" s="1643"/>
      <c r="AH818" s="1643"/>
      <c r="AI818" s="1643"/>
      <c r="AJ818" s="1643"/>
      <c r="AK818" s="1643"/>
      <c r="AL818" s="1643"/>
      <c r="AM818" s="1643"/>
    </row>
    <row r="819" spans="1:39" ht="15.75" customHeight="1" x14ac:dyDescent="0.3">
      <c r="A819" s="1643"/>
      <c r="B819" s="1643"/>
      <c r="C819" s="1643"/>
      <c r="D819" s="1643"/>
      <c r="E819" s="1643"/>
      <c r="F819" s="1643"/>
      <c r="G819" s="1643"/>
      <c r="H819" s="1643"/>
      <c r="I819" s="1643"/>
      <c r="J819" s="1643"/>
      <c r="K819" s="1643"/>
      <c r="L819" s="1643"/>
      <c r="M819" s="1643"/>
      <c r="N819" s="1643"/>
      <c r="O819" s="1643"/>
      <c r="P819" s="1643"/>
      <c r="Q819" s="1643"/>
      <c r="R819" s="1643"/>
      <c r="S819" s="1643"/>
      <c r="T819" s="1643"/>
      <c r="U819" s="1643"/>
      <c r="V819" s="1643"/>
      <c r="W819" s="1643"/>
      <c r="X819" s="1643"/>
      <c r="Y819" s="1643"/>
      <c r="Z819" s="1643"/>
      <c r="AA819" s="1643"/>
      <c r="AB819" s="1643"/>
      <c r="AC819" s="1643"/>
      <c r="AD819" s="1643"/>
      <c r="AE819" s="1643"/>
      <c r="AF819" s="1643"/>
      <c r="AG819" s="1643"/>
      <c r="AH819" s="1643"/>
      <c r="AI819" s="1643"/>
      <c r="AJ819" s="1643"/>
      <c r="AK819" s="1643"/>
      <c r="AL819" s="1643"/>
      <c r="AM819" s="1643"/>
    </row>
    <row r="820" spans="1:39" ht="15.75" customHeight="1" x14ac:dyDescent="0.3">
      <c r="A820" s="1643"/>
      <c r="B820" s="1643"/>
      <c r="C820" s="1643"/>
      <c r="D820" s="1643"/>
      <c r="E820" s="1643"/>
      <c r="F820" s="1643"/>
      <c r="G820" s="1643"/>
      <c r="H820" s="1643"/>
      <c r="I820" s="1643"/>
      <c r="J820" s="1643"/>
      <c r="K820" s="1643"/>
      <c r="L820" s="1643"/>
      <c r="M820" s="1643"/>
      <c r="N820" s="1643"/>
      <c r="O820" s="1643"/>
      <c r="P820" s="1643"/>
      <c r="Q820" s="1643"/>
      <c r="R820" s="1643"/>
      <c r="S820" s="1643"/>
      <c r="T820" s="1643"/>
      <c r="U820" s="1643"/>
      <c r="V820" s="1643"/>
      <c r="W820" s="1643"/>
      <c r="X820" s="1643"/>
      <c r="Y820" s="1643"/>
      <c r="Z820" s="1643"/>
      <c r="AA820" s="1643"/>
      <c r="AB820" s="1643"/>
      <c r="AC820" s="1643"/>
      <c r="AD820" s="1643"/>
      <c r="AE820" s="1643"/>
      <c r="AF820" s="1643"/>
      <c r="AG820" s="1643"/>
      <c r="AH820" s="1643"/>
      <c r="AI820" s="1643"/>
      <c r="AJ820" s="1643"/>
      <c r="AK820" s="1643"/>
      <c r="AL820" s="1643"/>
      <c r="AM820" s="1643"/>
    </row>
    <row r="821" spans="1:39" ht="15.75" customHeight="1" x14ac:dyDescent="0.3">
      <c r="A821" s="1643"/>
      <c r="B821" s="1643"/>
      <c r="C821" s="1643"/>
      <c r="D821" s="1643"/>
      <c r="E821" s="1643"/>
      <c r="F821" s="1643"/>
      <c r="G821" s="1643"/>
      <c r="H821" s="1643"/>
      <c r="I821" s="1643"/>
      <c r="J821" s="1643"/>
      <c r="K821" s="1643"/>
      <c r="L821" s="1643"/>
      <c r="M821" s="1643"/>
      <c r="N821" s="1643"/>
      <c r="O821" s="1643"/>
      <c r="P821" s="1643"/>
      <c r="Q821" s="1643"/>
      <c r="R821" s="1643"/>
      <c r="S821" s="1643"/>
      <c r="T821" s="1643"/>
      <c r="U821" s="1643"/>
      <c r="V821" s="1643"/>
      <c r="W821" s="1643"/>
      <c r="X821" s="1643"/>
      <c r="Y821" s="1643"/>
      <c r="Z821" s="1643"/>
      <c r="AA821" s="1643"/>
      <c r="AB821" s="1643"/>
      <c r="AC821" s="1643"/>
      <c r="AD821" s="1643"/>
      <c r="AE821" s="1643"/>
      <c r="AF821" s="1643"/>
      <c r="AG821" s="1643"/>
      <c r="AH821" s="1643"/>
      <c r="AI821" s="1643"/>
      <c r="AJ821" s="1643"/>
      <c r="AK821" s="1643"/>
      <c r="AL821" s="1643"/>
      <c r="AM821" s="1643"/>
    </row>
    <row r="822" spans="1:39" ht="15.75" customHeight="1" x14ac:dyDescent="0.3">
      <c r="A822" s="1643"/>
      <c r="B822" s="1643"/>
      <c r="C822" s="1643"/>
      <c r="D822" s="1643"/>
      <c r="E822" s="1643"/>
      <c r="F822" s="1643"/>
      <c r="G822" s="1643"/>
      <c r="H822" s="1643"/>
      <c r="I822" s="1643"/>
      <c r="J822" s="1643"/>
      <c r="K822" s="1643"/>
      <c r="L822" s="1643"/>
      <c r="M822" s="1643"/>
      <c r="N822" s="1643"/>
      <c r="O822" s="1643"/>
      <c r="P822" s="1643"/>
      <c r="Q822" s="1643"/>
      <c r="R822" s="1643"/>
      <c r="S822" s="1643"/>
      <c r="T822" s="1643"/>
      <c r="U822" s="1643"/>
      <c r="V822" s="1643"/>
      <c r="W822" s="1643"/>
      <c r="X822" s="1643"/>
      <c r="Y822" s="1643"/>
      <c r="Z822" s="1643"/>
      <c r="AA822" s="1643"/>
      <c r="AB822" s="1643"/>
      <c r="AC822" s="1643"/>
      <c r="AD822" s="1643"/>
      <c r="AE822" s="1643"/>
      <c r="AF822" s="1643"/>
      <c r="AG822" s="1643"/>
      <c r="AH822" s="1643"/>
      <c r="AI822" s="1643"/>
      <c r="AJ822" s="1643"/>
      <c r="AK822" s="1643"/>
      <c r="AL822" s="1643"/>
      <c r="AM822" s="1643"/>
    </row>
    <row r="823" spans="1:39" ht="15.75" customHeight="1" x14ac:dyDescent="0.3">
      <c r="A823" s="1643"/>
      <c r="B823" s="1643"/>
      <c r="C823" s="1643"/>
      <c r="D823" s="1643"/>
      <c r="E823" s="1643"/>
      <c r="F823" s="1643"/>
      <c r="G823" s="1643"/>
      <c r="H823" s="1643"/>
      <c r="I823" s="1643"/>
      <c r="J823" s="1643"/>
      <c r="K823" s="1643"/>
      <c r="L823" s="1643"/>
      <c r="M823" s="1643"/>
      <c r="N823" s="1643"/>
      <c r="O823" s="1643"/>
      <c r="P823" s="1643"/>
      <c r="Q823" s="1643"/>
      <c r="R823" s="1643"/>
      <c r="S823" s="1643"/>
      <c r="T823" s="1643"/>
      <c r="U823" s="1643"/>
      <c r="V823" s="1643"/>
      <c r="W823" s="1643"/>
      <c r="X823" s="1643"/>
      <c r="Y823" s="1643"/>
      <c r="Z823" s="1643"/>
      <c r="AA823" s="1643"/>
      <c r="AB823" s="1643"/>
      <c r="AC823" s="1643"/>
      <c r="AD823" s="1643"/>
      <c r="AE823" s="1643"/>
      <c r="AF823" s="1643"/>
      <c r="AG823" s="1643"/>
      <c r="AH823" s="1643"/>
      <c r="AI823" s="1643"/>
      <c r="AJ823" s="1643"/>
      <c r="AK823" s="1643"/>
      <c r="AL823" s="1643"/>
      <c r="AM823" s="1643"/>
    </row>
    <row r="824" spans="1:39" ht="15.75" customHeight="1" x14ac:dyDescent="0.3">
      <c r="A824" s="1643"/>
      <c r="B824" s="1643"/>
      <c r="C824" s="1643"/>
      <c r="D824" s="1643"/>
      <c r="E824" s="1643"/>
      <c r="F824" s="1643"/>
      <c r="G824" s="1643"/>
      <c r="H824" s="1643"/>
      <c r="I824" s="1643"/>
      <c r="J824" s="1643"/>
      <c r="K824" s="1643"/>
      <c r="L824" s="1643"/>
      <c r="M824" s="1643"/>
      <c r="N824" s="1643"/>
      <c r="O824" s="1643"/>
      <c r="P824" s="1643"/>
      <c r="Q824" s="1643"/>
      <c r="R824" s="1643"/>
      <c r="S824" s="1643"/>
      <c r="T824" s="1643"/>
      <c r="U824" s="1643"/>
      <c r="V824" s="1643"/>
      <c r="W824" s="1643"/>
      <c r="X824" s="1643"/>
      <c r="Y824" s="1643"/>
      <c r="Z824" s="1643"/>
      <c r="AA824" s="1643"/>
      <c r="AB824" s="1643"/>
      <c r="AC824" s="1643"/>
      <c r="AD824" s="1643"/>
      <c r="AE824" s="1643"/>
      <c r="AF824" s="1643"/>
      <c r="AG824" s="1643"/>
      <c r="AH824" s="1643"/>
      <c r="AI824" s="1643"/>
      <c r="AJ824" s="1643"/>
      <c r="AK824" s="1643"/>
      <c r="AL824" s="1643"/>
      <c r="AM824" s="1643"/>
    </row>
    <row r="825" spans="1:39" ht="15.75" customHeight="1" x14ac:dyDescent="0.3">
      <c r="A825" s="1643"/>
      <c r="B825" s="1643"/>
      <c r="C825" s="1643"/>
      <c r="D825" s="1643"/>
      <c r="E825" s="1643"/>
      <c r="F825" s="1643"/>
      <c r="G825" s="1643"/>
      <c r="H825" s="1643"/>
      <c r="I825" s="1643"/>
      <c r="J825" s="1643"/>
      <c r="K825" s="1643"/>
      <c r="L825" s="1643"/>
      <c r="M825" s="1643"/>
      <c r="N825" s="1643"/>
      <c r="O825" s="1643"/>
      <c r="P825" s="1643"/>
      <c r="Q825" s="1643"/>
      <c r="R825" s="1643"/>
      <c r="S825" s="1643"/>
      <c r="T825" s="1643"/>
      <c r="U825" s="1643"/>
      <c r="V825" s="1643"/>
      <c r="W825" s="1643"/>
      <c r="X825" s="1643"/>
      <c r="Y825" s="1643"/>
      <c r="Z825" s="1643"/>
      <c r="AA825" s="1643"/>
      <c r="AB825" s="1643"/>
      <c r="AC825" s="1643"/>
      <c r="AD825" s="1643"/>
      <c r="AE825" s="1643"/>
      <c r="AF825" s="1643"/>
      <c r="AG825" s="1643"/>
      <c r="AH825" s="1643"/>
      <c r="AI825" s="1643"/>
      <c r="AJ825" s="1643"/>
      <c r="AK825" s="1643"/>
      <c r="AL825" s="1643"/>
      <c r="AM825" s="1643"/>
    </row>
    <row r="826" spans="1:39" ht="15.75" customHeight="1" x14ac:dyDescent="0.3">
      <c r="A826" s="1643"/>
      <c r="B826" s="1643"/>
      <c r="C826" s="1643"/>
      <c r="D826" s="1643"/>
      <c r="E826" s="1643"/>
      <c r="F826" s="1643"/>
      <c r="G826" s="1643"/>
      <c r="H826" s="1643"/>
      <c r="I826" s="1643"/>
      <c r="J826" s="1643"/>
      <c r="K826" s="1643"/>
      <c r="L826" s="1643"/>
      <c r="M826" s="1643"/>
      <c r="N826" s="1643"/>
      <c r="O826" s="1643"/>
      <c r="P826" s="1643"/>
      <c r="Q826" s="1643"/>
      <c r="R826" s="1643"/>
      <c r="S826" s="1643"/>
      <c r="T826" s="1643"/>
      <c r="U826" s="1643"/>
      <c r="V826" s="1643"/>
      <c r="W826" s="1643"/>
      <c r="X826" s="1643"/>
      <c r="Y826" s="1643"/>
      <c r="Z826" s="1643"/>
      <c r="AA826" s="1643"/>
      <c r="AB826" s="1643"/>
      <c r="AC826" s="1643"/>
      <c r="AD826" s="1643"/>
      <c r="AE826" s="1643"/>
      <c r="AF826" s="1643"/>
      <c r="AG826" s="1643"/>
      <c r="AH826" s="1643"/>
      <c r="AI826" s="1643"/>
      <c r="AJ826" s="1643"/>
      <c r="AK826" s="1643"/>
      <c r="AL826" s="1643"/>
      <c r="AM826" s="1643"/>
    </row>
    <row r="827" spans="1:39" ht="15.75" customHeight="1" x14ac:dyDescent="0.3">
      <c r="A827" s="1643"/>
      <c r="B827" s="1643"/>
      <c r="C827" s="1643"/>
      <c r="D827" s="1643"/>
      <c r="E827" s="1643"/>
      <c r="F827" s="1643"/>
      <c r="G827" s="1643"/>
      <c r="H827" s="1643"/>
      <c r="I827" s="1643"/>
      <c r="J827" s="1643"/>
      <c r="K827" s="1643"/>
      <c r="L827" s="1643"/>
      <c r="M827" s="1643"/>
      <c r="N827" s="1643"/>
      <c r="O827" s="1643"/>
      <c r="P827" s="1643"/>
      <c r="Q827" s="1643"/>
      <c r="R827" s="1643"/>
      <c r="S827" s="1643"/>
      <c r="T827" s="1643"/>
      <c r="U827" s="1643"/>
      <c r="V827" s="1643"/>
      <c r="W827" s="1643"/>
      <c r="X827" s="1643"/>
      <c r="Y827" s="1643"/>
      <c r="Z827" s="1643"/>
      <c r="AA827" s="1643"/>
      <c r="AB827" s="1643"/>
      <c r="AC827" s="1643"/>
      <c r="AD827" s="1643"/>
      <c r="AE827" s="1643"/>
      <c r="AF827" s="1643"/>
      <c r="AG827" s="1643"/>
      <c r="AH827" s="1643"/>
      <c r="AI827" s="1643"/>
      <c r="AJ827" s="1643"/>
      <c r="AK827" s="1643"/>
      <c r="AL827" s="1643"/>
      <c r="AM827" s="1643"/>
    </row>
    <row r="828" spans="1:39" ht="15.75" customHeight="1" x14ac:dyDescent="0.3">
      <c r="A828" s="1643"/>
      <c r="B828" s="1643"/>
      <c r="C828" s="1643"/>
      <c r="D828" s="1643"/>
      <c r="E828" s="1643"/>
      <c r="F828" s="1643"/>
      <c r="G828" s="1643"/>
      <c r="H828" s="1643"/>
      <c r="I828" s="1643"/>
      <c r="J828" s="1643"/>
      <c r="K828" s="1643"/>
      <c r="L828" s="1643"/>
      <c r="M828" s="1643"/>
      <c r="N828" s="1643"/>
      <c r="O828" s="1643"/>
      <c r="P828" s="1643"/>
      <c r="Q828" s="1643"/>
      <c r="R828" s="1643"/>
      <c r="S828" s="1643"/>
      <c r="T828" s="1643"/>
      <c r="U828" s="1643"/>
      <c r="V828" s="1643"/>
      <c r="W828" s="1643"/>
      <c r="X828" s="1643"/>
      <c r="Y828" s="1643"/>
      <c r="Z828" s="1643"/>
      <c r="AA828" s="1643"/>
      <c r="AB828" s="1643"/>
      <c r="AC828" s="1643"/>
      <c r="AD828" s="1643"/>
      <c r="AE828" s="1643"/>
      <c r="AF828" s="1643"/>
      <c r="AG828" s="1643"/>
      <c r="AH828" s="1643"/>
      <c r="AI828" s="1643"/>
      <c r="AJ828" s="1643"/>
      <c r="AK828" s="1643"/>
      <c r="AL828" s="1643"/>
      <c r="AM828" s="1643"/>
    </row>
    <row r="829" spans="1:39" ht="15.75" customHeight="1" x14ac:dyDescent="0.3">
      <c r="A829" s="1643"/>
      <c r="B829" s="1643"/>
      <c r="C829" s="1643"/>
      <c r="D829" s="1643"/>
      <c r="E829" s="1643"/>
      <c r="F829" s="1643"/>
      <c r="G829" s="1643"/>
      <c r="H829" s="1643"/>
      <c r="I829" s="1643"/>
      <c r="J829" s="1643"/>
      <c r="K829" s="1643"/>
      <c r="L829" s="1643"/>
      <c r="M829" s="1643"/>
      <c r="N829" s="1643"/>
      <c r="O829" s="1643"/>
      <c r="P829" s="1643"/>
      <c r="Q829" s="1643"/>
      <c r="R829" s="1643"/>
      <c r="S829" s="1643"/>
      <c r="T829" s="1643"/>
      <c r="U829" s="1643"/>
      <c r="V829" s="1643"/>
      <c r="W829" s="1643"/>
      <c r="X829" s="1643"/>
      <c r="Y829" s="1643"/>
      <c r="Z829" s="1643"/>
      <c r="AA829" s="1643"/>
      <c r="AB829" s="1643"/>
      <c r="AC829" s="1643"/>
      <c r="AD829" s="1643"/>
      <c r="AE829" s="1643"/>
      <c r="AF829" s="1643"/>
      <c r="AG829" s="1643"/>
      <c r="AH829" s="1643"/>
      <c r="AI829" s="1643"/>
      <c r="AJ829" s="1643"/>
      <c r="AK829" s="1643"/>
      <c r="AL829" s="1643"/>
      <c r="AM829" s="1643"/>
    </row>
    <row r="830" spans="1:39" ht="15.75" customHeight="1" x14ac:dyDescent="0.3">
      <c r="A830" s="1643"/>
      <c r="B830" s="1643"/>
      <c r="C830" s="1643"/>
      <c r="D830" s="1643"/>
      <c r="E830" s="1643"/>
      <c r="F830" s="1643"/>
      <c r="G830" s="1643"/>
      <c r="H830" s="1643"/>
      <c r="I830" s="1643"/>
      <c r="J830" s="1643"/>
      <c r="K830" s="1643"/>
      <c r="L830" s="1643"/>
      <c r="M830" s="1643"/>
      <c r="N830" s="1643"/>
      <c r="O830" s="1643"/>
      <c r="P830" s="1643"/>
      <c r="Q830" s="1643"/>
      <c r="R830" s="1643"/>
      <c r="S830" s="1643"/>
      <c r="T830" s="1643"/>
      <c r="U830" s="1643"/>
      <c r="V830" s="1643"/>
      <c r="W830" s="1643"/>
      <c r="X830" s="1643"/>
      <c r="Y830" s="1643"/>
      <c r="Z830" s="1643"/>
      <c r="AA830" s="1643"/>
      <c r="AB830" s="1643"/>
      <c r="AC830" s="1643"/>
      <c r="AD830" s="1643"/>
      <c r="AE830" s="1643"/>
      <c r="AF830" s="1643"/>
      <c r="AG830" s="1643"/>
      <c r="AH830" s="1643"/>
      <c r="AI830" s="1643"/>
      <c r="AJ830" s="1643"/>
      <c r="AK830" s="1643"/>
      <c r="AL830" s="1643"/>
      <c r="AM830" s="1643"/>
    </row>
    <row r="831" spans="1:39" ht="15.75" customHeight="1" x14ac:dyDescent="0.3">
      <c r="A831" s="1643"/>
      <c r="B831" s="1643"/>
      <c r="C831" s="1643"/>
      <c r="D831" s="1643"/>
      <c r="E831" s="1643"/>
      <c r="F831" s="1643"/>
      <c r="G831" s="1643"/>
      <c r="H831" s="1643"/>
      <c r="I831" s="1643"/>
      <c r="J831" s="1643"/>
      <c r="K831" s="1643"/>
      <c r="L831" s="1643"/>
      <c r="M831" s="1643"/>
      <c r="N831" s="1643"/>
      <c r="O831" s="1643"/>
      <c r="P831" s="1643"/>
      <c r="Q831" s="1643"/>
      <c r="R831" s="1643"/>
      <c r="S831" s="1643"/>
      <c r="T831" s="1643"/>
      <c r="U831" s="1643"/>
      <c r="V831" s="1643"/>
      <c r="W831" s="1643"/>
      <c r="X831" s="1643"/>
      <c r="Y831" s="1643"/>
      <c r="Z831" s="1643"/>
      <c r="AA831" s="1643"/>
      <c r="AB831" s="1643"/>
      <c r="AC831" s="1643"/>
      <c r="AD831" s="1643"/>
      <c r="AE831" s="1643"/>
      <c r="AF831" s="1643"/>
      <c r="AG831" s="1643"/>
      <c r="AH831" s="1643"/>
      <c r="AI831" s="1643"/>
      <c r="AJ831" s="1643"/>
      <c r="AK831" s="1643"/>
      <c r="AL831" s="1643"/>
      <c r="AM831" s="1643"/>
    </row>
    <row r="832" spans="1:39" ht="15.75" customHeight="1" x14ac:dyDescent="0.3">
      <c r="A832" s="1643"/>
      <c r="B832" s="1643"/>
      <c r="C832" s="1643"/>
      <c r="D832" s="1643"/>
      <c r="E832" s="1643"/>
      <c r="F832" s="1643"/>
      <c r="G832" s="1643"/>
      <c r="H832" s="1643"/>
      <c r="I832" s="1643"/>
      <c r="J832" s="1643"/>
      <c r="K832" s="1643"/>
      <c r="L832" s="1643"/>
      <c r="M832" s="1643"/>
      <c r="N832" s="1643"/>
      <c r="O832" s="1643"/>
      <c r="P832" s="1643"/>
      <c r="Q832" s="1643"/>
      <c r="R832" s="1643"/>
      <c r="S832" s="1643"/>
      <c r="T832" s="1643"/>
      <c r="U832" s="1643"/>
      <c r="V832" s="1643"/>
      <c r="W832" s="1643"/>
      <c r="X832" s="1643"/>
      <c r="Y832" s="1643"/>
      <c r="Z832" s="1643"/>
      <c r="AA832" s="1643"/>
      <c r="AB832" s="1643"/>
      <c r="AC832" s="1643"/>
      <c r="AD832" s="1643"/>
      <c r="AE832" s="1643"/>
      <c r="AF832" s="1643"/>
      <c r="AG832" s="1643"/>
      <c r="AH832" s="1643"/>
      <c r="AI832" s="1643"/>
      <c r="AJ832" s="1643"/>
      <c r="AK832" s="1643"/>
      <c r="AL832" s="1643"/>
      <c r="AM832" s="1643"/>
    </row>
    <row r="833" spans="1:39" ht="15.75" customHeight="1" x14ac:dyDescent="0.3">
      <c r="A833" s="1643"/>
      <c r="B833" s="1643"/>
      <c r="C833" s="1643"/>
      <c r="D833" s="1643"/>
      <c r="E833" s="1643"/>
      <c r="F833" s="1643"/>
      <c r="G833" s="1643"/>
      <c r="H833" s="1643"/>
      <c r="I833" s="1643"/>
      <c r="J833" s="1643"/>
      <c r="K833" s="1643"/>
      <c r="L833" s="1643"/>
      <c r="M833" s="1643"/>
      <c r="N833" s="1643"/>
      <c r="O833" s="1643"/>
      <c r="P833" s="1643"/>
      <c r="Q833" s="1643"/>
      <c r="R833" s="1643"/>
      <c r="S833" s="1643"/>
      <c r="T833" s="1643"/>
      <c r="U833" s="1643"/>
      <c r="V833" s="1643"/>
      <c r="W833" s="1643"/>
      <c r="X833" s="1643"/>
      <c r="Y833" s="1643"/>
      <c r="Z833" s="1643"/>
      <c r="AA833" s="1643"/>
      <c r="AB833" s="1643"/>
      <c r="AC833" s="1643"/>
      <c r="AD833" s="1643"/>
      <c r="AE833" s="1643"/>
      <c r="AF833" s="1643"/>
      <c r="AG833" s="1643"/>
      <c r="AH833" s="1643"/>
      <c r="AI833" s="1643"/>
      <c r="AJ833" s="1643"/>
      <c r="AK833" s="1643"/>
      <c r="AL833" s="1643"/>
      <c r="AM833" s="1643"/>
    </row>
    <row r="834" spans="1:39" ht="15.75" customHeight="1" x14ac:dyDescent="0.3">
      <c r="A834" s="1643"/>
      <c r="B834" s="1643"/>
      <c r="C834" s="1643"/>
      <c r="D834" s="1643"/>
      <c r="E834" s="1643"/>
      <c r="F834" s="1643"/>
      <c r="G834" s="1643"/>
      <c r="H834" s="1643"/>
      <c r="I834" s="1643"/>
      <c r="J834" s="1643"/>
      <c r="K834" s="1643"/>
      <c r="L834" s="1643"/>
      <c r="M834" s="1643"/>
      <c r="N834" s="1643"/>
      <c r="O834" s="1643"/>
      <c r="P834" s="1643"/>
      <c r="Q834" s="1643"/>
      <c r="R834" s="1643"/>
      <c r="S834" s="1643"/>
      <c r="T834" s="1643"/>
      <c r="U834" s="1643"/>
      <c r="V834" s="1643"/>
      <c r="W834" s="1643"/>
      <c r="X834" s="1643"/>
      <c r="Y834" s="1643"/>
      <c r="Z834" s="1643"/>
      <c r="AA834" s="1643"/>
      <c r="AB834" s="1643"/>
      <c r="AC834" s="1643"/>
      <c r="AD834" s="1643"/>
      <c r="AE834" s="1643"/>
      <c r="AF834" s="1643"/>
      <c r="AG834" s="1643"/>
      <c r="AH834" s="1643"/>
      <c r="AI834" s="1643"/>
      <c r="AJ834" s="1643"/>
      <c r="AK834" s="1643"/>
      <c r="AL834" s="1643"/>
      <c r="AM834" s="1643"/>
    </row>
    <row r="835" spans="1:39" ht="15.75" customHeight="1" x14ac:dyDescent="0.3">
      <c r="A835" s="1643"/>
      <c r="B835" s="1643"/>
      <c r="C835" s="1643"/>
      <c r="D835" s="1643"/>
      <c r="E835" s="1643"/>
      <c r="F835" s="1643"/>
      <c r="G835" s="1643"/>
      <c r="H835" s="1643"/>
      <c r="I835" s="1643"/>
      <c r="J835" s="1643"/>
      <c r="K835" s="1643"/>
      <c r="L835" s="1643"/>
      <c r="M835" s="1643"/>
      <c r="N835" s="1643"/>
      <c r="O835" s="1643"/>
      <c r="P835" s="1643"/>
      <c r="Q835" s="1643"/>
      <c r="R835" s="1643"/>
      <c r="S835" s="1643"/>
      <c r="T835" s="1643"/>
      <c r="U835" s="1643"/>
      <c r="V835" s="1643"/>
      <c r="W835" s="1643"/>
      <c r="X835" s="1643"/>
      <c r="Y835" s="1643"/>
      <c r="Z835" s="1643"/>
      <c r="AA835" s="1643"/>
      <c r="AB835" s="1643"/>
      <c r="AC835" s="1643"/>
      <c r="AD835" s="1643"/>
      <c r="AE835" s="1643"/>
      <c r="AF835" s="1643"/>
      <c r="AG835" s="1643"/>
      <c r="AH835" s="1643"/>
      <c r="AI835" s="1643"/>
      <c r="AJ835" s="1643"/>
      <c r="AK835" s="1643"/>
      <c r="AL835" s="1643"/>
      <c r="AM835" s="1643"/>
    </row>
    <row r="836" spans="1:39" ht="15.75" customHeight="1" x14ac:dyDescent="0.3">
      <c r="A836" s="1643"/>
      <c r="B836" s="1643"/>
      <c r="C836" s="1643"/>
      <c r="D836" s="1643"/>
      <c r="E836" s="1643"/>
      <c r="F836" s="1643"/>
      <c r="G836" s="1643"/>
      <c r="H836" s="1643"/>
      <c r="I836" s="1643"/>
      <c r="J836" s="1643"/>
      <c r="K836" s="1643"/>
      <c r="L836" s="1643"/>
      <c r="M836" s="1643"/>
      <c r="N836" s="1643"/>
      <c r="O836" s="1643"/>
      <c r="P836" s="1643"/>
      <c r="Q836" s="1643"/>
      <c r="R836" s="1643"/>
      <c r="S836" s="1643"/>
      <c r="T836" s="1643"/>
      <c r="U836" s="1643"/>
      <c r="V836" s="1643"/>
      <c r="W836" s="1643"/>
      <c r="X836" s="1643"/>
      <c r="Y836" s="1643"/>
      <c r="Z836" s="1643"/>
      <c r="AA836" s="1643"/>
      <c r="AB836" s="1643"/>
      <c r="AC836" s="1643"/>
      <c r="AD836" s="1643"/>
      <c r="AE836" s="1643"/>
      <c r="AF836" s="1643"/>
      <c r="AG836" s="1643"/>
      <c r="AH836" s="1643"/>
      <c r="AI836" s="1643"/>
      <c r="AJ836" s="1643"/>
      <c r="AK836" s="1643"/>
      <c r="AL836" s="1643"/>
      <c r="AM836" s="1643"/>
    </row>
    <row r="837" spans="1:39" ht="15.75" customHeight="1" x14ac:dyDescent="0.3">
      <c r="A837" s="1643"/>
      <c r="B837" s="1643"/>
      <c r="C837" s="1643"/>
      <c r="D837" s="1643"/>
      <c r="E837" s="1643"/>
      <c r="F837" s="1643"/>
      <c r="G837" s="1643"/>
      <c r="H837" s="1643"/>
      <c r="I837" s="1643"/>
      <c r="J837" s="1643"/>
      <c r="K837" s="1643"/>
      <c r="L837" s="1643"/>
      <c r="M837" s="1643"/>
      <c r="N837" s="1643"/>
      <c r="O837" s="1643"/>
      <c r="P837" s="1643"/>
      <c r="Q837" s="1643"/>
      <c r="R837" s="1643"/>
      <c r="S837" s="1643"/>
      <c r="T837" s="1643"/>
      <c r="U837" s="1643"/>
      <c r="V837" s="1643"/>
      <c r="W837" s="1643"/>
      <c r="X837" s="1643"/>
      <c r="Y837" s="1643"/>
      <c r="Z837" s="1643"/>
      <c r="AA837" s="1643"/>
      <c r="AB837" s="1643"/>
      <c r="AC837" s="1643"/>
      <c r="AD837" s="1643"/>
      <c r="AE837" s="1643"/>
      <c r="AF837" s="1643"/>
      <c r="AG837" s="1643"/>
      <c r="AH837" s="1643"/>
      <c r="AI837" s="1643"/>
      <c r="AJ837" s="1643"/>
      <c r="AK837" s="1643"/>
      <c r="AL837" s="1643"/>
      <c r="AM837" s="1643"/>
    </row>
    <row r="838" spans="1:39" ht="15.75" customHeight="1" x14ac:dyDescent="0.3">
      <c r="A838" s="1643"/>
      <c r="B838" s="1643"/>
      <c r="C838" s="1643"/>
      <c r="D838" s="1643"/>
      <c r="E838" s="1643"/>
      <c r="F838" s="1643"/>
      <c r="G838" s="1643"/>
      <c r="H838" s="1643"/>
      <c r="I838" s="1643"/>
      <c r="J838" s="1643"/>
      <c r="K838" s="1643"/>
      <c r="L838" s="1643"/>
      <c r="M838" s="1643"/>
      <c r="N838" s="1643"/>
      <c r="O838" s="1643"/>
      <c r="P838" s="1643"/>
      <c r="Q838" s="1643"/>
      <c r="R838" s="1643"/>
      <c r="S838" s="1643"/>
      <c r="T838" s="1643"/>
      <c r="U838" s="1643"/>
      <c r="V838" s="1643"/>
      <c r="W838" s="1643"/>
      <c r="X838" s="1643"/>
      <c r="Y838" s="1643"/>
      <c r="Z838" s="1643"/>
      <c r="AA838" s="1643"/>
      <c r="AB838" s="1643"/>
      <c r="AC838" s="1643"/>
      <c r="AD838" s="1643"/>
      <c r="AE838" s="1643"/>
      <c r="AF838" s="1643"/>
      <c r="AG838" s="1643"/>
      <c r="AH838" s="1643"/>
      <c r="AI838" s="1643"/>
      <c r="AJ838" s="1643"/>
      <c r="AK838" s="1643"/>
      <c r="AL838" s="1643"/>
      <c r="AM838" s="1643"/>
    </row>
    <row r="839" spans="1:39" ht="15.75" customHeight="1" x14ac:dyDescent="0.3">
      <c r="A839" s="1643"/>
      <c r="B839" s="1643"/>
      <c r="C839" s="1643"/>
      <c r="D839" s="1643"/>
      <c r="E839" s="1643"/>
      <c r="F839" s="1643"/>
      <c r="G839" s="1643"/>
      <c r="H839" s="1643"/>
      <c r="I839" s="1643"/>
      <c r="J839" s="1643"/>
      <c r="K839" s="1643"/>
      <c r="L839" s="1643"/>
      <c r="M839" s="1643"/>
      <c r="N839" s="1643"/>
      <c r="O839" s="1643"/>
      <c r="P839" s="1643"/>
      <c r="Q839" s="1643"/>
      <c r="R839" s="1643"/>
      <c r="S839" s="1643"/>
      <c r="T839" s="1643"/>
      <c r="U839" s="1643"/>
      <c r="V839" s="1643"/>
      <c r="W839" s="1643"/>
      <c r="X839" s="1643"/>
      <c r="Y839" s="1643"/>
      <c r="Z839" s="1643"/>
      <c r="AA839" s="1643"/>
      <c r="AB839" s="1643"/>
      <c r="AC839" s="1643"/>
      <c r="AD839" s="1643"/>
      <c r="AE839" s="1643"/>
      <c r="AF839" s="1643"/>
      <c r="AG839" s="1643"/>
      <c r="AH839" s="1643"/>
      <c r="AI839" s="1643"/>
      <c r="AJ839" s="1643"/>
      <c r="AK839" s="1643"/>
      <c r="AL839" s="1643"/>
      <c r="AM839" s="1643"/>
    </row>
    <row r="840" spans="1:39" ht="15.75" customHeight="1" x14ac:dyDescent="0.3">
      <c r="A840" s="1643"/>
      <c r="B840" s="1643"/>
      <c r="C840" s="1643"/>
      <c r="D840" s="1643"/>
      <c r="E840" s="1643"/>
      <c r="F840" s="1643"/>
      <c r="G840" s="1643"/>
      <c r="H840" s="1643"/>
      <c r="I840" s="1643"/>
      <c r="J840" s="1643"/>
      <c r="K840" s="1643"/>
      <c r="L840" s="1643"/>
      <c r="M840" s="1643"/>
      <c r="N840" s="1643"/>
      <c r="O840" s="1643"/>
      <c r="P840" s="1643"/>
      <c r="Q840" s="1643"/>
      <c r="R840" s="1643"/>
      <c r="S840" s="1643"/>
      <c r="T840" s="1643"/>
      <c r="U840" s="1643"/>
      <c r="V840" s="1643"/>
      <c r="W840" s="1643"/>
      <c r="X840" s="1643"/>
      <c r="Y840" s="1643"/>
      <c r="Z840" s="1643"/>
      <c r="AA840" s="1643"/>
      <c r="AB840" s="1643"/>
      <c r="AC840" s="1643"/>
      <c r="AD840" s="1643"/>
      <c r="AE840" s="1643"/>
      <c r="AF840" s="1643"/>
      <c r="AG840" s="1643"/>
      <c r="AH840" s="1643"/>
      <c r="AI840" s="1643"/>
      <c r="AJ840" s="1643"/>
      <c r="AK840" s="1643"/>
      <c r="AL840" s="1643"/>
      <c r="AM840" s="1643"/>
    </row>
    <row r="841" spans="1:39" ht="15.75" customHeight="1" x14ac:dyDescent="0.3">
      <c r="A841" s="1643"/>
      <c r="B841" s="1643"/>
      <c r="C841" s="1643"/>
      <c r="D841" s="1643"/>
      <c r="E841" s="1643"/>
      <c r="F841" s="1643"/>
      <c r="G841" s="1643"/>
      <c r="H841" s="1643"/>
      <c r="I841" s="1643"/>
      <c r="J841" s="1643"/>
      <c r="K841" s="1643"/>
      <c r="L841" s="1643"/>
      <c r="M841" s="1643"/>
      <c r="N841" s="1643"/>
      <c r="O841" s="1643"/>
      <c r="P841" s="1643"/>
      <c r="Q841" s="1643"/>
      <c r="R841" s="1643"/>
      <c r="S841" s="1643"/>
      <c r="T841" s="1643"/>
      <c r="U841" s="1643"/>
      <c r="V841" s="1643"/>
      <c r="W841" s="1643"/>
      <c r="X841" s="1643"/>
      <c r="Y841" s="1643"/>
      <c r="Z841" s="1643"/>
      <c r="AA841" s="1643"/>
      <c r="AB841" s="1643"/>
      <c r="AC841" s="1643"/>
      <c r="AD841" s="1643"/>
      <c r="AE841" s="1643"/>
      <c r="AF841" s="1643"/>
      <c r="AG841" s="1643"/>
      <c r="AH841" s="1643"/>
      <c r="AI841" s="1643"/>
      <c r="AJ841" s="1643"/>
      <c r="AK841" s="1643"/>
      <c r="AL841" s="1643"/>
      <c r="AM841" s="1643"/>
    </row>
    <row r="842" spans="1:39" ht="15.75" customHeight="1" x14ac:dyDescent="0.3">
      <c r="A842" s="1643"/>
      <c r="B842" s="1643"/>
      <c r="C842" s="1643"/>
      <c r="D842" s="1643"/>
      <c r="E842" s="1643"/>
      <c r="F842" s="1643"/>
      <c r="G842" s="1643"/>
      <c r="H842" s="1643"/>
      <c r="I842" s="1643"/>
      <c r="J842" s="1643"/>
      <c r="K842" s="1643"/>
      <c r="L842" s="1643"/>
      <c r="M842" s="1643"/>
      <c r="N842" s="1643"/>
      <c r="O842" s="1643"/>
      <c r="P842" s="1643"/>
      <c r="Q842" s="1643"/>
      <c r="R842" s="1643"/>
      <c r="S842" s="1643"/>
      <c r="T842" s="1643"/>
      <c r="U842" s="1643"/>
      <c r="V842" s="1643"/>
      <c r="W842" s="1643"/>
      <c r="X842" s="1643"/>
      <c r="Y842" s="1643"/>
      <c r="Z842" s="1643"/>
      <c r="AA842" s="1643"/>
      <c r="AB842" s="1643"/>
      <c r="AC842" s="1643"/>
      <c r="AD842" s="1643"/>
      <c r="AE842" s="1643"/>
      <c r="AF842" s="1643"/>
      <c r="AG842" s="1643"/>
      <c r="AH842" s="1643"/>
      <c r="AI842" s="1643"/>
      <c r="AJ842" s="1643"/>
      <c r="AK842" s="1643"/>
      <c r="AL842" s="1643"/>
      <c r="AM842" s="1643"/>
    </row>
    <row r="843" spans="1:39" ht="15.75" customHeight="1" x14ac:dyDescent="0.3">
      <c r="A843" s="1643"/>
      <c r="B843" s="1643"/>
      <c r="C843" s="1643"/>
      <c r="D843" s="1643"/>
      <c r="E843" s="1643"/>
      <c r="F843" s="1643"/>
      <c r="G843" s="1643"/>
      <c r="H843" s="1643"/>
      <c r="I843" s="1643"/>
      <c r="J843" s="1643"/>
      <c r="K843" s="1643"/>
      <c r="L843" s="1643"/>
      <c r="M843" s="1643"/>
      <c r="N843" s="1643"/>
      <c r="O843" s="1643"/>
      <c r="P843" s="1643"/>
      <c r="Q843" s="1643"/>
      <c r="R843" s="1643"/>
      <c r="S843" s="1643"/>
      <c r="T843" s="1643"/>
      <c r="U843" s="1643"/>
      <c r="V843" s="1643"/>
      <c r="W843" s="1643"/>
      <c r="X843" s="1643"/>
      <c r="Y843" s="1643"/>
      <c r="Z843" s="1643"/>
      <c r="AA843" s="1643"/>
      <c r="AB843" s="1643"/>
      <c r="AC843" s="1643"/>
      <c r="AD843" s="1643"/>
      <c r="AE843" s="1643"/>
      <c r="AF843" s="1643"/>
      <c r="AG843" s="1643"/>
      <c r="AH843" s="1643"/>
      <c r="AI843" s="1643"/>
      <c r="AJ843" s="1643"/>
      <c r="AK843" s="1643"/>
      <c r="AL843" s="1643"/>
      <c r="AM843" s="1643"/>
    </row>
    <row r="844" spans="1:39" ht="15.75" customHeight="1" x14ac:dyDescent="0.3">
      <c r="A844" s="1643"/>
      <c r="B844" s="1643"/>
      <c r="C844" s="1643"/>
      <c r="D844" s="1643"/>
      <c r="E844" s="1643"/>
      <c r="F844" s="1643"/>
      <c r="G844" s="1643"/>
      <c r="H844" s="1643"/>
      <c r="I844" s="1643"/>
      <c r="J844" s="1643"/>
      <c r="K844" s="1643"/>
      <c r="L844" s="1643"/>
      <c r="M844" s="1643"/>
      <c r="N844" s="1643"/>
      <c r="O844" s="1643"/>
      <c r="P844" s="1643"/>
      <c r="Q844" s="1643"/>
      <c r="R844" s="1643"/>
      <c r="S844" s="1643"/>
      <c r="T844" s="1643"/>
      <c r="U844" s="1643"/>
      <c r="V844" s="1643"/>
      <c r="W844" s="1643"/>
      <c r="X844" s="1643"/>
      <c r="Y844" s="1643"/>
      <c r="Z844" s="1643"/>
      <c r="AA844" s="1643"/>
      <c r="AB844" s="1643"/>
      <c r="AC844" s="1643"/>
      <c r="AD844" s="1643"/>
      <c r="AE844" s="1643"/>
      <c r="AF844" s="1643"/>
      <c r="AG844" s="1643"/>
      <c r="AH844" s="1643"/>
      <c r="AI844" s="1643"/>
      <c r="AJ844" s="1643"/>
      <c r="AK844" s="1643"/>
      <c r="AL844" s="1643"/>
      <c r="AM844" s="1643"/>
    </row>
    <row r="845" spans="1:39" ht="15.75" customHeight="1" x14ac:dyDescent="0.3">
      <c r="A845" s="1643"/>
      <c r="B845" s="1643"/>
      <c r="C845" s="1643"/>
      <c r="D845" s="1643"/>
      <c r="E845" s="1643"/>
      <c r="F845" s="1643"/>
      <c r="G845" s="1643"/>
      <c r="H845" s="1643"/>
      <c r="I845" s="1643"/>
      <c r="J845" s="1643"/>
      <c r="K845" s="1643"/>
      <c r="L845" s="1643"/>
      <c r="M845" s="1643"/>
      <c r="N845" s="1643"/>
      <c r="O845" s="1643"/>
      <c r="P845" s="1643"/>
      <c r="Q845" s="1643"/>
      <c r="R845" s="1643"/>
      <c r="S845" s="1643"/>
      <c r="T845" s="1643"/>
      <c r="U845" s="1643"/>
      <c r="V845" s="1643"/>
      <c r="W845" s="1643"/>
      <c r="X845" s="1643"/>
      <c r="Y845" s="1643"/>
      <c r="Z845" s="1643"/>
      <c r="AA845" s="1643"/>
      <c r="AB845" s="1643"/>
      <c r="AC845" s="1643"/>
      <c r="AD845" s="1643"/>
      <c r="AE845" s="1643"/>
      <c r="AF845" s="1643"/>
      <c r="AG845" s="1643"/>
      <c r="AH845" s="1643"/>
      <c r="AI845" s="1643"/>
      <c r="AJ845" s="1643"/>
      <c r="AK845" s="1643"/>
      <c r="AL845" s="1643"/>
      <c r="AM845" s="1643"/>
    </row>
    <row r="846" spans="1:39" ht="15.75" customHeight="1" x14ac:dyDescent="0.3">
      <c r="A846" s="1643"/>
      <c r="B846" s="1643"/>
      <c r="C846" s="1643"/>
      <c r="D846" s="1643"/>
      <c r="E846" s="1643"/>
      <c r="F846" s="1643"/>
      <c r="G846" s="1643"/>
      <c r="H846" s="1643"/>
      <c r="I846" s="1643"/>
      <c r="J846" s="1643"/>
      <c r="K846" s="1643"/>
      <c r="L846" s="1643"/>
      <c r="M846" s="1643"/>
      <c r="N846" s="1643"/>
      <c r="O846" s="1643"/>
      <c r="P846" s="1643"/>
      <c r="Q846" s="1643"/>
      <c r="R846" s="1643"/>
      <c r="S846" s="1643"/>
      <c r="T846" s="1643"/>
      <c r="U846" s="1643"/>
      <c r="V846" s="1643"/>
      <c r="W846" s="1643"/>
      <c r="X846" s="1643"/>
      <c r="Y846" s="1643"/>
      <c r="Z846" s="1643"/>
      <c r="AA846" s="1643"/>
      <c r="AB846" s="1643"/>
      <c r="AC846" s="1643"/>
      <c r="AD846" s="1643"/>
      <c r="AE846" s="1643"/>
      <c r="AF846" s="1643"/>
      <c r="AG846" s="1643"/>
      <c r="AH846" s="1643"/>
      <c r="AI846" s="1643"/>
      <c r="AJ846" s="1643"/>
      <c r="AK846" s="1643"/>
      <c r="AL846" s="1643"/>
      <c r="AM846" s="1643"/>
    </row>
    <row r="847" spans="1:39" ht="15.75" customHeight="1" x14ac:dyDescent="0.3">
      <c r="A847" s="1643"/>
      <c r="B847" s="1643"/>
      <c r="C847" s="1643"/>
      <c r="D847" s="1643"/>
      <c r="E847" s="1643"/>
      <c r="F847" s="1643"/>
      <c r="G847" s="1643"/>
      <c r="H847" s="1643"/>
      <c r="I847" s="1643"/>
      <c r="J847" s="1643"/>
      <c r="K847" s="1643"/>
      <c r="L847" s="1643"/>
      <c r="M847" s="1643"/>
      <c r="N847" s="1643"/>
      <c r="O847" s="1643"/>
      <c r="P847" s="1643"/>
      <c r="Q847" s="1643"/>
      <c r="R847" s="1643"/>
      <c r="S847" s="1643"/>
      <c r="T847" s="1643"/>
      <c r="U847" s="1643"/>
      <c r="V847" s="1643"/>
      <c r="W847" s="1643"/>
      <c r="X847" s="1643"/>
      <c r="Y847" s="1643"/>
      <c r="Z847" s="1643"/>
      <c r="AA847" s="1643"/>
      <c r="AB847" s="1643"/>
      <c r="AC847" s="1643"/>
      <c r="AD847" s="1643"/>
      <c r="AE847" s="1643"/>
      <c r="AF847" s="1643"/>
      <c r="AG847" s="1643"/>
      <c r="AH847" s="1643"/>
      <c r="AI847" s="1643"/>
      <c r="AJ847" s="1643"/>
      <c r="AK847" s="1643"/>
      <c r="AL847" s="1643"/>
      <c r="AM847" s="1643"/>
    </row>
    <row r="848" spans="1:39" ht="15.75" customHeight="1" x14ac:dyDescent="0.3">
      <c r="A848" s="1643"/>
      <c r="B848" s="1643"/>
      <c r="C848" s="1643"/>
      <c r="D848" s="1643"/>
      <c r="E848" s="1643"/>
      <c r="F848" s="1643"/>
      <c r="G848" s="1643"/>
      <c r="H848" s="1643"/>
      <c r="I848" s="1643"/>
      <c r="J848" s="1643"/>
      <c r="K848" s="1643"/>
      <c r="L848" s="1643"/>
      <c r="M848" s="1643"/>
      <c r="N848" s="1643"/>
      <c r="O848" s="1643"/>
      <c r="P848" s="1643"/>
      <c r="Q848" s="1643"/>
      <c r="R848" s="1643"/>
      <c r="S848" s="1643"/>
      <c r="T848" s="1643"/>
      <c r="U848" s="1643"/>
      <c r="V848" s="1643"/>
      <c r="W848" s="1643"/>
      <c r="X848" s="1643"/>
      <c r="Y848" s="1643"/>
      <c r="Z848" s="1643"/>
      <c r="AA848" s="1643"/>
      <c r="AB848" s="1643"/>
      <c r="AC848" s="1643"/>
      <c r="AD848" s="1643"/>
      <c r="AE848" s="1643"/>
      <c r="AF848" s="1643"/>
      <c r="AG848" s="1643"/>
      <c r="AH848" s="1643"/>
      <c r="AI848" s="1643"/>
      <c r="AJ848" s="1643"/>
      <c r="AK848" s="1643"/>
      <c r="AL848" s="1643"/>
      <c r="AM848" s="1643"/>
    </row>
    <row r="849" spans="1:39" ht="15.75" customHeight="1" x14ac:dyDescent="0.3">
      <c r="A849" s="1643"/>
      <c r="B849" s="1643"/>
      <c r="C849" s="1643"/>
      <c r="D849" s="1643"/>
      <c r="E849" s="1643"/>
      <c r="F849" s="1643"/>
      <c r="G849" s="1643"/>
      <c r="H849" s="1643"/>
      <c r="I849" s="1643"/>
      <c r="J849" s="1643"/>
      <c r="K849" s="1643"/>
      <c r="L849" s="1643"/>
      <c r="M849" s="1643"/>
      <c r="N849" s="1643"/>
      <c r="O849" s="1643"/>
      <c r="P849" s="1643"/>
      <c r="Q849" s="1643"/>
      <c r="R849" s="1643"/>
      <c r="S849" s="1643"/>
      <c r="T849" s="1643"/>
      <c r="U849" s="1643"/>
      <c r="V849" s="1643"/>
      <c r="W849" s="1643"/>
      <c r="X849" s="1643"/>
      <c r="Y849" s="1643"/>
      <c r="Z849" s="1643"/>
      <c r="AA849" s="1643"/>
      <c r="AB849" s="1643"/>
      <c r="AC849" s="1643"/>
      <c r="AD849" s="1643"/>
      <c r="AE849" s="1643"/>
      <c r="AF849" s="1643"/>
      <c r="AG849" s="1643"/>
      <c r="AH849" s="1643"/>
      <c r="AI849" s="1643"/>
      <c r="AJ849" s="1643"/>
      <c r="AK849" s="1643"/>
      <c r="AL849" s="1643"/>
      <c r="AM849" s="1643"/>
    </row>
    <row r="850" spans="1:39" ht="15.75" customHeight="1" x14ac:dyDescent="0.3">
      <c r="A850" s="1643"/>
      <c r="B850" s="1643"/>
      <c r="C850" s="1643"/>
      <c r="D850" s="1643"/>
      <c r="E850" s="1643"/>
      <c r="F850" s="1643"/>
      <c r="G850" s="1643"/>
      <c r="H850" s="1643"/>
      <c r="I850" s="1643"/>
      <c r="J850" s="1643"/>
      <c r="K850" s="1643"/>
      <c r="L850" s="1643"/>
      <c r="M850" s="1643"/>
      <c r="N850" s="1643"/>
      <c r="O850" s="1643"/>
      <c r="P850" s="1643"/>
      <c r="Q850" s="1643"/>
      <c r="R850" s="1643"/>
      <c r="S850" s="1643"/>
      <c r="T850" s="1643"/>
      <c r="U850" s="1643"/>
      <c r="V850" s="1643"/>
      <c r="W850" s="1643"/>
      <c r="X850" s="1643"/>
      <c r="Y850" s="1643"/>
      <c r="Z850" s="1643"/>
      <c r="AA850" s="1643"/>
      <c r="AB850" s="1643"/>
      <c r="AC850" s="1643"/>
      <c r="AD850" s="1643"/>
      <c r="AE850" s="1643"/>
      <c r="AF850" s="1643"/>
      <c r="AG850" s="1643"/>
      <c r="AH850" s="1643"/>
      <c r="AI850" s="1643"/>
      <c r="AJ850" s="1643"/>
      <c r="AK850" s="1643"/>
      <c r="AL850" s="1643"/>
      <c r="AM850" s="1643"/>
    </row>
    <row r="851" spans="1:39" ht="15.75" customHeight="1" x14ac:dyDescent="0.3">
      <c r="A851" s="1643"/>
      <c r="B851" s="1643"/>
      <c r="C851" s="1643"/>
      <c r="D851" s="1643"/>
      <c r="E851" s="1643"/>
      <c r="F851" s="1643"/>
      <c r="G851" s="1643"/>
      <c r="H851" s="1643"/>
      <c r="I851" s="1643"/>
      <c r="J851" s="1643"/>
      <c r="K851" s="1643"/>
      <c r="L851" s="1643"/>
      <c r="M851" s="1643"/>
      <c r="N851" s="1643"/>
      <c r="O851" s="1643"/>
      <c r="P851" s="1643"/>
      <c r="Q851" s="1643"/>
      <c r="R851" s="1643"/>
      <c r="S851" s="1643"/>
      <c r="T851" s="1643"/>
      <c r="U851" s="1643"/>
      <c r="V851" s="1643"/>
      <c r="W851" s="1643"/>
      <c r="X851" s="1643"/>
      <c r="Y851" s="1643"/>
      <c r="Z851" s="1643"/>
      <c r="AA851" s="1643"/>
      <c r="AB851" s="1643"/>
      <c r="AC851" s="1643"/>
      <c r="AD851" s="1643"/>
      <c r="AE851" s="1643"/>
      <c r="AF851" s="1643"/>
      <c r="AG851" s="1643"/>
      <c r="AH851" s="1643"/>
      <c r="AI851" s="1643"/>
      <c r="AJ851" s="1643"/>
      <c r="AK851" s="1643"/>
      <c r="AL851" s="1643"/>
      <c r="AM851" s="1643"/>
    </row>
    <row r="852" spans="1:39" ht="15.75" customHeight="1" x14ac:dyDescent="0.3">
      <c r="A852" s="1643"/>
      <c r="B852" s="1643"/>
      <c r="C852" s="1643"/>
      <c r="D852" s="1643"/>
      <c r="E852" s="1643"/>
      <c r="F852" s="1643"/>
      <c r="G852" s="1643"/>
      <c r="H852" s="1643"/>
      <c r="I852" s="1643"/>
      <c r="J852" s="1643"/>
      <c r="K852" s="1643"/>
      <c r="L852" s="1643"/>
      <c r="M852" s="1643"/>
      <c r="N852" s="1643"/>
      <c r="O852" s="1643"/>
      <c r="P852" s="1643"/>
      <c r="Q852" s="1643"/>
      <c r="R852" s="1643"/>
      <c r="S852" s="1643"/>
      <c r="T852" s="1643"/>
      <c r="U852" s="1643"/>
      <c r="V852" s="1643"/>
      <c r="W852" s="1643"/>
      <c r="X852" s="1643"/>
      <c r="Y852" s="1643"/>
      <c r="Z852" s="1643"/>
      <c r="AA852" s="1643"/>
      <c r="AB852" s="1643"/>
      <c r="AC852" s="1643"/>
      <c r="AD852" s="1643"/>
      <c r="AE852" s="1643"/>
      <c r="AF852" s="1643"/>
      <c r="AG852" s="1643"/>
      <c r="AH852" s="1643"/>
      <c r="AI852" s="1643"/>
      <c r="AJ852" s="1643"/>
      <c r="AK852" s="1643"/>
      <c r="AL852" s="1643"/>
      <c r="AM852" s="1643"/>
    </row>
    <row r="853" spans="1:39" ht="15.75" customHeight="1" x14ac:dyDescent="0.3">
      <c r="A853" s="1643"/>
      <c r="B853" s="1643"/>
      <c r="C853" s="1643"/>
      <c r="D853" s="1643"/>
      <c r="E853" s="1643"/>
      <c r="F853" s="1643"/>
      <c r="G853" s="1643"/>
      <c r="H853" s="1643"/>
      <c r="I853" s="1643"/>
      <c r="J853" s="1643"/>
      <c r="K853" s="1643"/>
      <c r="L853" s="1643"/>
      <c r="M853" s="1643"/>
      <c r="N853" s="1643"/>
      <c r="O853" s="1643"/>
      <c r="P853" s="1643"/>
      <c r="Q853" s="1643"/>
      <c r="R853" s="1643"/>
      <c r="S853" s="1643"/>
      <c r="T853" s="1643"/>
      <c r="U853" s="1643"/>
      <c r="V853" s="1643"/>
      <c r="W853" s="1643"/>
      <c r="X853" s="1643"/>
      <c r="Y853" s="1643"/>
      <c r="Z853" s="1643"/>
      <c r="AA853" s="1643"/>
      <c r="AB853" s="1643"/>
      <c r="AC853" s="1643"/>
      <c r="AD853" s="1643"/>
      <c r="AE853" s="1643"/>
      <c r="AF853" s="1643"/>
      <c r="AG853" s="1643"/>
      <c r="AH853" s="1643"/>
      <c r="AI853" s="1643"/>
      <c r="AJ853" s="1643"/>
      <c r="AK853" s="1643"/>
      <c r="AL853" s="1643"/>
      <c r="AM853" s="1643"/>
    </row>
    <row r="854" spans="1:39" ht="15.75" customHeight="1" x14ac:dyDescent="0.3">
      <c r="A854" s="1643"/>
      <c r="B854" s="1643"/>
      <c r="C854" s="1643"/>
      <c r="D854" s="1643"/>
      <c r="E854" s="1643"/>
      <c r="F854" s="1643"/>
      <c r="G854" s="1643"/>
      <c r="H854" s="1643"/>
      <c r="I854" s="1643"/>
      <c r="J854" s="1643"/>
      <c r="K854" s="1643"/>
      <c r="L854" s="1643"/>
      <c r="M854" s="1643"/>
      <c r="N854" s="1643"/>
      <c r="O854" s="1643"/>
      <c r="P854" s="1643"/>
      <c r="Q854" s="1643"/>
      <c r="R854" s="1643"/>
      <c r="S854" s="1643"/>
      <c r="T854" s="1643"/>
      <c r="U854" s="1643"/>
      <c r="V854" s="1643"/>
      <c r="W854" s="1643"/>
      <c r="X854" s="1643"/>
      <c r="Y854" s="1643"/>
      <c r="Z854" s="1643"/>
      <c r="AA854" s="1643"/>
      <c r="AB854" s="1643"/>
      <c r="AC854" s="1643"/>
      <c r="AD854" s="1643"/>
      <c r="AE854" s="1643"/>
      <c r="AF854" s="1643"/>
      <c r="AG854" s="1643"/>
      <c r="AH854" s="1643"/>
      <c r="AI854" s="1643"/>
      <c r="AJ854" s="1643"/>
      <c r="AK854" s="1643"/>
      <c r="AL854" s="1643"/>
      <c r="AM854" s="1643"/>
    </row>
    <row r="855" spans="1:39" ht="15.75" customHeight="1" x14ac:dyDescent="0.3">
      <c r="A855" s="1643"/>
      <c r="B855" s="1643"/>
      <c r="C855" s="1643"/>
      <c r="D855" s="1643"/>
      <c r="E855" s="1643"/>
      <c r="F855" s="1643"/>
      <c r="G855" s="1643"/>
      <c r="H855" s="1643"/>
      <c r="I855" s="1643"/>
      <c r="J855" s="1643"/>
      <c r="K855" s="1643"/>
      <c r="L855" s="1643"/>
      <c r="M855" s="1643"/>
      <c r="N855" s="1643"/>
      <c r="O855" s="1643"/>
      <c r="P855" s="1643"/>
      <c r="Q855" s="1643"/>
      <c r="R855" s="1643"/>
      <c r="S855" s="1643"/>
      <c r="T855" s="1643"/>
      <c r="U855" s="1643"/>
      <c r="V855" s="1643"/>
      <c r="W855" s="1643"/>
      <c r="X855" s="1643"/>
      <c r="Y855" s="1643"/>
      <c r="Z855" s="1643"/>
      <c r="AA855" s="1643"/>
      <c r="AB855" s="1643"/>
      <c r="AC855" s="1643"/>
      <c r="AD855" s="1643"/>
      <c r="AE855" s="1643"/>
      <c r="AF855" s="1643"/>
      <c r="AG855" s="1643"/>
      <c r="AH855" s="1643"/>
      <c r="AI855" s="1643"/>
      <c r="AJ855" s="1643"/>
      <c r="AK855" s="1643"/>
      <c r="AL855" s="1643"/>
      <c r="AM855" s="1643"/>
    </row>
    <row r="856" spans="1:39" ht="15.75" customHeight="1" x14ac:dyDescent="0.3">
      <c r="A856" s="1643"/>
      <c r="B856" s="1643"/>
      <c r="C856" s="1643"/>
      <c r="D856" s="1643"/>
      <c r="E856" s="1643"/>
      <c r="F856" s="1643"/>
      <c r="G856" s="1643"/>
      <c r="H856" s="1643"/>
      <c r="I856" s="1643"/>
      <c r="J856" s="1643"/>
      <c r="K856" s="1643"/>
      <c r="L856" s="1643"/>
      <c r="M856" s="1643"/>
      <c r="N856" s="1643"/>
      <c r="O856" s="1643"/>
      <c r="P856" s="1643"/>
      <c r="Q856" s="1643"/>
      <c r="R856" s="1643"/>
      <c r="S856" s="1643"/>
      <c r="T856" s="1643"/>
      <c r="U856" s="1643"/>
      <c r="V856" s="1643"/>
      <c r="W856" s="1643"/>
      <c r="X856" s="1643"/>
      <c r="Y856" s="1643"/>
      <c r="Z856" s="1643"/>
      <c r="AA856" s="1643"/>
      <c r="AB856" s="1643"/>
      <c r="AC856" s="1643"/>
      <c r="AD856" s="1643"/>
      <c r="AE856" s="1643"/>
      <c r="AF856" s="1643"/>
      <c r="AG856" s="1643"/>
      <c r="AH856" s="1643"/>
      <c r="AI856" s="1643"/>
      <c r="AJ856" s="1643"/>
      <c r="AK856" s="1643"/>
      <c r="AL856" s="1643"/>
      <c r="AM856" s="1643"/>
    </row>
    <row r="857" spans="1:39" ht="15.75" customHeight="1" x14ac:dyDescent="0.3">
      <c r="A857" s="1643"/>
      <c r="B857" s="1643"/>
      <c r="C857" s="1643"/>
      <c r="D857" s="1643"/>
      <c r="E857" s="1643"/>
      <c r="F857" s="1643"/>
      <c r="G857" s="1643"/>
      <c r="H857" s="1643"/>
      <c r="I857" s="1643"/>
      <c r="J857" s="1643"/>
      <c r="K857" s="1643"/>
      <c r="L857" s="1643"/>
      <c r="M857" s="1643"/>
      <c r="N857" s="1643"/>
      <c r="O857" s="1643"/>
      <c r="P857" s="1643"/>
      <c r="Q857" s="1643"/>
      <c r="R857" s="1643"/>
      <c r="S857" s="1643"/>
      <c r="T857" s="1643"/>
      <c r="U857" s="1643"/>
      <c r="V857" s="1643"/>
      <c r="W857" s="1643"/>
      <c r="X857" s="1643"/>
      <c r="Y857" s="1643"/>
      <c r="Z857" s="1643"/>
      <c r="AA857" s="1643"/>
      <c r="AB857" s="1643"/>
      <c r="AC857" s="1643"/>
      <c r="AD857" s="1643"/>
      <c r="AE857" s="1643"/>
      <c r="AF857" s="1643"/>
      <c r="AG857" s="1643"/>
      <c r="AH857" s="1643"/>
      <c r="AI857" s="1643"/>
      <c r="AJ857" s="1643"/>
      <c r="AK857" s="1643"/>
      <c r="AL857" s="1643"/>
      <c r="AM857" s="1643"/>
    </row>
    <row r="858" spans="1:39" ht="15.75" customHeight="1" x14ac:dyDescent="0.3">
      <c r="A858" s="1643"/>
      <c r="B858" s="1643"/>
      <c r="C858" s="1643"/>
      <c r="D858" s="1643"/>
      <c r="E858" s="1643"/>
      <c r="F858" s="1643"/>
      <c r="G858" s="1643"/>
      <c r="H858" s="1643"/>
      <c r="I858" s="1643"/>
      <c r="J858" s="1643"/>
      <c r="K858" s="1643"/>
      <c r="L858" s="1643"/>
      <c r="M858" s="1643"/>
      <c r="N858" s="1643"/>
      <c r="O858" s="1643"/>
      <c r="P858" s="1643"/>
      <c r="Q858" s="1643"/>
      <c r="R858" s="1643"/>
      <c r="S858" s="1643"/>
      <c r="T858" s="1643"/>
      <c r="U858" s="1643"/>
      <c r="V858" s="1643"/>
      <c r="W858" s="1643"/>
      <c r="X858" s="1643"/>
      <c r="Y858" s="1643"/>
      <c r="Z858" s="1643"/>
      <c r="AA858" s="1643"/>
      <c r="AB858" s="1643"/>
      <c r="AC858" s="1643"/>
      <c r="AD858" s="1643"/>
      <c r="AE858" s="1643"/>
      <c r="AF858" s="1643"/>
      <c r="AG858" s="1643"/>
      <c r="AH858" s="1643"/>
      <c r="AI858" s="1643"/>
      <c r="AJ858" s="1643"/>
      <c r="AK858" s="1643"/>
      <c r="AL858" s="1643"/>
      <c r="AM858" s="1643"/>
    </row>
    <row r="859" spans="1:39" ht="15.75" customHeight="1" x14ac:dyDescent="0.3">
      <c r="A859" s="1643"/>
      <c r="B859" s="1643"/>
      <c r="C859" s="1643"/>
      <c r="D859" s="1643"/>
      <c r="E859" s="1643"/>
      <c r="F859" s="1643"/>
      <c r="G859" s="1643"/>
      <c r="H859" s="1643"/>
      <c r="I859" s="1643"/>
      <c r="J859" s="1643"/>
      <c r="K859" s="1643"/>
      <c r="L859" s="1643"/>
      <c r="M859" s="1643"/>
      <c r="N859" s="1643"/>
      <c r="O859" s="1643"/>
      <c r="P859" s="1643"/>
      <c r="Q859" s="1643"/>
      <c r="R859" s="1643"/>
      <c r="S859" s="1643"/>
      <c r="T859" s="1643"/>
      <c r="U859" s="1643"/>
      <c r="V859" s="1643"/>
      <c r="W859" s="1643"/>
      <c r="X859" s="1643"/>
      <c r="Y859" s="1643"/>
      <c r="Z859" s="1643"/>
      <c r="AA859" s="1643"/>
      <c r="AB859" s="1643"/>
      <c r="AC859" s="1643"/>
      <c r="AD859" s="1643"/>
      <c r="AE859" s="1643"/>
      <c r="AF859" s="1643"/>
      <c r="AG859" s="1643"/>
      <c r="AH859" s="1643"/>
      <c r="AI859" s="1643"/>
      <c r="AJ859" s="1643"/>
      <c r="AK859" s="1643"/>
      <c r="AL859" s="1643"/>
      <c r="AM859" s="1643"/>
    </row>
    <row r="860" spans="1:39" ht="15.75" customHeight="1" x14ac:dyDescent="0.3">
      <c r="A860" s="1643"/>
      <c r="B860" s="1643"/>
      <c r="C860" s="1643"/>
      <c r="D860" s="1643"/>
      <c r="E860" s="1643"/>
      <c r="F860" s="1643"/>
      <c r="G860" s="1643"/>
      <c r="H860" s="1643"/>
      <c r="I860" s="1643"/>
      <c r="J860" s="1643"/>
      <c r="K860" s="1643"/>
      <c r="L860" s="1643"/>
      <c r="M860" s="1643"/>
      <c r="N860" s="1643"/>
      <c r="O860" s="1643"/>
      <c r="P860" s="1643"/>
      <c r="Q860" s="1643"/>
      <c r="R860" s="1643"/>
      <c r="S860" s="1643"/>
      <c r="T860" s="1643"/>
      <c r="U860" s="1643"/>
      <c r="V860" s="1643"/>
      <c r="W860" s="1643"/>
      <c r="X860" s="1643"/>
      <c r="Y860" s="1643"/>
      <c r="Z860" s="1643"/>
      <c r="AA860" s="1643"/>
      <c r="AB860" s="1643"/>
      <c r="AC860" s="1643"/>
      <c r="AD860" s="1643"/>
      <c r="AE860" s="1643"/>
      <c r="AF860" s="1643"/>
      <c r="AG860" s="1643"/>
      <c r="AH860" s="1643"/>
      <c r="AI860" s="1643"/>
      <c r="AJ860" s="1643"/>
      <c r="AK860" s="1643"/>
      <c r="AL860" s="1643"/>
      <c r="AM860" s="1643"/>
    </row>
    <row r="861" spans="1:39" ht="15.75" customHeight="1" x14ac:dyDescent="0.3">
      <c r="A861" s="1643"/>
      <c r="B861" s="1643"/>
      <c r="C861" s="1643"/>
      <c r="D861" s="1643"/>
      <c r="E861" s="1643"/>
      <c r="F861" s="1643"/>
      <c r="G861" s="1643"/>
      <c r="H861" s="1643"/>
      <c r="I861" s="1643"/>
      <c r="J861" s="1643"/>
      <c r="K861" s="1643"/>
      <c r="L861" s="1643"/>
      <c r="M861" s="1643"/>
      <c r="N861" s="1643"/>
      <c r="O861" s="1643"/>
      <c r="P861" s="1643"/>
      <c r="Q861" s="1643"/>
      <c r="R861" s="1643"/>
      <c r="S861" s="1643"/>
      <c r="T861" s="1643"/>
      <c r="U861" s="1643"/>
      <c r="V861" s="1643"/>
      <c r="W861" s="1643"/>
      <c r="X861" s="1643"/>
      <c r="Y861" s="1643"/>
      <c r="Z861" s="1643"/>
      <c r="AA861" s="1643"/>
      <c r="AB861" s="1643"/>
      <c r="AC861" s="1643"/>
      <c r="AD861" s="1643"/>
      <c r="AE861" s="1643"/>
      <c r="AF861" s="1643"/>
      <c r="AG861" s="1643"/>
      <c r="AH861" s="1643"/>
      <c r="AI861" s="1643"/>
      <c r="AJ861" s="1643"/>
      <c r="AK861" s="1643"/>
      <c r="AL861" s="1643"/>
      <c r="AM861" s="1643"/>
    </row>
    <row r="862" spans="1:39" ht="15.75" customHeight="1" x14ac:dyDescent="0.3">
      <c r="A862" s="1643"/>
      <c r="B862" s="1643"/>
      <c r="C862" s="1643"/>
      <c r="D862" s="1643"/>
      <c r="E862" s="1643"/>
      <c r="F862" s="1643"/>
      <c r="G862" s="1643"/>
      <c r="H862" s="1643"/>
      <c r="I862" s="1643"/>
      <c r="J862" s="1643"/>
      <c r="K862" s="1643"/>
      <c r="L862" s="1643"/>
      <c r="M862" s="1643"/>
      <c r="N862" s="1643"/>
      <c r="O862" s="1643"/>
      <c r="P862" s="1643"/>
      <c r="Q862" s="1643"/>
      <c r="R862" s="1643"/>
      <c r="S862" s="1643"/>
      <c r="T862" s="1643"/>
      <c r="U862" s="1643"/>
      <c r="V862" s="1643"/>
      <c r="W862" s="1643"/>
      <c r="X862" s="1643"/>
      <c r="Y862" s="1643"/>
      <c r="Z862" s="1643"/>
      <c r="AA862" s="1643"/>
      <c r="AB862" s="1643"/>
      <c r="AC862" s="1643"/>
      <c r="AD862" s="1643"/>
      <c r="AE862" s="1643"/>
      <c r="AF862" s="1643"/>
      <c r="AG862" s="1643"/>
      <c r="AH862" s="1643"/>
      <c r="AI862" s="1643"/>
      <c r="AJ862" s="1643"/>
      <c r="AK862" s="1643"/>
      <c r="AL862" s="1643"/>
      <c r="AM862" s="1643"/>
    </row>
    <row r="863" spans="1:39" ht="15.75" customHeight="1" x14ac:dyDescent="0.3">
      <c r="A863" s="1643"/>
      <c r="B863" s="1643"/>
      <c r="C863" s="1643"/>
      <c r="D863" s="1643"/>
      <c r="E863" s="1643"/>
      <c r="F863" s="1643"/>
      <c r="G863" s="1643"/>
      <c r="H863" s="1643"/>
      <c r="I863" s="1643"/>
      <c r="J863" s="1643"/>
      <c r="K863" s="1643"/>
      <c r="L863" s="1643"/>
      <c r="M863" s="1643"/>
      <c r="N863" s="1643"/>
      <c r="O863" s="1643"/>
      <c r="P863" s="1643"/>
      <c r="Q863" s="1643"/>
      <c r="R863" s="1643"/>
      <c r="S863" s="1643"/>
      <c r="T863" s="1643"/>
      <c r="U863" s="1643"/>
      <c r="V863" s="1643"/>
      <c r="W863" s="1643"/>
      <c r="X863" s="1643"/>
      <c r="Y863" s="1643"/>
      <c r="Z863" s="1643"/>
      <c r="AA863" s="1643"/>
      <c r="AB863" s="1643"/>
      <c r="AC863" s="1643"/>
      <c r="AD863" s="1643"/>
      <c r="AE863" s="1643"/>
      <c r="AF863" s="1643"/>
      <c r="AG863" s="1643"/>
      <c r="AH863" s="1643"/>
      <c r="AI863" s="1643"/>
      <c r="AJ863" s="1643"/>
      <c r="AK863" s="1643"/>
      <c r="AL863" s="1643"/>
      <c r="AM863" s="1643"/>
    </row>
    <row r="864" spans="1:39" ht="15.75" customHeight="1" x14ac:dyDescent="0.3">
      <c r="A864" s="1643"/>
      <c r="B864" s="1643"/>
      <c r="C864" s="1643"/>
      <c r="D864" s="1643"/>
      <c r="E864" s="1643"/>
      <c r="F864" s="1643"/>
      <c r="G864" s="1643"/>
      <c r="H864" s="1643"/>
      <c r="I864" s="1643"/>
      <c r="J864" s="1643"/>
      <c r="K864" s="1643"/>
      <c r="L864" s="1643"/>
      <c r="M864" s="1643"/>
      <c r="N864" s="1643"/>
      <c r="O864" s="1643"/>
      <c r="P864" s="1643"/>
      <c r="Q864" s="1643"/>
      <c r="R864" s="1643"/>
      <c r="S864" s="1643"/>
      <c r="T864" s="1643"/>
      <c r="U864" s="1643"/>
      <c r="V864" s="1643"/>
      <c r="W864" s="1643"/>
      <c r="X864" s="1643"/>
      <c r="Y864" s="1643"/>
      <c r="Z864" s="1643"/>
      <c r="AA864" s="1643"/>
      <c r="AB864" s="1643"/>
      <c r="AC864" s="1643"/>
      <c r="AD864" s="1643"/>
      <c r="AE864" s="1643"/>
      <c r="AF864" s="1643"/>
      <c r="AG864" s="1643"/>
      <c r="AH864" s="1643"/>
      <c r="AI864" s="1643"/>
      <c r="AJ864" s="1643"/>
      <c r="AK864" s="1643"/>
      <c r="AL864" s="1643"/>
      <c r="AM864" s="1643"/>
    </row>
    <row r="865" spans="1:39" ht="15.75" customHeight="1" x14ac:dyDescent="0.3">
      <c r="A865" s="1643"/>
      <c r="B865" s="1643"/>
      <c r="C865" s="1643"/>
      <c r="D865" s="1643"/>
      <c r="E865" s="1643"/>
      <c r="F865" s="1643"/>
      <c r="G865" s="1643"/>
      <c r="H865" s="1643"/>
      <c r="I865" s="1643"/>
      <c r="J865" s="1643"/>
      <c r="K865" s="1643"/>
      <c r="L865" s="1643"/>
      <c r="M865" s="1643"/>
      <c r="N865" s="1643"/>
      <c r="O865" s="1643"/>
      <c r="P865" s="1643"/>
      <c r="Q865" s="1643"/>
      <c r="R865" s="1643"/>
      <c r="S865" s="1643"/>
      <c r="T865" s="1643"/>
      <c r="U865" s="1643"/>
      <c r="V865" s="1643"/>
      <c r="W865" s="1643"/>
      <c r="X865" s="1643"/>
      <c r="Y865" s="1643"/>
      <c r="Z865" s="1643"/>
      <c r="AA865" s="1643"/>
      <c r="AB865" s="1643"/>
      <c r="AC865" s="1643"/>
      <c r="AD865" s="1643"/>
      <c r="AE865" s="1643"/>
      <c r="AF865" s="1643"/>
      <c r="AG865" s="1643"/>
      <c r="AH865" s="1643"/>
      <c r="AI865" s="1643"/>
      <c r="AJ865" s="1643"/>
      <c r="AK865" s="1643"/>
      <c r="AL865" s="1643"/>
      <c r="AM865" s="1643"/>
    </row>
    <row r="866" spans="1:39" ht="15.75" customHeight="1" x14ac:dyDescent="0.3">
      <c r="A866" s="1643"/>
      <c r="B866" s="1643"/>
      <c r="C866" s="1643"/>
      <c r="D866" s="1643"/>
      <c r="E866" s="1643"/>
      <c r="F866" s="1643"/>
      <c r="G866" s="1643"/>
      <c r="H866" s="1643"/>
      <c r="I866" s="1643"/>
      <c r="J866" s="1643"/>
      <c r="K866" s="1643"/>
      <c r="L866" s="1643"/>
      <c r="M866" s="1643"/>
      <c r="N866" s="1643"/>
      <c r="O866" s="1643"/>
      <c r="P866" s="1643"/>
      <c r="Q866" s="1643"/>
      <c r="R866" s="1643"/>
      <c r="S866" s="1643"/>
      <c r="T866" s="1643"/>
      <c r="U866" s="1643"/>
      <c r="V866" s="1643"/>
      <c r="W866" s="1643"/>
      <c r="X866" s="1643"/>
      <c r="Y866" s="1643"/>
      <c r="Z866" s="1643"/>
      <c r="AA866" s="1643"/>
      <c r="AB866" s="1643"/>
      <c r="AC866" s="1643"/>
      <c r="AD866" s="1643"/>
      <c r="AE866" s="1643"/>
      <c r="AF866" s="1643"/>
      <c r="AG866" s="1643"/>
      <c r="AH866" s="1643"/>
      <c r="AI866" s="1643"/>
      <c r="AJ866" s="1643"/>
      <c r="AK866" s="1643"/>
      <c r="AL866" s="1643"/>
      <c r="AM866" s="1643"/>
    </row>
    <row r="867" spans="1:39" ht="15.75" customHeight="1" x14ac:dyDescent="0.3">
      <c r="A867" s="1643"/>
      <c r="B867" s="1643"/>
      <c r="C867" s="1643"/>
      <c r="D867" s="1643"/>
      <c r="E867" s="1643"/>
      <c r="F867" s="1643"/>
      <c r="G867" s="1643"/>
      <c r="H867" s="1643"/>
      <c r="I867" s="1643"/>
      <c r="J867" s="1643"/>
      <c r="K867" s="1643"/>
      <c r="L867" s="1643"/>
      <c r="M867" s="1643"/>
      <c r="N867" s="1643"/>
      <c r="O867" s="1643"/>
      <c r="P867" s="1643"/>
      <c r="Q867" s="1643"/>
      <c r="R867" s="1643"/>
      <c r="S867" s="1643"/>
      <c r="T867" s="1643"/>
      <c r="U867" s="1643"/>
      <c r="V867" s="1643"/>
      <c r="W867" s="1643"/>
      <c r="X867" s="1643"/>
      <c r="Y867" s="1643"/>
      <c r="Z867" s="1643"/>
      <c r="AA867" s="1643"/>
      <c r="AB867" s="1643"/>
      <c r="AC867" s="1643"/>
      <c r="AD867" s="1643"/>
      <c r="AE867" s="1643"/>
      <c r="AF867" s="1643"/>
      <c r="AG867" s="1643"/>
      <c r="AH867" s="1643"/>
      <c r="AI867" s="1643"/>
      <c r="AJ867" s="1643"/>
      <c r="AK867" s="1643"/>
      <c r="AL867" s="1643"/>
      <c r="AM867" s="1643"/>
    </row>
    <row r="868" spans="1:39" ht="15.75" customHeight="1" x14ac:dyDescent="0.3">
      <c r="A868" s="1643"/>
      <c r="B868" s="1643"/>
      <c r="C868" s="1643"/>
      <c r="D868" s="1643"/>
      <c r="E868" s="1643"/>
      <c r="F868" s="1643"/>
      <c r="G868" s="1643"/>
      <c r="H868" s="1643"/>
      <c r="I868" s="1643"/>
      <c r="J868" s="1643"/>
      <c r="K868" s="1643"/>
      <c r="L868" s="1643"/>
      <c r="M868" s="1643"/>
      <c r="N868" s="1643"/>
      <c r="O868" s="1643"/>
      <c r="P868" s="1643"/>
      <c r="Q868" s="1643"/>
      <c r="R868" s="1643"/>
      <c r="S868" s="1643"/>
      <c r="T868" s="1643"/>
      <c r="U868" s="1643"/>
      <c r="V868" s="1643"/>
      <c r="W868" s="1643"/>
      <c r="X868" s="1643"/>
      <c r="Y868" s="1643"/>
      <c r="Z868" s="1643"/>
      <c r="AA868" s="1643"/>
      <c r="AB868" s="1643"/>
      <c r="AC868" s="1643"/>
      <c r="AD868" s="1643"/>
      <c r="AE868" s="1643"/>
      <c r="AF868" s="1643"/>
      <c r="AG868" s="1643"/>
      <c r="AH868" s="1643"/>
      <c r="AI868" s="1643"/>
      <c r="AJ868" s="1643"/>
      <c r="AK868" s="1643"/>
      <c r="AL868" s="1643"/>
      <c r="AM868" s="1643"/>
    </row>
    <row r="869" spans="1:39" ht="15.75" customHeight="1" x14ac:dyDescent="0.3">
      <c r="A869" s="1643"/>
      <c r="B869" s="1643"/>
      <c r="C869" s="1643"/>
      <c r="D869" s="1643"/>
      <c r="E869" s="1643"/>
      <c r="F869" s="1643"/>
      <c r="G869" s="1643"/>
      <c r="H869" s="1643"/>
      <c r="I869" s="1643"/>
      <c r="J869" s="1643"/>
      <c r="K869" s="1643"/>
      <c r="L869" s="1643"/>
      <c r="M869" s="1643"/>
      <c r="N869" s="1643"/>
      <c r="O869" s="1643"/>
      <c r="P869" s="1643"/>
      <c r="Q869" s="1643"/>
      <c r="R869" s="1643"/>
      <c r="S869" s="1643"/>
      <c r="T869" s="1643"/>
      <c r="U869" s="1643"/>
      <c r="V869" s="1643"/>
      <c r="W869" s="1643"/>
      <c r="X869" s="1643"/>
      <c r="Y869" s="1643"/>
      <c r="Z869" s="1643"/>
      <c r="AA869" s="1643"/>
      <c r="AB869" s="1643"/>
      <c r="AC869" s="1643"/>
      <c r="AD869" s="1643"/>
      <c r="AE869" s="1643"/>
      <c r="AF869" s="1643"/>
      <c r="AG869" s="1643"/>
      <c r="AH869" s="1643"/>
      <c r="AI869" s="1643"/>
      <c r="AJ869" s="1643"/>
      <c r="AK869" s="1643"/>
      <c r="AL869" s="1643"/>
      <c r="AM869" s="1643"/>
    </row>
    <row r="870" spans="1:39" ht="15.75" customHeight="1" x14ac:dyDescent="0.3">
      <c r="A870" s="1643"/>
      <c r="B870" s="1643"/>
      <c r="C870" s="1643"/>
      <c r="D870" s="1643"/>
      <c r="E870" s="1643"/>
      <c r="F870" s="1643"/>
      <c r="G870" s="1643"/>
      <c r="H870" s="1643"/>
      <c r="I870" s="1643"/>
      <c r="J870" s="1643"/>
      <c r="K870" s="1643"/>
      <c r="L870" s="1643"/>
      <c r="M870" s="1643"/>
      <c r="N870" s="1643"/>
      <c r="O870" s="1643"/>
      <c r="P870" s="1643"/>
      <c r="Q870" s="1643"/>
      <c r="R870" s="1643"/>
      <c r="S870" s="1643"/>
      <c r="T870" s="1643"/>
      <c r="U870" s="1643"/>
      <c r="V870" s="1643"/>
      <c r="W870" s="1643"/>
      <c r="X870" s="1643"/>
      <c r="Y870" s="1643"/>
      <c r="Z870" s="1643"/>
      <c r="AA870" s="1643"/>
      <c r="AB870" s="1643"/>
      <c r="AC870" s="1643"/>
      <c r="AD870" s="1643"/>
      <c r="AE870" s="1643"/>
      <c r="AF870" s="1643"/>
      <c r="AG870" s="1643"/>
      <c r="AH870" s="1643"/>
      <c r="AI870" s="1643"/>
      <c r="AJ870" s="1643"/>
      <c r="AK870" s="1643"/>
      <c r="AL870" s="1643"/>
      <c r="AM870" s="1643"/>
    </row>
    <row r="871" spans="1:39" ht="15.75" customHeight="1" x14ac:dyDescent="0.3">
      <c r="A871" s="1643"/>
      <c r="B871" s="1643"/>
      <c r="C871" s="1643"/>
      <c r="D871" s="1643"/>
      <c r="E871" s="1643"/>
      <c r="F871" s="1643"/>
      <c r="G871" s="1643"/>
      <c r="H871" s="1643"/>
      <c r="I871" s="1643"/>
      <c r="J871" s="1643"/>
      <c r="K871" s="1643"/>
      <c r="L871" s="1643"/>
      <c r="M871" s="1643"/>
      <c r="N871" s="1643"/>
      <c r="O871" s="1643"/>
      <c r="P871" s="1643"/>
      <c r="Q871" s="1643"/>
      <c r="R871" s="1643"/>
      <c r="S871" s="1643"/>
      <c r="T871" s="1643"/>
      <c r="U871" s="1643"/>
      <c r="V871" s="1643"/>
      <c r="W871" s="1643"/>
      <c r="X871" s="1643"/>
      <c r="Y871" s="1643"/>
      <c r="Z871" s="1643"/>
      <c r="AA871" s="1643"/>
      <c r="AB871" s="1643"/>
      <c r="AC871" s="1643"/>
      <c r="AD871" s="1643"/>
      <c r="AE871" s="1643"/>
      <c r="AF871" s="1643"/>
      <c r="AG871" s="1643"/>
      <c r="AH871" s="1643"/>
      <c r="AI871" s="1643"/>
      <c r="AJ871" s="1643"/>
      <c r="AK871" s="1643"/>
      <c r="AL871" s="1643"/>
      <c r="AM871" s="1643"/>
    </row>
    <row r="872" spans="1:39" ht="15.75" customHeight="1" x14ac:dyDescent="0.3">
      <c r="A872" s="1643"/>
      <c r="B872" s="1643"/>
      <c r="C872" s="1643"/>
      <c r="D872" s="1643"/>
      <c r="E872" s="1643"/>
      <c r="F872" s="1643"/>
      <c r="G872" s="1643"/>
      <c r="H872" s="1643"/>
      <c r="I872" s="1643"/>
      <c r="J872" s="1643"/>
      <c r="K872" s="1643"/>
      <c r="L872" s="1643"/>
      <c r="M872" s="1643"/>
      <c r="N872" s="1643"/>
      <c r="O872" s="1643"/>
      <c r="P872" s="1643"/>
      <c r="Q872" s="1643"/>
      <c r="R872" s="1643"/>
      <c r="S872" s="1643"/>
      <c r="T872" s="1643"/>
      <c r="U872" s="1643"/>
      <c r="V872" s="1643"/>
      <c r="W872" s="1643"/>
      <c r="X872" s="1643"/>
      <c r="Y872" s="1643"/>
      <c r="Z872" s="1643"/>
      <c r="AA872" s="1643"/>
      <c r="AB872" s="1643"/>
      <c r="AC872" s="1643"/>
      <c r="AD872" s="1643"/>
      <c r="AE872" s="1643"/>
      <c r="AF872" s="1643"/>
      <c r="AG872" s="1643"/>
      <c r="AH872" s="1643"/>
      <c r="AI872" s="1643"/>
      <c r="AJ872" s="1643"/>
      <c r="AK872" s="1643"/>
      <c r="AL872" s="1643"/>
      <c r="AM872" s="1643"/>
    </row>
    <row r="873" spans="1:39" ht="15.75" customHeight="1" x14ac:dyDescent="0.3">
      <c r="A873" s="1643"/>
      <c r="B873" s="1643"/>
      <c r="C873" s="1643"/>
      <c r="D873" s="1643"/>
      <c r="E873" s="1643"/>
      <c r="F873" s="1643"/>
      <c r="G873" s="1643"/>
      <c r="H873" s="1643"/>
      <c r="I873" s="1643"/>
      <c r="J873" s="1643"/>
      <c r="K873" s="1643"/>
      <c r="L873" s="1643"/>
      <c r="M873" s="1643"/>
      <c r="N873" s="1643"/>
      <c r="O873" s="1643"/>
      <c r="P873" s="1643"/>
      <c r="Q873" s="1643"/>
      <c r="R873" s="1643"/>
      <c r="S873" s="1643"/>
      <c r="T873" s="1643"/>
      <c r="U873" s="1643"/>
      <c r="V873" s="1643"/>
      <c r="W873" s="1643"/>
      <c r="X873" s="1643"/>
      <c r="Y873" s="1643"/>
      <c r="Z873" s="1643"/>
      <c r="AA873" s="1643"/>
      <c r="AB873" s="1643"/>
      <c r="AC873" s="1643"/>
      <c r="AD873" s="1643"/>
      <c r="AE873" s="1643"/>
      <c r="AF873" s="1643"/>
      <c r="AG873" s="1643"/>
      <c r="AH873" s="1643"/>
      <c r="AI873" s="1643"/>
      <c r="AJ873" s="1643"/>
      <c r="AK873" s="1643"/>
      <c r="AL873" s="1643"/>
      <c r="AM873" s="1643"/>
    </row>
    <row r="874" spans="1:39" ht="15.75" customHeight="1" x14ac:dyDescent="0.3">
      <c r="A874" s="1643"/>
      <c r="B874" s="1643"/>
      <c r="C874" s="1643"/>
      <c r="D874" s="1643"/>
      <c r="E874" s="1643"/>
      <c r="F874" s="1643"/>
      <c r="G874" s="1643"/>
      <c r="H874" s="1643"/>
      <c r="I874" s="1643"/>
      <c r="J874" s="1643"/>
      <c r="K874" s="1643"/>
      <c r="L874" s="1643"/>
      <c r="M874" s="1643"/>
      <c r="N874" s="1643"/>
      <c r="O874" s="1643"/>
      <c r="P874" s="1643"/>
      <c r="Q874" s="1643"/>
      <c r="R874" s="1643"/>
      <c r="S874" s="1643"/>
      <c r="T874" s="1643"/>
      <c r="U874" s="1643"/>
      <c r="V874" s="1643"/>
      <c r="W874" s="1643"/>
      <c r="X874" s="1643"/>
      <c r="Y874" s="1643"/>
      <c r="Z874" s="1643"/>
      <c r="AA874" s="1643"/>
      <c r="AB874" s="1643"/>
      <c r="AC874" s="1643"/>
      <c r="AD874" s="1643"/>
      <c r="AE874" s="1643"/>
      <c r="AF874" s="1643"/>
      <c r="AG874" s="1643"/>
      <c r="AH874" s="1643"/>
      <c r="AI874" s="1643"/>
      <c r="AJ874" s="1643"/>
      <c r="AK874" s="1643"/>
      <c r="AL874" s="1643"/>
      <c r="AM874" s="1643"/>
    </row>
    <row r="875" spans="1:39" ht="15.75" customHeight="1" x14ac:dyDescent="0.3">
      <c r="A875" s="1643"/>
      <c r="B875" s="1643"/>
      <c r="C875" s="1643"/>
      <c r="D875" s="1643"/>
      <c r="E875" s="1643"/>
      <c r="F875" s="1643"/>
      <c r="G875" s="1643"/>
      <c r="H875" s="1643"/>
      <c r="I875" s="1643"/>
      <c r="J875" s="1643"/>
      <c r="K875" s="1643"/>
      <c r="L875" s="1643"/>
      <c r="M875" s="1643"/>
      <c r="N875" s="1643"/>
      <c r="O875" s="1643"/>
      <c r="P875" s="1643"/>
      <c r="Q875" s="1643"/>
      <c r="R875" s="1643"/>
      <c r="S875" s="1643"/>
      <c r="T875" s="1643"/>
      <c r="U875" s="1643"/>
      <c r="V875" s="1643"/>
      <c r="W875" s="1643"/>
      <c r="X875" s="1643"/>
      <c r="Y875" s="1643"/>
      <c r="Z875" s="1643"/>
      <c r="AA875" s="1643"/>
      <c r="AB875" s="1643"/>
      <c r="AC875" s="1643"/>
      <c r="AD875" s="1643"/>
      <c r="AE875" s="1643"/>
      <c r="AF875" s="1643"/>
      <c r="AG875" s="1643"/>
      <c r="AH875" s="1643"/>
      <c r="AI875" s="1643"/>
      <c r="AJ875" s="1643"/>
      <c r="AK875" s="1643"/>
      <c r="AL875" s="1643"/>
      <c r="AM875" s="1643"/>
    </row>
    <row r="876" spans="1:39" ht="15.75" customHeight="1" x14ac:dyDescent="0.3">
      <c r="A876" s="1643"/>
      <c r="B876" s="1643"/>
      <c r="C876" s="1643"/>
      <c r="D876" s="1643"/>
      <c r="E876" s="1643"/>
      <c r="F876" s="1643"/>
      <c r="G876" s="1643"/>
      <c r="H876" s="1643"/>
      <c r="I876" s="1643"/>
      <c r="J876" s="1643"/>
      <c r="K876" s="1643"/>
      <c r="L876" s="1643"/>
      <c r="M876" s="1643"/>
      <c r="N876" s="1643"/>
      <c r="O876" s="1643"/>
      <c r="P876" s="1643"/>
      <c r="Q876" s="1643"/>
      <c r="R876" s="1643"/>
      <c r="S876" s="1643"/>
      <c r="T876" s="1643"/>
      <c r="U876" s="1643"/>
      <c r="V876" s="1643"/>
      <c r="W876" s="1643"/>
      <c r="X876" s="1643"/>
      <c r="Y876" s="1643"/>
      <c r="Z876" s="1643"/>
      <c r="AA876" s="1643"/>
      <c r="AB876" s="1643"/>
      <c r="AC876" s="1643"/>
      <c r="AD876" s="1643"/>
      <c r="AE876" s="1643"/>
      <c r="AF876" s="1643"/>
      <c r="AG876" s="1643"/>
      <c r="AH876" s="1643"/>
      <c r="AI876" s="1643"/>
      <c r="AJ876" s="1643"/>
      <c r="AK876" s="1643"/>
      <c r="AL876" s="1643"/>
      <c r="AM876" s="1643"/>
    </row>
    <row r="877" spans="1:39" ht="15.75" customHeight="1" x14ac:dyDescent="0.3">
      <c r="A877" s="1643"/>
      <c r="B877" s="1643"/>
      <c r="C877" s="1643"/>
      <c r="D877" s="1643"/>
      <c r="E877" s="1643"/>
      <c r="F877" s="1643"/>
      <c r="G877" s="1643"/>
      <c r="H877" s="1643"/>
      <c r="I877" s="1643"/>
      <c r="J877" s="1643"/>
      <c r="K877" s="1643"/>
      <c r="L877" s="1643"/>
      <c r="M877" s="1643"/>
      <c r="N877" s="1643"/>
      <c r="O877" s="1643"/>
      <c r="P877" s="1643"/>
      <c r="Q877" s="1643"/>
      <c r="R877" s="1643"/>
      <c r="S877" s="1643"/>
      <c r="T877" s="1643"/>
      <c r="U877" s="1643"/>
      <c r="V877" s="1643"/>
      <c r="W877" s="1643"/>
      <c r="X877" s="1643"/>
      <c r="Y877" s="1643"/>
      <c r="Z877" s="1643"/>
      <c r="AA877" s="1643"/>
      <c r="AB877" s="1643"/>
      <c r="AC877" s="1643"/>
      <c r="AD877" s="1643"/>
      <c r="AE877" s="1643"/>
      <c r="AF877" s="1643"/>
      <c r="AG877" s="1643"/>
      <c r="AH877" s="1643"/>
      <c r="AI877" s="1643"/>
      <c r="AJ877" s="1643"/>
      <c r="AK877" s="1643"/>
      <c r="AL877" s="1643"/>
      <c r="AM877" s="1643"/>
    </row>
    <row r="878" spans="1:39" ht="15.75" customHeight="1" x14ac:dyDescent="0.3">
      <c r="A878" s="1643"/>
      <c r="B878" s="1643"/>
      <c r="C878" s="1643"/>
      <c r="D878" s="1643"/>
      <c r="E878" s="1643"/>
      <c r="F878" s="1643"/>
      <c r="G878" s="1643"/>
      <c r="H878" s="1643"/>
      <c r="I878" s="1643"/>
      <c r="J878" s="1643"/>
      <c r="K878" s="1643"/>
      <c r="L878" s="1643"/>
      <c r="M878" s="1643"/>
      <c r="N878" s="1643"/>
      <c r="O878" s="1643"/>
      <c r="P878" s="1643"/>
      <c r="Q878" s="1643"/>
      <c r="R878" s="1643"/>
      <c r="S878" s="1643"/>
      <c r="T878" s="1643"/>
      <c r="U878" s="1643"/>
      <c r="V878" s="1643"/>
      <c r="W878" s="1643"/>
      <c r="X878" s="1643"/>
      <c r="Y878" s="1643"/>
      <c r="Z878" s="1643"/>
      <c r="AA878" s="1643"/>
      <c r="AB878" s="1643"/>
      <c r="AC878" s="1643"/>
      <c r="AD878" s="1643"/>
      <c r="AE878" s="1643"/>
      <c r="AF878" s="1643"/>
      <c r="AG878" s="1643"/>
      <c r="AH878" s="1643"/>
      <c r="AI878" s="1643"/>
      <c r="AJ878" s="1643"/>
      <c r="AK878" s="1643"/>
      <c r="AL878" s="1643"/>
      <c r="AM878" s="1643"/>
    </row>
    <row r="879" spans="1:39" ht="15.75" customHeight="1" x14ac:dyDescent="0.3">
      <c r="A879" s="1643"/>
      <c r="B879" s="1643"/>
      <c r="C879" s="1643"/>
      <c r="D879" s="1643"/>
      <c r="E879" s="1643"/>
      <c r="F879" s="1643"/>
      <c r="G879" s="1643"/>
      <c r="H879" s="1643"/>
      <c r="I879" s="1643"/>
      <c r="J879" s="1643"/>
      <c r="K879" s="1643"/>
      <c r="L879" s="1643"/>
      <c r="M879" s="1643"/>
      <c r="N879" s="1643"/>
      <c r="O879" s="1643"/>
      <c r="P879" s="1643"/>
      <c r="Q879" s="1643"/>
      <c r="R879" s="1643"/>
      <c r="S879" s="1643"/>
      <c r="T879" s="1643"/>
      <c r="U879" s="1643"/>
      <c r="V879" s="1643"/>
      <c r="W879" s="1643"/>
      <c r="X879" s="1643"/>
      <c r="Y879" s="1643"/>
      <c r="Z879" s="1643"/>
      <c r="AA879" s="1643"/>
      <c r="AB879" s="1643"/>
      <c r="AC879" s="1643"/>
      <c r="AD879" s="1643"/>
      <c r="AE879" s="1643"/>
      <c r="AF879" s="1643"/>
      <c r="AG879" s="1643"/>
      <c r="AH879" s="1643"/>
      <c r="AI879" s="1643"/>
      <c r="AJ879" s="1643"/>
      <c r="AK879" s="1643"/>
      <c r="AL879" s="1643"/>
      <c r="AM879" s="1643"/>
    </row>
    <row r="880" spans="1:39" ht="15.75" customHeight="1" x14ac:dyDescent="0.3">
      <c r="A880" s="1643"/>
      <c r="B880" s="1643"/>
      <c r="C880" s="1643"/>
      <c r="D880" s="1643"/>
      <c r="E880" s="1643"/>
      <c r="F880" s="1643"/>
      <c r="G880" s="1643"/>
      <c r="H880" s="1643"/>
      <c r="I880" s="1643"/>
      <c r="J880" s="1643"/>
      <c r="K880" s="1643"/>
      <c r="L880" s="1643"/>
      <c r="M880" s="1643"/>
      <c r="N880" s="1643"/>
      <c r="O880" s="1643"/>
      <c r="P880" s="1643"/>
      <c r="Q880" s="1643"/>
      <c r="R880" s="1643"/>
      <c r="S880" s="1643"/>
      <c r="T880" s="1643"/>
      <c r="U880" s="1643"/>
      <c r="V880" s="1643"/>
      <c r="W880" s="1643"/>
      <c r="X880" s="1643"/>
      <c r="Y880" s="1643"/>
      <c r="Z880" s="1643"/>
      <c r="AA880" s="1643"/>
      <c r="AB880" s="1643"/>
      <c r="AC880" s="1643"/>
      <c r="AD880" s="1643"/>
      <c r="AE880" s="1643"/>
      <c r="AF880" s="1643"/>
      <c r="AG880" s="1643"/>
      <c r="AH880" s="1643"/>
      <c r="AI880" s="1643"/>
      <c r="AJ880" s="1643"/>
      <c r="AK880" s="1643"/>
      <c r="AL880" s="1643"/>
      <c r="AM880" s="1643"/>
    </row>
    <row r="881" spans="1:39" ht="15.75" customHeight="1" x14ac:dyDescent="0.3">
      <c r="A881" s="1643"/>
      <c r="B881" s="1643"/>
      <c r="C881" s="1643"/>
      <c r="D881" s="1643"/>
      <c r="E881" s="1643"/>
      <c r="F881" s="1643"/>
      <c r="G881" s="1643"/>
      <c r="H881" s="1643"/>
      <c r="I881" s="1643"/>
      <c r="J881" s="1643"/>
      <c r="K881" s="1643"/>
      <c r="L881" s="1643"/>
      <c r="M881" s="1643"/>
      <c r="N881" s="1643"/>
      <c r="O881" s="1643"/>
      <c r="P881" s="1643"/>
      <c r="Q881" s="1643"/>
      <c r="R881" s="1643"/>
      <c r="S881" s="1643"/>
      <c r="T881" s="1643"/>
      <c r="U881" s="1643"/>
      <c r="V881" s="1643"/>
      <c r="W881" s="1643"/>
      <c r="X881" s="1643"/>
      <c r="Y881" s="1643"/>
      <c r="Z881" s="1643"/>
      <c r="AA881" s="1643"/>
      <c r="AB881" s="1643"/>
      <c r="AC881" s="1643"/>
      <c r="AD881" s="1643"/>
      <c r="AE881" s="1643"/>
      <c r="AF881" s="1643"/>
      <c r="AG881" s="1643"/>
      <c r="AH881" s="1643"/>
      <c r="AI881" s="1643"/>
      <c r="AJ881" s="1643"/>
      <c r="AK881" s="1643"/>
      <c r="AL881" s="1643"/>
      <c r="AM881" s="1643"/>
    </row>
    <row r="882" spans="1:39" ht="15.75" customHeight="1" x14ac:dyDescent="0.3">
      <c r="A882" s="1643"/>
      <c r="B882" s="1643"/>
      <c r="C882" s="1643"/>
      <c r="D882" s="1643"/>
      <c r="E882" s="1643"/>
      <c r="F882" s="1643"/>
      <c r="G882" s="1643"/>
      <c r="H882" s="1643"/>
      <c r="I882" s="1643"/>
      <c r="J882" s="1643"/>
      <c r="K882" s="1643"/>
      <c r="L882" s="1643"/>
      <c r="M882" s="1643"/>
      <c r="N882" s="1643"/>
      <c r="O882" s="1643"/>
      <c r="P882" s="1643"/>
      <c r="Q882" s="1643"/>
      <c r="R882" s="1643"/>
      <c r="S882" s="1643"/>
      <c r="T882" s="1643"/>
      <c r="U882" s="1643"/>
      <c r="V882" s="1643"/>
      <c r="W882" s="1643"/>
      <c r="X882" s="1643"/>
      <c r="Y882" s="1643"/>
      <c r="Z882" s="1643"/>
      <c r="AA882" s="1643"/>
      <c r="AB882" s="1643"/>
      <c r="AC882" s="1643"/>
      <c r="AD882" s="1643"/>
      <c r="AE882" s="1643"/>
      <c r="AF882" s="1643"/>
      <c r="AG882" s="1643"/>
      <c r="AH882" s="1643"/>
      <c r="AI882" s="1643"/>
      <c r="AJ882" s="1643"/>
      <c r="AK882" s="1643"/>
      <c r="AL882" s="1643"/>
      <c r="AM882" s="1643"/>
    </row>
    <row r="883" spans="1:39" ht="15.75" customHeight="1" x14ac:dyDescent="0.3">
      <c r="A883" s="1643"/>
      <c r="B883" s="1643"/>
      <c r="C883" s="1643"/>
      <c r="D883" s="1643"/>
      <c r="E883" s="1643"/>
      <c r="F883" s="1643"/>
      <c r="G883" s="1643"/>
      <c r="H883" s="1643"/>
      <c r="I883" s="1643"/>
      <c r="J883" s="1643"/>
      <c r="K883" s="1643"/>
      <c r="L883" s="1643"/>
      <c r="M883" s="1643"/>
      <c r="N883" s="1643"/>
      <c r="O883" s="1643"/>
      <c r="P883" s="1643"/>
      <c r="Q883" s="1643"/>
      <c r="R883" s="1643"/>
      <c r="S883" s="1643"/>
      <c r="T883" s="1643"/>
      <c r="U883" s="1643"/>
      <c r="V883" s="1643"/>
      <c r="W883" s="1643"/>
      <c r="X883" s="1643"/>
      <c r="Y883" s="1643"/>
      <c r="Z883" s="1643"/>
      <c r="AA883" s="1643"/>
      <c r="AB883" s="1643"/>
      <c r="AC883" s="1643"/>
      <c r="AD883" s="1643"/>
      <c r="AE883" s="1643"/>
      <c r="AF883" s="1643"/>
      <c r="AG883" s="1643"/>
      <c r="AH883" s="1643"/>
      <c r="AI883" s="1643"/>
      <c r="AJ883" s="1643"/>
      <c r="AK883" s="1643"/>
      <c r="AL883" s="1643"/>
      <c r="AM883" s="1643"/>
    </row>
    <row r="884" spans="1:39" ht="15.75" customHeight="1" x14ac:dyDescent="0.3">
      <c r="A884" s="1643"/>
      <c r="B884" s="1643"/>
      <c r="C884" s="1643"/>
      <c r="D884" s="1643"/>
      <c r="E884" s="1643"/>
      <c r="F884" s="1643"/>
      <c r="G884" s="1643"/>
      <c r="H884" s="1643"/>
      <c r="I884" s="1643"/>
      <c r="J884" s="1643"/>
      <c r="K884" s="1643"/>
      <c r="L884" s="1643"/>
      <c r="M884" s="1643"/>
      <c r="N884" s="1643"/>
      <c r="O884" s="1643"/>
      <c r="P884" s="1643"/>
      <c r="Q884" s="1643"/>
      <c r="R884" s="1643"/>
      <c r="S884" s="1643"/>
      <c r="T884" s="1643"/>
      <c r="U884" s="1643"/>
      <c r="V884" s="1643"/>
      <c r="W884" s="1643"/>
      <c r="X884" s="1643"/>
      <c r="Y884" s="1643"/>
      <c r="Z884" s="1643"/>
      <c r="AA884" s="1643"/>
      <c r="AB884" s="1643"/>
      <c r="AC884" s="1643"/>
      <c r="AD884" s="1643"/>
      <c r="AE884" s="1643"/>
      <c r="AF884" s="1643"/>
      <c r="AG884" s="1643"/>
      <c r="AH884" s="1643"/>
      <c r="AI884" s="1643"/>
      <c r="AJ884" s="1643"/>
      <c r="AK884" s="1643"/>
      <c r="AL884" s="1643"/>
      <c r="AM884" s="1643"/>
    </row>
    <row r="885" spans="1:39" ht="15.75" customHeight="1" x14ac:dyDescent="0.3">
      <c r="A885" s="1643"/>
      <c r="B885" s="1643"/>
      <c r="C885" s="1643"/>
      <c r="D885" s="1643"/>
      <c r="E885" s="1643"/>
      <c r="F885" s="1643"/>
      <c r="G885" s="1643"/>
      <c r="H885" s="1643"/>
      <c r="I885" s="1643"/>
      <c r="J885" s="1643"/>
      <c r="K885" s="1643"/>
      <c r="L885" s="1643"/>
      <c r="M885" s="1643"/>
      <c r="N885" s="1643"/>
      <c r="O885" s="1643"/>
      <c r="P885" s="1643"/>
      <c r="Q885" s="1643"/>
      <c r="R885" s="1643"/>
      <c r="S885" s="1643"/>
      <c r="T885" s="1643"/>
      <c r="U885" s="1643"/>
      <c r="V885" s="1643"/>
      <c r="W885" s="1643"/>
      <c r="X885" s="1643"/>
      <c r="Y885" s="1643"/>
      <c r="Z885" s="1643"/>
      <c r="AA885" s="1643"/>
      <c r="AB885" s="1643"/>
      <c r="AC885" s="1643"/>
      <c r="AD885" s="1643"/>
      <c r="AE885" s="1643"/>
      <c r="AF885" s="1643"/>
      <c r="AG885" s="1643"/>
      <c r="AH885" s="1643"/>
      <c r="AI885" s="1643"/>
      <c r="AJ885" s="1643"/>
      <c r="AK885" s="1643"/>
      <c r="AL885" s="1643"/>
      <c r="AM885" s="1643"/>
    </row>
    <row r="886" spans="1:39" ht="15.75" customHeight="1" x14ac:dyDescent="0.3">
      <c r="A886" s="1643"/>
      <c r="B886" s="1643"/>
      <c r="C886" s="1643"/>
      <c r="D886" s="1643"/>
      <c r="E886" s="1643"/>
      <c r="F886" s="1643"/>
      <c r="G886" s="1643"/>
      <c r="H886" s="1643"/>
      <c r="I886" s="1643"/>
      <c r="J886" s="1643"/>
      <c r="K886" s="1643"/>
      <c r="L886" s="1643"/>
      <c r="M886" s="1643"/>
      <c r="N886" s="1643"/>
      <c r="O886" s="1643"/>
      <c r="P886" s="1643"/>
      <c r="Q886" s="1643"/>
      <c r="R886" s="1643"/>
      <c r="S886" s="1643"/>
      <c r="T886" s="1643"/>
      <c r="U886" s="1643"/>
      <c r="V886" s="1643"/>
      <c r="W886" s="1643"/>
      <c r="X886" s="1643"/>
      <c r="Y886" s="1643"/>
      <c r="Z886" s="1643"/>
      <c r="AA886" s="1643"/>
      <c r="AB886" s="1643"/>
      <c r="AC886" s="1643"/>
      <c r="AD886" s="1643"/>
      <c r="AE886" s="1643"/>
      <c r="AF886" s="1643"/>
      <c r="AG886" s="1643"/>
      <c r="AH886" s="1643"/>
      <c r="AI886" s="1643"/>
      <c r="AJ886" s="1643"/>
      <c r="AK886" s="1643"/>
      <c r="AL886" s="1643"/>
      <c r="AM886" s="1643"/>
    </row>
    <row r="887" spans="1:39" ht="15.75" customHeight="1" x14ac:dyDescent="0.3">
      <c r="A887" s="1643"/>
      <c r="B887" s="1643"/>
      <c r="C887" s="1643"/>
      <c r="D887" s="1643"/>
      <c r="E887" s="1643"/>
      <c r="F887" s="1643"/>
      <c r="G887" s="1643"/>
      <c r="H887" s="1643"/>
      <c r="I887" s="1643"/>
      <c r="J887" s="1643"/>
      <c r="K887" s="1643"/>
      <c r="L887" s="1643"/>
      <c r="M887" s="1643"/>
      <c r="N887" s="1643"/>
      <c r="O887" s="1643"/>
      <c r="P887" s="1643"/>
      <c r="Q887" s="1643"/>
      <c r="R887" s="1643"/>
      <c r="S887" s="1643"/>
      <c r="T887" s="1643"/>
      <c r="U887" s="1643"/>
      <c r="V887" s="1643"/>
      <c r="W887" s="1643"/>
      <c r="X887" s="1643"/>
      <c r="Y887" s="1643"/>
      <c r="Z887" s="1643"/>
      <c r="AA887" s="1643"/>
      <c r="AB887" s="1643"/>
      <c r="AC887" s="1643"/>
      <c r="AD887" s="1643"/>
      <c r="AE887" s="1643"/>
      <c r="AF887" s="1643"/>
      <c r="AG887" s="1643"/>
      <c r="AH887" s="1643"/>
      <c r="AI887" s="1643"/>
      <c r="AJ887" s="1643"/>
      <c r="AK887" s="1643"/>
      <c r="AL887" s="1643"/>
      <c r="AM887" s="1643"/>
    </row>
    <row r="888" spans="1:39" ht="15.75" customHeight="1" x14ac:dyDescent="0.3">
      <c r="A888" s="1643"/>
      <c r="B888" s="1643"/>
      <c r="C888" s="1643"/>
      <c r="D888" s="1643"/>
      <c r="E888" s="1643"/>
      <c r="F888" s="1643"/>
      <c r="G888" s="1643"/>
      <c r="H888" s="1643"/>
      <c r="I888" s="1643"/>
      <c r="J888" s="1643"/>
      <c r="K888" s="1643"/>
      <c r="L888" s="1643"/>
      <c r="M888" s="1643"/>
      <c r="N888" s="1643"/>
      <c r="O888" s="1643"/>
      <c r="P888" s="1643"/>
      <c r="Q888" s="1643"/>
      <c r="R888" s="1643"/>
      <c r="S888" s="1643"/>
      <c r="T888" s="1643"/>
      <c r="U888" s="1643"/>
      <c r="V888" s="1643"/>
      <c r="W888" s="1643"/>
      <c r="X888" s="1643"/>
      <c r="Y888" s="1643"/>
      <c r="Z888" s="1643"/>
      <c r="AA888" s="1643"/>
      <c r="AB888" s="1643"/>
      <c r="AC888" s="1643"/>
      <c r="AD888" s="1643"/>
      <c r="AE888" s="1643"/>
      <c r="AF888" s="1643"/>
      <c r="AG888" s="1643"/>
      <c r="AH888" s="1643"/>
      <c r="AI888" s="1643"/>
      <c r="AJ888" s="1643"/>
      <c r="AK888" s="1643"/>
      <c r="AL888" s="1643"/>
      <c r="AM888" s="1643"/>
    </row>
    <row r="889" spans="1:39" ht="15.75" customHeight="1" x14ac:dyDescent="0.3">
      <c r="A889" s="1643"/>
      <c r="B889" s="1643"/>
      <c r="C889" s="1643"/>
      <c r="D889" s="1643"/>
      <c r="E889" s="1643"/>
      <c r="F889" s="1643"/>
      <c r="G889" s="1643"/>
      <c r="H889" s="1643"/>
      <c r="I889" s="1643"/>
      <c r="J889" s="1643"/>
      <c r="K889" s="1643"/>
      <c r="L889" s="1643"/>
      <c r="M889" s="1643"/>
      <c r="N889" s="1643"/>
      <c r="O889" s="1643"/>
      <c r="P889" s="1643"/>
      <c r="Q889" s="1643"/>
      <c r="R889" s="1643"/>
      <c r="S889" s="1643"/>
      <c r="T889" s="1643"/>
      <c r="U889" s="1643"/>
      <c r="V889" s="1643"/>
      <c r="W889" s="1643"/>
      <c r="X889" s="1643"/>
      <c r="Y889" s="1643"/>
      <c r="Z889" s="1643"/>
      <c r="AA889" s="1643"/>
      <c r="AB889" s="1643"/>
      <c r="AC889" s="1643"/>
      <c r="AD889" s="1643"/>
      <c r="AE889" s="1643"/>
      <c r="AF889" s="1643"/>
      <c r="AG889" s="1643"/>
      <c r="AH889" s="1643"/>
      <c r="AI889" s="1643"/>
      <c r="AJ889" s="1643"/>
      <c r="AK889" s="1643"/>
      <c r="AL889" s="1643"/>
      <c r="AM889" s="1643"/>
    </row>
    <row r="890" spans="1:39" ht="15.75" customHeight="1" x14ac:dyDescent="0.3">
      <c r="A890" s="1643"/>
      <c r="B890" s="1643"/>
      <c r="C890" s="1643"/>
      <c r="D890" s="1643"/>
      <c r="E890" s="1643"/>
      <c r="F890" s="1643"/>
      <c r="G890" s="1643"/>
      <c r="H890" s="1643"/>
      <c r="I890" s="1643"/>
      <c r="J890" s="1643"/>
      <c r="K890" s="1643"/>
      <c r="L890" s="1643"/>
      <c r="M890" s="1643"/>
      <c r="N890" s="1643"/>
      <c r="O890" s="1643"/>
      <c r="P890" s="1643"/>
      <c r="Q890" s="1643"/>
      <c r="R890" s="1643"/>
      <c r="S890" s="1643"/>
      <c r="T890" s="1643"/>
      <c r="U890" s="1643"/>
      <c r="V890" s="1643"/>
      <c r="W890" s="1643"/>
      <c r="X890" s="1643"/>
      <c r="Y890" s="1643"/>
      <c r="Z890" s="1643"/>
      <c r="AA890" s="1643"/>
      <c r="AB890" s="1643"/>
      <c r="AC890" s="1643"/>
      <c r="AD890" s="1643"/>
      <c r="AE890" s="1643"/>
      <c r="AF890" s="1643"/>
      <c r="AG890" s="1643"/>
      <c r="AH890" s="1643"/>
      <c r="AI890" s="1643"/>
      <c r="AJ890" s="1643"/>
      <c r="AK890" s="1643"/>
      <c r="AL890" s="1643"/>
      <c r="AM890" s="1643"/>
    </row>
    <row r="891" spans="1:39" ht="15.75" customHeight="1" x14ac:dyDescent="0.3">
      <c r="A891" s="1643"/>
      <c r="B891" s="1643"/>
      <c r="C891" s="1643"/>
      <c r="D891" s="1643"/>
      <c r="E891" s="1643"/>
      <c r="F891" s="1643"/>
      <c r="G891" s="1643"/>
      <c r="H891" s="1643"/>
      <c r="I891" s="1643"/>
      <c r="J891" s="1643"/>
      <c r="K891" s="1643"/>
      <c r="L891" s="1643"/>
      <c r="M891" s="1643"/>
      <c r="N891" s="1643"/>
      <c r="O891" s="1643"/>
      <c r="P891" s="1643"/>
      <c r="Q891" s="1643"/>
      <c r="R891" s="1643"/>
      <c r="S891" s="1643"/>
      <c r="T891" s="1643"/>
      <c r="U891" s="1643"/>
      <c r="V891" s="1643"/>
      <c r="W891" s="1643"/>
      <c r="X891" s="1643"/>
      <c r="Y891" s="1643"/>
      <c r="Z891" s="1643"/>
      <c r="AA891" s="1643"/>
      <c r="AB891" s="1643"/>
      <c r="AC891" s="1643"/>
      <c r="AD891" s="1643"/>
      <c r="AE891" s="1643"/>
      <c r="AF891" s="1643"/>
      <c r="AG891" s="1643"/>
      <c r="AH891" s="1643"/>
      <c r="AI891" s="1643"/>
      <c r="AJ891" s="1643"/>
      <c r="AK891" s="1643"/>
      <c r="AL891" s="1643"/>
      <c r="AM891" s="1643"/>
    </row>
    <row r="892" spans="1:39" ht="15.75" customHeight="1" x14ac:dyDescent="0.3">
      <c r="A892" s="1643"/>
      <c r="B892" s="1643"/>
      <c r="C892" s="1643"/>
      <c r="D892" s="1643"/>
      <c r="E892" s="1643"/>
      <c r="F892" s="1643"/>
      <c r="G892" s="1643"/>
      <c r="H892" s="1643"/>
      <c r="I892" s="1643"/>
      <c r="J892" s="1643"/>
      <c r="K892" s="1643"/>
      <c r="L892" s="1643"/>
      <c r="M892" s="1643"/>
      <c r="N892" s="1643"/>
      <c r="O892" s="1643"/>
      <c r="P892" s="1643"/>
      <c r="Q892" s="1643"/>
      <c r="R892" s="1643"/>
      <c r="S892" s="1643"/>
      <c r="T892" s="1643"/>
      <c r="U892" s="1643"/>
      <c r="V892" s="1643"/>
      <c r="W892" s="1643"/>
      <c r="X892" s="1643"/>
      <c r="Y892" s="1643"/>
      <c r="Z892" s="1643"/>
      <c r="AA892" s="1643"/>
      <c r="AB892" s="1643"/>
      <c r="AC892" s="1643"/>
      <c r="AD892" s="1643"/>
      <c r="AE892" s="1643"/>
      <c r="AF892" s="1643"/>
      <c r="AG892" s="1643"/>
      <c r="AH892" s="1643"/>
      <c r="AI892" s="1643"/>
      <c r="AJ892" s="1643"/>
      <c r="AK892" s="1643"/>
      <c r="AL892" s="1643"/>
      <c r="AM892" s="1643"/>
    </row>
    <row r="893" spans="1:39" ht="15.75" customHeight="1" x14ac:dyDescent="0.3">
      <c r="A893" s="1643"/>
      <c r="B893" s="1643"/>
      <c r="C893" s="1643"/>
      <c r="D893" s="1643"/>
      <c r="E893" s="1643"/>
      <c r="F893" s="1643"/>
      <c r="G893" s="1643"/>
      <c r="H893" s="1643"/>
      <c r="I893" s="1643"/>
      <c r="J893" s="1643"/>
      <c r="K893" s="1643"/>
      <c r="L893" s="1643"/>
      <c r="M893" s="1643"/>
      <c r="N893" s="1643"/>
      <c r="O893" s="1643"/>
      <c r="P893" s="1643"/>
      <c r="Q893" s="1643"/>
      <c r="R893" s="1643"/>
      <c r="S893" s="1643"/>
      <c r="T893" s="1643"/>
      <c r="U893" s="1643"/>
      <c r="V893" s="1643"/>
      <c r="W893" s="1643"/>
      <c r="X893" s="1643"/>
      <c r="Y893" s="1643"/>
      <c r="Z893" s="1643"/>
      <c r="AA893" s="1643"/>
      <c r="AB893" s="1643"/>
      <c r="AC893" s="1643"/>
      <c r="AD893" s="1643"/>
      <c r="AE893" s="1643"/>
      <c r="AF893" s="1643"/>
      <c r="AG893" s="1643"/>
      <c r="AH893" s="1643"/>
      <c r="AI893" s="1643"/>
      <c r="AJ893" s="1643"/>
      <c r="AK893" s="1643"/>
      <c r="AL893" s="1643"/>
      <c r="AM893" s="1643"/>
    </row>
    <row r="894" spans="1:39" ht="15.75" customHeight="1" x14ac:dyDescent="0.3">
      <c r="A894" s="1643"/>
      <c r="B894" s="1643"/>
      <c r="C894" s="1643"/>
      <c r="D894" s="1643"/>
      <c r="E894" s="1643"/>
      <c r="F894" s="1643"/>
      <c r="G894" s="1643"/>
      <c r="H894" s="1643"/>
      <c r="I894" s="1643"/>
      <c r="J894" s="1643"/>
      <c r="K894" s="1643"/>
      <c r="L894" s="1643"/>
      <c r="M894" s="1643"/>
      <c r="N894" s="1643"/>
      <c r="O894" s="1643"/>
      <c r="P894" s="1643"/>
      <c r="Q894" s="1643"/>
      <c r="R894" s="1643"/>
      <c r="S894" s="1643"/>
      <c r="T894" s="1643"/>
      <c r="U894" s="1643"/>
      <c r="V894" s="1643"/>
      <c r="W894" s="1643"/>
      <c r="X894" s="1643"/>
      <c r="Y894" s="1643"/>
      <c r="Z894" s="1643"/>
      <c r="AA894" s="1643"/>
      <c r="AB894" s="1643"/>
      <c r="AC894" s="1643"/>
      <c r="AD894" s="1643"/>
      <c r="AE894" s="1643"/>
      <c r="AF894" s="1643"/>
      <c r="AG894" s="1643"/>
      <c r="AH894" s="1643"/>
      <c r="AI894" s="1643"/>
      <c r="AJ894" s="1643"/>
      <c r="AK894" s="1643"/>
      <c r="AL894" s="1643"/>
      <c r="AM894" s="1643"/>
    </row>
    <row r="895" spans="1:39" ht="15.75" customHeight="1" x14ac:dyDescent="0.3">
      <c r="A895" s="1643"/>
      <c r="B895" s="1643"/>
      <c r="C895" s="1643"/>
      <c r="D895" s="1643"/>
      <c r="E895" s="1643"/>
      <c r="F895" s="1643"/>
      <c r="G895" s="1643"/>
      <c r="H895" s="1643"/>
      <c r="I895" s="1643"/>
      <c r="J895" s="1643"/>
      <c r="K895" s="1643"/>
      <c r="L895" s="1643"/>
      <c r="M895" s="1643"/>
      <c r="N895" s="1643"/>
      <c r="O895" s="1643"/>
      <c r="P895" s="1643"/>
      <c r="Q895" s="1643"/>
      <c r="R895" s="1643"/>
      <c r="S895" s="1643"/>
      <c r="T895" s="1643"/>
      <c r="U895" s="1643"/>
      <c r="V895" s="1643"/>
      <c r="W895" s="1643"/>
      <c r="X895" s="1643"/>
      <c r="Y895" s="1643"/>
      <c r="Z895" s="1643"/>
      <c r="AA895" s="1643"/>
      <c r="AB895" s="1643"/>
      <c r="AC895" s="1643"/>
      <c r="AD895" s="1643"/>
      <c r="AE895" s="1643"/>
      <c r="AF895" s="1643"/>
      <c r="AG895" s="1643"/>
      <c r="AH895" s="1643"/>
      <c r="AI895" s="1643"/>
      <c r="AJ895" s="1643"/>
      <c r="AK895" s="1643"/>
      <c r="AL895" s="1643"/>
      <c r="AM895" s="1643"/>
    </row>
    <row r="896" spans="1:39" ht="15.75" customHeight="1" x14ac:dyDescent="0.3">
      <c r="A896" s="1643"/>
      <c r="B896" s="1643"/>
      <c r="C896" s="1643"/>
      <c r="D896" s="1643"/>
      <c r="E896" s="1643"/>
      <c r="F896" s="1643"/>
      <c r="G896" s="1643"/>
      <c r="H896" s="1643"/>
      <c r="I896" s="1643"/>
      <c r="J896" s="1643"/>
      <c r="K896" s="1643"/>
      <c r="L896" s="1643"/>
      <c r="M896" s="1643"/>
      <c r="N896" s="1643"/>
      <c r="O896" s="1643"/>
      <c r="P896" s="1643"/>
      <c r="Q896" s="1643"/>
      <c r="R896" s="1643"/>
      <c r="S896" s="1643"/>
      <c r="T896" s="1643"/>
      <c r="U896" s="1643"/>
      <c r="V896" s="1643"/>
      <c r="W896" s="1643"/>
      <c r="X896" s="1643"/>
      <c r="Y896" s="1643"/>
      <c r="Z896" s="1643"/>
      <c r="AA896" s="1643"/>
      <c r="AB896" s="1643"/>
      <c r="AC896" s="1643"/>
      <c r="AD896" s="1643"/>
      <c r="AE896" s="1643"/>
      <c r="AF896" s="1643"/>
      <c r="AG896" s="1643"/>
      <c r="AH896" s="1643"/>
      <c r="AI896" s="1643"/>
      <c r="AJ896" s="1643"/>
      <c r="AK896" s="1643"/>
      <c r="AL896" s="1643"/>
      <c r="AM896" s="1643"/>
    </row>
    <row r="897" spans="1:39" ht="15.75" customHeight="1" x14ac:dyDescent="0.3">
      <c r="A897" s="1643"/>
      <c r="B897" s="1643"/>
      <c r="C897" s="1643"/>
      <c r="D897" s="1643"/>
      <c r="E897" s="1643"/>
      <c r="F897" s="1643"/>
      <c r="G897" s="1643"/>
      <c r="H897" s="1643"/>
      <c r="I897" s="1643"/>
      <c r="J897" s="1643"/>
      <c r="K897" s="1643"/>
      <c r="L897" s="1643"/>
      <c r="M897" s="1643"/>
      <c r="N897" s="1643"/>
      <c r="O897" s="1643"/>
      <c r="P897" s="1643"/>
      <c r="Q897" s="1643"/>
      <c r="R897" s="1643"/>
      <c r="S897" s="1643"/>
      <c r="T897" s="1643"/>
      <c r="U897" s="1643"/>
      <c r="V897" s="1643"/>
      <c r="W897" s="1643"/>
      <c r="X897" s="1643"/>
      <c r="Y897" s="1643"/>
      <c r="Z897" s="1643"/>
      <c r="AA897" s="1643"/>
      <c r="AB897" s="1643"/>
      <c r="AC897" s="1643"/>
      <c r="AD897" s="1643"/>
      <c r="AE897" s="1643"/>
      <c r="AF897" s="1643"/>
      <c r="AG897" s="1643"/>
      <c r="AH897" s="1643"/>
      <c r="AI897" s="1643"/>
      <c r="AJ897" s="1643"/>
      <c r="AK897" s="1643"/>
      <c r="AL897" s="1643"/>
      <c r="AM897" s="1643"/>
    </row>
    <row r="898" spans="1:39" ht="15.75" customHeight="1" x14ac:dyDescent="0.3">
      <c r="A898" s="1643"/>
      <c r="B898" s="1643"/>
      <c r="C898" s="1643"/>
      <c r="D898" s="1643"/>
      <c r="E898" s="1643"/>
      <c r="F898" s="1643"/>
      <c r="G898" s="1643"/>
      <c r="H898" s="1643"/>
      <c r="I898" s="1643"/>
      <c r="J898" s="1643"/>
      <c r="K898" s="1643"/>
      <c r="L898" s="1643"/>
      <c r="M898" s="1643"/>
      <c r="N898" s="1643"/>
      <c r="O898" s="1643"/>
      <c r="P898" s="1643"/>
      <c r="Q898" s="1643"/>
      <c r="R898" s="1643"/>
      <c r="S898" s="1643"/>
      <c r="T898" s="1643"/>
      <c r="U898" s="1643"/>
      <c r="V898" s="1643"/>
      <c r="W898" s="1643"/>
      <c r="X898" s="1643"/>
      <c r="Y898" s="1643"/>
      <c r="Z898" s="1643"/>
      <c r="AA898" s="1643"/>
      <c r="AB898" s="1643"/>
      <c r="AC898" s="1643"/>
      <c r="AD898" s="1643"/>
      <c r="AE898" s="1643"/>
      <c r="AF898" s="1643"/>
      <c r="AG898" s="1643"/>
      <c r="AH898" s="1643"/>
      <c r="AI898" s="1643"/>
      <c r="AJ898" s="1643"/>
      <c r="AK898" s="1643"/>
      <c r="AL898" s="1643"/>
      <c r="AM898" s="1643"/>
    </row>
    <row r="899" spans="1:39" ht="15.75" customHeight="1" x14ac:dyDescent="0.3">
      <c r="A899" s="1643"/>
      <c r="B899" s="1643"/>
      <c r="C899" s="1643"/>
      <c r="D899" s="1643"/>
      <c r="E899" s="1643"/>
      <c r="F899" s="1643"/>
      <c r="G899" s="1643"/>
      <c r="H899" s="1643"/>
      <c r="I899" s="1643"/>
      <c r="J899" s="1643"/>
      <c r="K899" s="1643"/>
      <c r="L899" s="1643"/>
      <c r="M899" s="1643"/>
      <c r="N899" s="1643"/>
      <c r="O899" s="1643"/>
      <c r="P899" s="1643"/>
      <c r="Q899" s="1643"/>
      <c r="R899" s="1643"/>
      <c r="S899" s="1643"/>
      <c r="T899" s="1643"/>
      <c r="U899" s="1643"/>
      <c r="V899" s="1643"/>
      <c r="W899" s="1643"/>
      <c r="X899" s="1643"/>
      <c r="Y899" s="1643"/>
      <c r="Z899" s="1643"/>
      <c r="AA899" s="1643"/>
      <c r="AB899" s="1643"/>
      <c r="AC899" s="1643"/>
      <c r="AD899" s="1643"/>
      <c r="AE899" s="1643"/>
      <c r="AF899" s="1643"/>
      <c r="AG899" s="1643"/>
      <c r="AH899" s="1643"/>
      <c r="AI899" s="1643"/>
      <c r="AJ899" s="1643"/>
      <c r="AK899" s="1643"/>
      <c r="AL899" s="1643"/>
      <c r="AM899" s="1643"/>
    </row>
    <row r="900" spans="1:39" ht="15.75" customHeight="1" x14ac:dyDescent="0.3">
      <c r="A900" s="1643"/>
      <c r="B900" s="1643"/>
      <c r="C900" s="1643"/>
      <c r="D900" s="1643"/>
      <c r="E900" s="1643"/>
      <c r="F900" s="1643"/>
      <c r="G900" s="1643"/>
      <c r="H900" s="1643"/>
      <c r="I900" s="1643"/>
      <c r="J900" s="1643"/>
      <c r="K900" s="1643"/>
      <c r="L900" s="1643"/>
      <c r="M900" s="1643"/>
      <c r="N900" s="1643"/>
      <c r="O900" s="1643"/>
      <c r="P900" s="1643"/>
      <c r="Q900" s="1643"/>
      <c r="R900" s="1643"/>
      <c r="S900" s="1643"/>
      <c r="T900" s="1643"/>
      <c r="U900" s="1643"/>
      <c r="V900" s="1643"/>
      <c r="W900" s="1643"/>
      <c r="X900" s="1643"/>
      <c r="Y900" s="1643"/>
      <c r="Z900" s="1643"/>
      <c r="AA900" s="1643"/>
      <c r="AB900" s="1643"/>
      <c r="AC900" s="1643"/>
      <c r="AD900" s="1643"/>
      <c r="AE900" s="1643"/>
      <c r="AF900" s="1643"/>
      <c r="AG900" s="1643"/>
      <c r="AH900" s="1643"/>
      <c r="AI900" s="1643"/>
      <c r="AJ900" s="1643"/>
      <c r="AK900" s="1643"/>
      <c r="AL900" s="1643"/>
      <c r="AM900" s="1643"/>
    </row>
    <row r="901" spans="1:39" ht="15.75" customHeight="1" x14ac:dyDescent="0.3">
      <c r="A901" s="1643"/>
      <c r="B901" s="1643"/>
      <c r="C901" s="1643"/>
      <c r="D901" s="1643"/>
      <c r="E901" s="1643"/>
      <c r="F901" s="1643"/>
      <c r="G901" s="1643"/>
      <c r="H901" s="1643"/>
      <c r="I901" s="1643"/>
      <c r="J901" s="1643"/>
      <c r="K901" s="1643"/>
      <c r="L901" s="1643"/>
      <c r="M901" s="1643"/>
      <c r="N901" s="1643"/>
      <c r="O901" s="1643"/>
      <c r="P901" s="1643"/>
      <c r="Q901" s="1643"/>
      <c r="R901" s="1643"/>
      <c r="S901" s="1643"/>
      <c r="T901" s="1643"/>
      <c r="U901" s="1643"/>
      <c r="V901" s="1643"/>
      <c r="W901" s="1643"/>
      <c r="X901" s="1643"/>
      <c r="Y901" s="1643"/>
      <c r="Z901" s="1643"/>
      <c r="AA901" s="1643"/>
      <c r="AB901" s="1643"/>
      <c r="AC901" s="1643"/>
      <c r="AD901" s="1643"/>
      <c r="AE901" s="1643"/>
      <c r="AF901" s="1643"/>
      <c r="AG901" s="1643"/>
      <c r="AH901" s="1643"/>
      <c r="AI901" s="1643"/>
      <c r="AJ901" s="1643"/>
      <c r="AK901" s="1643"/>
      <c r="AL901" s="1643"/>
      <c r="AM901" s="1643"/>
    </row>
    <row r="902" spans="1:39" ht="15.75" customHeight="1" x14ac:dyDescent="0.3">
      <c r="A902" s="1643"/>
      <c r="B902" s="1643"/>
      <c r="C902" s="1643"/>
      <c r="D902" s="1643"/>
      <c r="E902" s="1643"/>
      <c r="F902" s="1643"/>
      <c r="G902" s="1643"/>
      <c r="H902" s="1643"/>
      <c r="I902" s="1643"/>
      <c r="J902" s="1643"/>
      <c r="K902" s="1643"/>
      <c r="L902" s="1643"/>
      <c r="M902" s="1643"/>
      <c r="N902" s="1643"/>
      <c r="O902" s="1643"/>
      <c r="P902" s="1643"/>
      <c r="Q902" s="1643"/>
      <c r="R902" s="1643"/>
      <c r="S902" s="1643"/>
      <c r="T902" s="1643"/>
      <c r="U902" s="1643"/>
      <c r="V902" s="1643"/>
      <c r="W902" s="1643"/>
      <c r="X902" s="1643"/>
      <c r="Y902" s="1643"/>
      <c r="Z902" s="1643"/>
      <c r="AA902" s="1643"/>
      <c r="AB902" s="1643"/>
      <c r="AC902" s="1643"/>
      <c r="AD902" s="1643"/>
      <c r="AE902" s="1643"/>
      <c r="AF902" s="1643"/>
      <c r="AG902" s="1643"/>
      <c r="AH902" s="1643"/>
      <c r="AI902" s="1643"/>
      <c r="AJ902" s="1643"/>
      <c r="AK902" s="1643"/>
      <c r="AL902" s="1643"/>
      <c r="AM902" s="1643"/>
    </row>
    <row r="903" spans="1:39" ht="15.75" customHeight="1" x14ac:dyDescent="0.3">
      <c r="A903" s="1643"/>
      <c r="B903" s="1643"/>
      <c r="C903" s="1643"/>
      <c r="D903" s="1643"/>
      <c r="E903" s="1643"/>
      <c r="F903" s="1643"/>
      <c r="G903" s="1643"/>
      <c r="H903" s="1643"/>
      <c r="I903" s="1643"/>
      <c r="J903" s="1643"/>
      <c r="K903" s="1643"/>
      <c r="L903" s="1643"/>
      <c r="M903" s="1643"/>
      <c r="N903" s="1643"/>
      <c r="O903" s="1643"/>
      <c r="P903" s="1643"/>
      <c r="Q903" s="1643"/>
      <c r="R903" s="1643"/>
      <c r="S903" s="1643"/>
      <c r="T903" s="1643"/>
      <c r="U903" s="1643"/>
      <c r="V903" s="1643"/>
      <c r="W903" s="1643"/>
      <c r="X903" s="1643"/>
      <c r="Y903" s="1643"/>
      <c r="Z903" s="1643"/>
      <c r="AA903" s="1643"/>
      <c r="AB903" s="1643"/>
      <c r="AC903" s="1643"/>
      <c r="AD903" s="1643"/>
      <c r="AE903" s="1643"/>
      <c r="AF903" s="1643"/>
      <c r="AG903" s="1643"/>
      <c r="AH903" s="1643"/>
      <c r="AI903" s="1643"/>
      <c r="AJ903" s="1643"/>
      <c r="AK903" s="1643"/>
      <c r="AL903" s="1643"/>
      <c r="AM903" s="1643"/>
    </row>
    <row r="904" spans="1:39" ht="15.75" customHeight="1" x14ac:dyDescent="0.3">
      <c r="A904" s="1643"/>
      <c r="B904" s="1643"/>
      <c r="C904" s="1643"/>
      <c r="D904" s="1643"/>
      <c r="E904" s="1643"/>
      <c r="F904" s="1643"/>
      <c r="G904" s="1643"/>
      <c r="H904" s="1643"/>
      <c r="I904" s="1643"/>
      <c r="J904" s="1643"/>
      <c r="K904" s="1643"/>
      <c r="L904" s="1643"/>
      <c r="M904" s="1643"/>
      <c r="N904" s="1643"/>
      <c r="O904" s="1643"/>
      <c r="P904" s="1643"/>
      <c r="Q904" s="1643"/>
      <c r="R904" s="1643"/>
      <c r="S904" s="1643"/>
      <c r="T904" s="1643"/>
      <c r="U904" s="1643"/>
      <c r="V904" s="1643"/>
      <c r="W904" s="1643"/>
      <c r="X904" s="1643"/>
      <c r="Y904" s="1643"/>
      <c r="Z904" s="1643"/>
      <c r="AA904" s="1643"/>
      <c r="AB904" s="1643"/>
      <c r="AC904" s="1643"/>
      <c r="AD904" s="1643"/>
      <c r="AE904" s="1643"/>
      <c r="AF904" s="1643"/>
      <c r="AG904" s="1643"/>
      <c r="AH904" s="1643"/>
      <c r="AI904" s="1643"/>
      <c r="AJ904" s="1643"/>
      <c r="AK904" s="1643"/>
      <c r="AL904" s="1643"/>
      <c r="AM904" s="1643"/>
    </row>
    <row r="905" spans="1:39" ht="15.75" customHeight="1" x14ac:dyDescent="0.3">
      <c r="A905" s="1643"/>
      <c r="B905" s="1643"/>
      <c r="C905" s="1643"/>
      <c r="D905" s="1643"/>
      <c r="E905" s="1643"/>
      <c r="F905" s="1643"/>
      <c r="G905" s="1643"/>
      <c r="H905" s="1643"/>
      <c r="I905" s="1643"/>
      <c r="J905" s="1643"/>
      <c r="K905" s="1643"/>
      <c r="L905" s="1643"/>
      <c r="M905" s="1643"/>
      <c r="N905" s="1643"/>
      <c r="O905" s="1643"/>
      <c r="P905" s="1643"/>
      <c r="Q905" s="1643"/>
      <c r="R905" s="1643"/>
      <c r="S905" s="1643"/>
      <c r="T905" s="1643"/>
      <c r="U905" s="1643"/>
      <c r="V905" s="1643"/>
      <c r="W905" s="1643"/>
      <c r="X905" s="1643"/>
      <c r="Y905" s="1643"/>
      <c r="Z905" s="1643"/>
      <c r="AA905" s="1643"/>
      <c r="AB905" s="1643"/>
      <c r="AC905" s="1643"/>
      <c r="AD905" s="1643"/>
      <c r="AE905" s="1643"/>
      <c r="AF905" s="1643"/>
      <c r="AG905" s="1643"/>
      <c r="AH905" s="1643"/>
      <c r="AI905" s="1643"/>
      <c r="AJ905" s="1643"/>
      <c r="AK905" s="1643"/>
      <c r="AL905" s="1643"/>
      <c r="AM905" s="1643"/>
    </row>
    <row r="906" spans="1:39" ht="15.75" customHeight="1" x14ac:dyDescent="0.3">
      <c r="A906" s="1643"/>
      <c r="B906" s="1643"/>
      <c r="C906" s="1643"/>
      <c r="D906" s="1643"/>
      <c r="E906" s="1643"/>
      <c r="F906" s="1643"/>
      <c r="G906" s="1643"/>
      <c r="H906" s="1643"/>
      <c r="I906" s="1643"/>
      <c r="J906" s="1643"/>
      <c r="K906" s="1643"/>
      <c r="L906" s="1643"/>
      <c r="M906" s="1643"/>
      <c r="N906" s="1643"/>
      <c r="O906" s="1643"/>
      <c r="P906" s="1643"/>
      <c r="Q906" s="1643"/>
      <c r="R906" s="1643"/>
      <c r="S906" s="1643"/>
      <c r="T906" s="1643"/>
      <c r="U906" s="1643"/>
      <c r="V906" s="1643"/>
      <c r="W906" s="1643"/>
      <c r="X906" s="1643"/>
      <c r="Y906" s="1643"/>
      <c r="Z906" s="1643"/>
      <c r="AA906" s="1643"/>
      <c r="AB906" s="1643"/>
      <c r="AC906" s="1643"/>
      <c r="AD906" s="1643"/>
      <c r="AE906" s="1643"/>
      <c r="AF906" s="1643"/>
      <c r="AG906" s="1643"/>
      <c r="AH906" s="1643"/>
      <c r="AI906" s="1643"/>
      <c r="AJ906" s="1643"/>
      <c r="AK906" s="1643"/>
      <c r="AL906" s="1643"/>
      <c r="AM906" s="1643"/>
    </row>
    <row r="907" spans="1:39" ht="15.75" customHeight="1" x14ac:dyDescent="0.3">
      <c r="A907" s="1643"/>
      <c r="B907" s="1643"/>
      <c r="C907" s="1643"/>
      <c r="D907" s="1643"/>
      <c r="E907" s="1643"/>
      <c r="F907" s="1643"/>
      <c r="G907" s="1643"/>
      <c r="H907" s="1643"/>
      <c r="I907" s="1643"/>
      <c r="J907" s="1643"/>
      <c r="K907" s="1643"/>
      <c r="L907" s="1643"/>
      <c r="M907" s="1643"/>
      <c r="N907" s="1643"/>
      <c r="O907" s="1643"/>
      <c r="P907" s="1643"/>
      <c r="Q907" s="1643"/>
      <c r="R907" s="1643"/>
      <c r="S907" s="1643"/>
      <c r="T907" s="1643"/>
      <c r="U907" s="1643"/>
      <c r="V907" s="1643"/>
      <c r="W907" s="1643"/>
      <c r="X907" s="1643"/>
      <c r="Y907" s="1643"/>
      <c r="Z907" s="1643"/>
      <c r="AA907" s="1643"/>
      <c r="AB907" s="1643"/>
      <c r="AC907" s="1643"/>
      <c r="AD907" s="1643"/>
      <c r="AE907" s="1643"/>
      <c r="AF907" s="1643"/>
      <c r="AG907" s="1643"/>
      <c r="AH907" s="1643"/>
      <c r="AI907" s="1643"/>
      <c r="AJ907" s="1643"/>
      <c r="AK907" s="1643"/>
      <c r="AL907" s="1643"/>
      <c r="AM907" s="1643"/>
    </row>
    <row r="908" spans="1:39" ht="15.75" customHeight="1" x14ac:dyDescent="0.3">
      <c r="A908" s="1643"/>
      <c r="B908" s="1643"/>
      <c r="C908" s="1643"/>
      <c r="D908" s="1643"/>
      <c r="E908" s="1643"/>
      <c r="F908" s="1643"/>
      <c r="G908" s="1643"/>
      <c r="H908" s="1643"/>
      <c r="I908" s="1643"/>
      <c r="J908" s="1643"/>
      <c r="K908" s="1643"/>
      <c r="L908" s="1643"/>
      <c r="M908" s="1643"/>
      <c r="N908" s="1643"/>
      <c r="O908" s="1643"/>
      <c r="P908" s="1643"/>
      <c r="Q908" s="1643"/>
      <c r="R908" s="1643"/>
      <c r="S908" s="1643"/>
      <c r="T908" s="1643"/>
      <c r="U908" s="1643"/>
      <c r="V908" s="1643"/>
      <c r="W908" s="1643"/>
      <c r="X908" s="1643"/>
      <c r="Y908" s="1643"/>
      <c r="Z908" s="1643"/>
      <c r="AA908" s="1643"/>
      <c r="AB908" s="1643"/>
      <c r="AC908" s="1643"/>
      <c r="AD908" s="1643"/>
      <c r="AE908" s="1643"/>
      <c r="AF908" s="1643"/>
      <c r="AG908" s="1643"/>
      <c r="AH908" s="1643"/>
      <c r="AI908" s="1643"/>
      <c r="AJ908" s="1643"/>
      <c r="AK908" s="1643"/>
      <c r="AL908" s="1643"/>
      <c r="AM908" s="1643"/>
    </row>
    <row r="909" spans="1:39" ht="15.75" customHeight="1" x14ac:dyDescent="0.3">
      <c r="A909" s="1643"/>
      <c r="B909" s="1643"/>
      <c r="C909" s="1643"/>
      <c r="D909" s="1643"/>
      <c r="E909" s="1643"/>
      <c r="F909" s="1643"/>
      <c r="G909" s="1643"/>
      <c r="H909" s="1643"/>
      <c r="I909" s="1643"/>
      <c r="J909" s="1643"/>
      <c r="K909" s="1643"/>
      <c r="L909" s="1643"/>
      <c r="M909" s="1643"/>
      <c r="N909" s="1643"/>
      <c r="O909" s="1643"/>
      <c r="P909" s="1643"/>
      <c r="Q909" s="1643"/>
      <c r="R909" s="1643"/>
      <c r="S909" s="1643"/>
      <c r="T909" s="1643"/>
      <c r="U909" s="1643"/>
      <c r="V909" s="1643"/>
      <c r="W909" s="1643"/>
      <c r="X909" s="1643"/>
      <c r="Y909" s="1643"/>
      <c r="Z909" s="1643"/>
      <c r="AA909" s="1643"/>
      <c r="AB909" s="1643"/>
      <c r="AC909" s="1643"/>
      <c r="AD909" s="1643"/>
      <c r="AE909" s="1643"/>
      <c r="AF909" s="1643"/>
      <c r="AG909" s="1643"/>
      <c r="AH909" s="1643"/>
      <c r="AI909" s="1643"/>
      <c r="AJ909" s="1643"/>
      <c r="AK909" s="1643"/>
      <c r="AL909" s="1643"/>
      <c r="AM909" s="1643"/>
    </row>
    <row r="910" spans="1:39" ht="15.75" customHeight="1" x14ac:dyDescent="0.3">
      <c r="A910" s="1643"/>
      <c r="B910" s="1643"/>
      <c r="C910" s="1643"/>
      <c r="D910" s="1643"/>
      <c r="E910" s="1643"/>
      <c r="F910" s="1643"/>
      <c r="G910" s="1643"/>
      <c r="H910" s="1643"/>
      <c r="I910" s="1643"/>
      <c r="J910" s="1643"/>
      <c r="K910" s="1643"/>
      <c r="L910" s="1643"/>
      <c r="M910" s="1643"/>
      <c r="N910" s="1643"/>
      <c r="O910" s="1643"/>
      <c r="P910" s="1643"/>
      <c r="Q910" s="1643"/>
      <c r="R910" s="1643"/>
      <c r="S910" s="1643"/>
      <c r="T910" s="1643"/>
      <c r="U910" s="1643"/>
      <c r="V910" s="1643"/>
      <c r="W910" s="1643"/>
      <c r="X910" s="1643"/>
      <c r="Y910" s="1643"/>
      <c r="Z910" s="1643"/>
      <c r="AA910" s="1643"/>
      <c r="AB910" s="1643"/>
      <c r="AC910" s="1643"/>
      <c r="AD910" s="1643"/>
      <c r="AE910" s="1643"/>
      <c r="AF910" s="1643"/>
      <c r="AG910" s="1643"/>
      <c r="AH910" s="1643"/>
      <c r="AI910" s="1643"/>
      <c r="AJ910" s="1643"/>
      <c r="AK910" s="1643"/>
      <c r="AL910" s="1643"/>
      <c r="AM910" s="1643"/>
    </row>
    <row r="911" spans="1:39" ht="15.75" customHeight="1" x14ac:dyDescent="0.3">
      <c r="A911" s="1643"/>
      <c r="B911" s="1643"/>
      <c r="C911" s="1643"/>
      <c r="D911" s="1643"/>
      <c r="E911" s="1643"/>
      <c r="F911" s="1643"/>
      <c r="G911" s="1643"/>
      <c r="H911" s="1643"/>
      <c r="I911" s="1643"/>
      <c r="J911" s="1643"/>
      <c r="K911" s="1643"/>
      <c r="L911" s="1643"/>
      <c r="M911" s="1643"/>
      <c r="N911" s="1643"/>
      <c r="O911" s="1643"/>
      <c r="P911" s="1643"/>
      <c r="Q911" s="1643"/>
      <c r="R911" s="1643"/>
      <c r="S911" s="1643"/>
      <c r="T911" s="1643"/>
      <c r="U911" s="1643"/>
      <c r="V911" s="1643"/>
      <c r="W911" s="1643"/>
      <c r="X911" s="1643"/>
      <c r="Y911" s="1643"/>
      <c r="Z911" s="1643"/>
      <c r="AA911" s="1643"/>
      <c r="AB911" s="1643"/>
      <c r="AC911" s="1643"/>
      <c r="AD911" s="1643"/>
      <c r="AE911" s="1643"/>
      <c r="AF911" s="1643"/>
      <c r="AG911" s="1643"/>
      <c r="AH911" s="1643"/>
      <c r="AI911" s="1643"/>
      <c r="AJ911" s="1643"/>
      <c r="AK911" s="1643"/>
      <c r="AL911" s="1643"/>
      <c r="AM911" s="1643"/>
    </row>
    <row r="912" spans="1:39" ht="15.75" customHeight="1" x14ac:dyDescent="0.3">
      <c r="A912" s="1643"/>
      <c r="B912" s="1643"/>
      <c r="C912" s="1643"/>
      <c r="D912" s="1643"/>
      <c r="E912" s="1643"/>
      <c r="F912" s="1643"/>
      <c r="G912" s="1643"/>
      <c r="H912" s="1643"/>
      <c r="I912" s="1643"/>
      <c r="J912" s="1643"/>
      <c r="K912" s="1643"/>
      <c r="L912" s="1643"/>
      <c r="M912" s="1643"/>
      <c r="N912" s="1643"/>
      <c r="O912" s="1643"/>
      <c r="P912" s="1643"/>
      <c r="Q912" s="1643"/>
      <c r="R912" s="1643"/>
      <c r="S912" s="1643"/>
      <c r="T912" s="1643"/>
      <c r="U912" s="1643"/>
      <c r="V912" s="1643"/>
      <c r="W912" s="1643"/>
      <c r="X912" s="1643"/>
      <c r="Y912" s="1643"/>
      <c r="Z912" s="1643"/>
      <c r="AA912" s="1643"/>
      <c r="AB912" s="1643"/>
      <c r="AC912" s="1643"/>
      <c r="AD912" s="1643"/>
      <c r="AE912" s="1643"/>
      <c r="AF912" s="1643"/>
      <c r="AG912" s="1643"/>
      <c r="AH912" s="1643"/>
      <c r="AI912" s="1643"/>
      <c r="AJ912" s="1643"/>
      <c r="AK912" s="1643"/>
      <c r="AL912" s="1643"/>
      <c r="AM912" s="1643"/>
    </row>
    <row r="913" spans="1:39" ht="15.75" customHeight="1" x14ac:dyDescent="0.3">
      <c r="A913" s="1643"/>
      <c r="B913" s="1643"/>
      <c r="C913" s="1643"/>
      <c r="D913" s="1643"/>
      <c r="E913" s="1643"/>
      <c r="F913" s="1643"/>
      <c r="G913" s="1643"/>
      <c r="H913" s="1643"/>
      <c r="I913" s="1643"/>
      <c r="J913" s="1643"/>
      <c r="K913" s="1643"/>
      <c r="L913" s="1643"/>
      <c r="M913" s="1643"/>
      <c r="N913" s="1643"/>
      <c r="O913" s="1643"/>
      <c r="P913" s="1643"/>
      <c r="Q913" s="1643"/>
      <c r="R913" s="1643"/>
      <c r="S913" s="1643"/>
      <c r="T913" s="1643"/>
      <c r="U913" s="1643"/>
      <c r="V913" s="1643"/>
      <c r="W913" s="1643"/>
      <c r="X913" s="1643"/>
      <c r="Y913" s="1643"/>
      <c r="Z913" s="1643"/>
      <c r="AA913" s="1643"/>
      <c r="AB913" s="1643"/>
      <c r="AC913" s="1643"/>
      <c r="AD913" s="1643"/>
      <c r="AE913" s="1643"/>
      <c r="AF913" s="1643"/>
      <c r="AG913" s="1643"/>
      <c r="AH913" s="1643"/>
      <c r="AI913" s="1643"/>
      <c r="AJ913" s="1643"/>
      <c r="AK913" s="1643"/>
      <c r="AL913" s="1643"/>
      <c r="AM913" s="1643"/>
    </row>
    <row r="914" spans="1:39" ht="15.75" customHeight="1" x14ac:dyDescent="0.3">
      <c r="A914" s="1643"/>
      <c r="B914" s="1643"/>
      <c r="C914" s="1643"/>
      <c r="D914" s="1643"/>
      <c r="E914" s="1643"/>
      <c r="F914" s="1643"/>
      <c r="G914" s="1643"/>
      <c r="H914" s="1643"/>
      <c r="I914" s="1643"/>
      <c r="J914" s="1643"/>
      <c r="K914" s="1643"/>
      <c r="L914" s="1643"/>
      <c r="M914" s="1643"/>
      <c r="N914" s="1643"/>
      <c r="O914" s="1643"/>
      <c r="P914" s="1643"/>
      <c r="Q914" s="1643"/>
      <c r="R914" s="1643"/>
      <c r="S914" s="1643"/>
      <c r="T914" s="1643"/>
      <c r="U914" s="1643"/>
      <c r="V914" s="1643"/>
      <c r="W914" s="1643"/>
      <c r="X914" s="1643"/>
      <c r="Y914" s="1643"/>
      <c r="Z914" s="1643"/>
      <c r="AA914" s="1643"/>
      <c r="AB914" s="1643"/>
      <c r="AC914" s="1643"/>
      <c r="AD914" s="1643"/>
      <c r="AE914" s="1643"/>
      <c r="AF914" s="1643"/>
      <c r="AG914" s="1643"/>
      <c r="AH914" s="1643"/>
      <c r="AI914" s="1643"/>
      <c r="AJ914" s="1643"/>
      <c r="AK914" s="1643"/>
      <c r="AL914" s="1643"/>
      <c r="AM914" s="1643"/>
    </row>
    <row r="915" spans="1:39" ht="15.75" customHeight="1" x14ac:dyDescent="0.3">
      <c r="A915" s="1643"/>
      <c r="B915" s="1643"/>
      <c r="C915" s="1643"/>
      <c r="D915" s="1643"/>
      <c r="E915" s="1643"/>
      <c r="F915" s="1643"/>
      <c r="G915" s="1643"/>
      <c r="H915" s="1643"/>
      <c r="I915" s="1643"/>
      <c r="J915" s="1643"/>
      <c r="K915" s="1643"/>
      <c r="L915" s="1643"/>
      <c r="M915" s="1643"/>
      <c r="N915" s="1643"/>
      <c r="O915" s="1643"/>
      <c r="P915" s="1643"/>
      <c r="Q915" s="1643"/>
      <c r="R915" s="1643"/>
      <c r="S915" s="1643"/>
      <c r="T915" s="1643"/>
      <c r="U915" s="1643"/>
      <c r="V915" s="1643"/>
      <c r="W915" s="1643"/>
      <c r="X915" s="1643"/>
      <c r="Y915" s="1643"/>
      <c r="Z915" s="1643"/>
      <c r="AA915" s="1643"/>
      <c r="AB915" s="1643"/>
      <c r="AC915" s="1643"/>
      <c r="AD915" s="1643"/>
      <c r="AE915" s="1643"/>
      <c r="AF915" s="1643"/>
      <c r="AG915" s="1643"/>
      <c r="AH915" s="1643"/>
      <c r="AI915" s="1643"/>
      <c r="AJ915" s="1643"/>
      <c r="AK915" s="1643"/>
      <c r="AL915" s="1643"/>
      <c r="AM915" s="1643"/>
    </row>
    <row r="916" spans="1:39" ht="15.75" customHeight="1" x14ac:dyDescent="0.3">
      <c r="A916" s="1643"/>
      <c r="B916" s="1643"/>
      <c r="C916" s="1643"/>
      <c r="D916" s="1643"/>
      <c r="E916" s="1643"/>
      <c r="F916" s="1643"/>
      <c r="G916" s="1643"/>
      <c r="H916" s="1643"/>
      <c r="I916" s="1643"/>
      <c r="J916" s="1643"/>
      <c r="K916" s="1643"/>
      <c r="L916" s="1643"/>
      <c r="M916" s="1643"/>
      <c r="N916" s="1643"/>
      <c r="O916" s="1643"/>
      <c r="P916" s="1643"/>
      <c r="Q916" s="1643"/>
      <c r="R916" s="1643"/>
      <c r="S916" s="1643"/>
      <c r="T916" s="1643"/>
      <c r="U916" s="1643"/>
      <c r="V916" s="1643"/>
      <c r="W916" s="1643"/>
      <c r="X916" s="1643"/>
      <c r="Y916" s="1643"/>
      <c r="Z916" s="1643"/>
      <c r="AA916" s="1643"/>
      <c r="AB916" s="1643"/>
      <c r="AC916" s="1643"/>
      <c r="AD916" s="1643"/>
      <c r="AE916" s="1643"/>
      <c r="AF916" s="1643"/>
      <c r="AG916" s="1643"/>
      <c r="AH916" s="1643"/>
      <c r="AI916" s="1643"/>
      <c r="AJ916" s="1643"/>
      <c r="AK916" s="1643"/>
      <c r="AL916" s="1643"/>
      <c r="AM916" s="1643"/>
    </row>
    <row r="917" spans="1:39" ht="15.75" customHeight="1" x14ac:dyDescent="0.3">
      <c r="A917" s="1643"/>
      <c r="B917" s="1643"/>
      <c r="C917" s="1643"/>
      <c r="D917" s="1643"/>
      <c r="E917" s="1643"/>
      <c r="F917" s="1643"/>
      <c r="G917" s="1643"/>
      <c r="H917" s="1643"/>
      <c r="I917" s="1643"/>
      <c r="J917" s="1643"/>
      <c r="K917" s="1643"/>
      <c r="L917" s="1643"/>
      <c r="M917" s="1643"/>
      <c r="N917" s="1643"/>
      <c r="O917" s="1643"/>
      <c r="P917" s="1643"/>
      <c r="Q917" s="1643"/>
      <c r="R917" s="1643"/>
      <c r="S917" s="1643"/>
      <c r="T917" s="1643"/>
      <c r="U917" s="1643"/>
      <c r="V917" s="1643"/>
      <c r="W917" s="1643"/>
      <c r="X917" s="1643"/>
      <c r="Y917" s="1643"/>
      <c r="Z917" s="1643"/>
      <c r="AA917" s="1643"/>
      <c r="AB917" s="1643"/>
      <c r="AC917" s="1643"/>
      <c r="AD917" s="1643"/>
      <c r="AE917" s="1643"/>
      <c r="AF917" s="1643"/>
      <c r="AG917" s="1643"/>
      <c r="AH917" s="1643"/>
      <c r="AI917" s="1643"/>
      <c r="AJ917" s="1643"/>
      <c r="AK917" s="1643"/>
      <c r="AL917" s="1643"/>
      <c r="AM917" s="1643"/>
    </row>
    <row r="918" spans="1:39" ht="15.75" customHeight="1" x14ac:dyDescent="0.3">
      <c r="A918" s="1643"/>
      <c r="B918" s="1643"/>
      <c r="C918" s="1643"/>
      <c r="D918" s="1643"/>
      <c r="E918" s="1643"/>
      <c r="F918" s="1643"/>
      <c r="G918" s="1643"/>
      <c r="H918" s="1643"/>
      <c r="I918" s="1643"/>
      <c r="J918" s="1643"/>
      <c r="K918" s="1643"/>
      <c r="L918" s="1643"/>
      <c r="M918" s="1643"/>
      <c r="N918" s="1643"/>
      <c r="O918" s="1643"/>
      <c r="P918" s="1643"/>
      <c r="Q918" s="1643"/>
      <c r="R918" s="1643"/>
      <c r="S918" s="1643"/>
      <c r="T918" s="1643"/>
      <c r="U918" s="1643"/>
      <c r="V918" s="1643"/>
      <c r="W918" s="1643"/>
      <c r="X918" s="1643"/>
      <c r="Y918" s="1643"/>
      <c r="Z918" s="1643"/>
      <c r="AA918" s="1643"/>
      <c r="AB918" s="1643"/>
      <c r="AC918" s="1643"/>
      <c r="AD918" s="1643"/>
      <c r="AE918" s="1643"/>
      <c r="AF918" s="1643"/>
      <c r="AG918" s="1643"/>
      <c r="AH918" s="1643"/>
      <c r="AI918" s="1643"/>
      <c r="AJ918" s="1643"/>
      <c r="AK918" s="1643"/>
      <c r="AL918" s="1643"/>
      <c r="AM918" s="1643"/>
    </row>
    <row r="919" spans="1:39" ht="15.75" customHeight="1" x14ac:dyDescent="0.3">
      <c r="A919" s="1643"/>
      <c r="B919" s="1643"/>
      <c r="C919" s="1643"/>
      <c r="D919" s="1643"/>
      <c r="E919" s="1643"/>
      <c r="F919" s="1643"/>
      <c r="G919" s="1643"/>
      <c r="H919" s="1643"/>
      <c r="I919" s="1643"/>
      <c r="J919" s="1643"/>
      <c r="K919" s="1643"/>
      <c r="L919" s="1643"/>
      <c r="M919" s="1643"/>
      <c r="N919" s="1643"/>
      <c r="O919" s="1643"/>
      <c r="P919" s="1643"/>
      <c r="Q919" s="1643"/>
      <c r="R919" s="1643"/>
      <c r="S919" s="1643"/>
      <c r="T919" s="1643"/>
      <c r="U919" s="1643"/>
      <c r="V919" s="1643"/>
      <c r="W919" s="1643"/>
      <c r="X919" s="1643"/>
      <c r="Y919" s="1643"/>
      <c r="Z919" s="1643"/>
      <c r="AA919" s="1643"/>
      <c r="AB919" s="1643"/>
      <c r="AC919" s="1643"/>
      <c r="AD919" s="1643"/>
      <c r="AE919" s="1643"/>
      <c r="AF919" s="1643"/>
      <c r="AG919" s="1643"/>
      <c r="AH919" s="1643"/>
      <c r="AI919" s="1643"/>
      <c r="AJ919" s="1643"/>
      <c r="AK919" s="1643"/>
      <c r="AL919" s="1643"/>
      <c r="AM919" s="1643"/>
    </row>
    <row r="920" spans="1:39" ht="15.75" customHeight="1" x14ac:dyDescent="0.3">
      <c r="A920" s="1643"/>
      <c r="B920" s="1643"/>
      <c r="C920" s="1643"/>
      <c r="D920" s="1643"/>
      <c r="E920" s="1643"/>
      <c r="F920" s="1643"/>
      <c r="G920" s="1643"/>
      <c r="H920" s="1643"/>
      <c r="I920" s="1643"/>
      <c r="J920" s="1643"/>
      <c r="K920" s="1643"/>
      <c r="L920" s="1643"/>
      <c r="M920" s="1643"/>
      <c r="N920" s="1643"/>
      <c r="O920" s="1643"/>
      <c r="P920" s="1643"/>
      <c r="Q920" s="1643"/>
      <c r="R920" s="1643"/>
      <c r="S920" s="1643"/>
      <c r="T920" s="1643"/>
      <c r="U920" s="1643"/>
      <c r="V920" s="1643"/>
      <c r="W920" s="1643"/>
      <c r="X920" s="1643"/>
      <c r="Y920" s="1643"/>
      <c r="Z920" s="1643"/>
      <c r="AA920" s="1643"/>
      <c r="AB920" s="1643"/>
      <c r="AC920" s="1643"/>
      <c r="AD920" s="1643"/>
      <c r="AE920" s="1643"/>
      <c r="AF920" s="1643"/>
      <c r="AG920" s="1643"/>
      <c r="AH920" s="1643"/>
      <c r="AI920" s="1643"/>
      <c r="AJ920" s="1643"/>
      <c r="AK920" s="1643"/>
      <c r="AL920" s="1643"/>
      <c r="AM920" s="1643"/>
    </row>
    <row r="921" spans="1:39" ht="15.75" customHeight="1" x14ac:dyDescent="0.3">
      <c r="A921" s="1643"/>
      <c r="B921" s="1643"/>
      <c r="C921" s="1643"/>
      <c r="D921" s="1643"/>
      <c r="E921" s="1643"/>
      <c r="F921" s="1643"/>
      <c r="G921" s="1643"/>
      <c r="H921" s="1643"/>
      <c r="I921" s="1643"/>
      <c r="J921" s="1643"/>
      <c r="K921" s="1643"/>
      <c r="L921" s="1643"/>
      <c r="M921" s="1643"/>
      <c r="N921" s="1643"/>
      <c r="O921" s="1643"/>
      <c r="P921" s="1643"/>
      <c r="Q921" s="1643"/>
      <c r="R921" s="1643"/>
      <c r="S921" s="1643"/>
      <c r="T921" s="1643"/>
      <c r="U921" s="1643"/>
      <c r="V921" s="1643"/>
      <c r="W921" s="1643"/>
      <c r="X921" s="1643"/>
      <c r="Y921" s="1643"/>
      <c r="Z921" s="1643"/>
      <c r="AA921" s="1643"/>
      <c r="AB921" s="1643"/>
      <c r="AC921" s="1643"/>
      <c r="AD921" s="1643"/>
      <c r="AE921" s="1643"/>
      <c r="AF921" s="1643"/>
      <c r="AG921" s="1643"/>
      <c r="AH921" s="1643"/>
      <c r="AI921" s="1643"/>
      <c r="AJ921" s="1643"/>
      <c r="AK921" s="1643"/>
      <c r="AL921" s="1643"/>
      <c r="AM921" s="1643"/>
    </row>
    <row r="922" spans="1:39" ht="15.75" customHeight="1" x14ac:dyDescent="0.3">
      <c r="A922" s="1643"/>
      <c r="B922" s="1643"/>
      <c r="C922" s="1643"/>
      <c r="D922" s="1643"/>
      <c r="E922" s="1643"/>
      <c r="F922" s="1643"/>
      <c r="G922" s="1643"/>
      <c r="H922" s="1643"/>
      <c r="I922" s="1643"/>
      <c r="J922" s="1643"/>
      <c r="K922" s="1643"/>
      <c r="L922" s="1643"/>
      <c r="M922" s="1643"/>
      <c r="N922" s="1643"/>
      <c r="O922" s="1643"/>
      <c r="P922" s="1643"/>
      <c r="Q922" s="1643"/>
      <c r="R922" s="1643"/>
      <c r="S922" s="1643"/>
      <c r="T922" s="1643"/>
      <c r="U922" s="1643"/>
      <c r="V922" s="1643"/>
      <c r="W922" s="1643"/>
      <c r="X922" s="1643"/>
      <c r="Y922" s="1643"/>
      <c r="Z922" s="1643"/>
      <c r="AA922" s="1643"/>
      <c r="AB922" s="1643"/>
      <c r="AC922" s="1643"/>
      <c r="AD922" s="1643"/>
      <c r="AE922" s="1643"/>
      <c r="AF922" s="1643"/>
      <c r="AG922" s="1643"/>
      <c r="AH922" s="1643"/>
      <c r="AI922" s="1643"/>
      <c r="AJ922" s="1643"/>
      <c r="AK922" s="1643"/>
      <c r="AL922" s="1643"/>
      <c r="AM922" s="1643"/>
    </row>
    <row r="923" spans="1:39" ht="15.75" customHeight="1" x14ac:dyDescent="0.3">
      <c r="A923" s="1643"/>
      <c r="B923" s="1643"/>
      <c r="C923" s="1643"/>
      <c r="D923" s="1643"/>
      <c r="E923" s="1643"/>
      <c r="F923" s="1643"/>
      <c r="G923" s="1643"/>
      <c r="H923" s="1643"/>
      <c r="I923" s="1643"/>
      <c r="J923" s="1643"/>
      <c r="K923" s="1643"/>
      <c r="L923" s="1643"/>
      <c r="M923" s="1643"/>
      <c r="N923" s="1643"/>
      <c r="O923" s="1643"/>
      <c r="P923" s="1643"/>
      <c r="Q923" s="1643"/>
      <c r="R923" s="1643"/>
      <c r="S923" s="1643"/>
      <c r="T923" s="1643"/>
      <c r="U923" s="1643"/>
      <c r="V923" s="1643"/>
      <c r="W923" s="1643"/>
      <c r="X923" s="1643"/>
      <c r="Y923" s="1643"/>
      <c r="Z923" s="1643"/>
      <c r="AA923" s="1643"/>
      <c r="AB923" s="1643"/>
      <c r="AC923" s="1643"/>
      <c r="AD923" s="1643"/>
      <c r="AE923" s="1643"/>
      <c r="AF923" s="1643"/>
      <c r="AG923" s="1643"/>
      <c r="AH923" s="1643"/>
      <c r="AI923" s="1643"/>
      <c r="AJ923" s="1643"/>
      <c r="AK923" s="1643"/>
      <c r="AL923" s="1643"/>
      <c r="AM923" s="1643"/>
    </row>
    <row r="924" spans="1:39" ht="15.75" customHeight="1" x14ac:dyDescent="0.3">
      <c r="A924" s="1643"/>
      <c r="B924" s="1643"/>
      <c r="C924" s="1643"/>
      <c r="D924" s="1643"/>
      <c r="E924" s="1643"/>
      <c r="F924" s="1643"/>
      <c r="G924" s="1643"/>
      <c r="H924" s="1643"/>
      <c r="I924" s="1643"/>
      <c r="J924" s="1643"/>
      <c r="K924" s="1643"/>
      <c r="L924" s="1643"/>
      <c r="M924" s="1643"/>
      <c r="N924" s="1643"/>
      <c r="O924" s="1643"/>
      <c r="P924" s="1643"/>
      <c r="Q924" s="1643"/>
      <c r="R924" s="1643"/>
      <c r="S924" s="1643"/>
      <c r="T924" s="1643"/>
      <c r="U924" s="1643"/>
      <c r="V924" s="1643"/>
      <c r="W924" s="1643"/>
      <c r="X924" s="1643"/>
      <c r="Y924" s="1643"/>
      <c r="Z924" s="1643"/>
      <c r="AA924" s="1643"/>
      <c r="AB924" s="1643"/>
      <c r="AC924" s="1643"/>
      <c r="AD924" s="1643"/>
      <c r="AE924" s="1643"/>
      <c r="AF924" s="1643"/>
      <c r="AG924" s="1643"/>
      <c r="AH924" s="1643"/>
      <c r="AI924" s="1643"/>
      <c r="AJ924" s="1643"/>
      <c r="AK924" s="1643"/>
      <c r="AL924" s="1643"/>
      <c r="AM924" s="1643"/>
    </row>
    <row r="925" spans="1:39" ht="15.75" customHeight="1" x14ac:dyDescent="0.3">
      <c r="A925" s="1643"/>
      <c r="B925" s="1643"/>
      <c r="C925" s="1643"/>
      <c r="D925" s="1643"/>
      <c r="E925" s="1643"/>
      <c r="F925" s="1643"/>
      <c r="G925" s="1643"/>
      <c r="H925" s="1643"/>
      <c r="I925" s="1643"/>
      <c r="J925" s="1643"/>
      <c r="K925" s="1643"/>
      <c r="L925" s="1643"/>
      <c r="M925" s="1643"/>
      <c r="N925" s="1643"/>
      <c r="O925" s="1643"/>
      <c r="P925" s="1643"/>
      <c r="Q925" s="1643"/>
      <c r="R925" s="1643"/>
      <c r="S925" s="1643"/>
      <c r="T925" s="1643"/>
      <c r="U925" s="1643"/>
      <c r="V925" s="1643"/>
      <c r="W925" s="1643"/>
      <c r="X925" s="1643"/>
      <c r="Y925" s="1643"/>
      <c r="Z925" s="1643"/>
      <c r="AA925" s="1643"/>
      <c r="AB925" s="1643"/>
      <c r="AC925" s="1643"/>
      <c r="AD925" s="1643"/>
      <c r="AE925" s="1643"/>
      <c r="AF925" s="1643"/>
      <c r="AG925" s="1643"/>
      <c r="AH925" s="1643"/>
      <c r="AI925" s="1643"/>
      <c r="AJ925" s="1643"/>
      <c r="AK925" s="1643"/>
      <c r="AL925" s="1643"/>
      <c r="AM925" s="1643"/>
    </row>
    <row r="926" spans="1:39" ht="15.75" customHeight="1" x14ac:dyDescent="0.3">
      <c r="A926" s="1643"/>
      <c r="B926" s="1643"/>
      <c r="C926" s="1643"/>
      <c r="D926" s="1643"/>
      <c r="E926" s="1643"/>
      <c r="F926" s="1643"/>
      <c r="G926" s="1643"/>
      <c r="H926" s="1643"/>
      <c r="I926" s="1643"/>
      <c r="J926" s="1643"/>
      <c r="K926" s="1643"/>
      <c r="L926" s="1643"/>
      <c r="M926" s="1643"/>
      <c r="N926" s="1643"/>
      <c r="O926" s="1643"/>
      <c r="P926" s="1643"/>
      <c r="Q926" s="1643"/>
      <c r="R926" s="1643"/>
      <c r="S926" s="1643"/>
      <c r="T926" s="1643"/>
      <c r="U926" s="1643"/>
      <c r="V926" s="1643"/>
      <c r="W926" s="1643"/>
      <c r="X926" s="1643"/>
      <c r="Y926" s="1643"/>
      <c r="Z926" s="1643"/>
      <c r="AA926" s="1643"/>
      <c r="AB926" s="1643"/>
      <c r="AC926" s="1643"/>
      <c r="AD926" s="1643"/>
      <c r="AE926" s="1643"/>
      <c r="AF926" s="1643"/>
      <c r="AG926" s="1643"/>
      <c r="AH926" s="1643"/>
      <c r="AI926" s="1643"/>
      <c r="AJ926" s="1643"/>
      <c r="AK926" s="1643"/>
      <c r="AL926" s="1643"/>
      <c r="AM926" s="1643"/>
    </row>
    <row r="927" spans="1:39" ht="15.75" customHeight="1" x14ac:dyDescent="0.3">
      <c r="A927" s="1643"/>
      <c r="B927" s="1643"/>
      <c r="C927" s="1643"/>
      <c r="D927" s="1643"/>
      <c r="E927" s="1643"/>
      <c r="F927" s="1643"/>
      <c r="G927" s="1643"/>
      <c r="H927" s="1643"/>
      <c r="I927" s="1643"/>
      <c r="J927" s="1643"/>
      <c r="K927" s="1643"/>
      <c r="L927" s="1643"/>
      <c r="M927" s="1643"/>
      <c r="N927" s="1643"/>
      <c r="O927" s="1643"/>
      <c r="P927" s="1643"/>
      <c r="Q927" s="1643"/>
      <c r="R927" s="1643"/>
      <c r="S927" s="1643"/>
      <c r="T927" s="1643"/>
      <c r="U927" s="1643"/>
      <c r="V927" s="1643"/>
      <c r="W927" s="1643"/>
      <c r="X927" s="1643"/>
      <c r="Y927" s="1643"/>
      <c r="Z927" s="1643"/>
      <c r="AA927" s="1643"/>
      <c r="AB927" s="1643"/>
      <c r="AC927" s="1643"/>
      <c r="AD927" s="1643"/>
      <c r="AE927" s="1643"/>
      <c r="AF927" s="1643"/>
      <c r="AG927" s="1643"/>
      <c r="AH927" s="1643"/>
      <c r="AI927" s="1643"/>
      <c r="AJ927" s="1643"/>
      <c r="AK927" s="1643"/>
      <c r="AL927" s="1643"/>
      <c r="AM927" s="1643"/>
    </row>
    <row r="928" spans="1:39" ht="15.75" customHeight="1" x14ac:dyDescent="0.3">
      <c r="A928" s="1643"/>
      <c r="B928" s="1643"/>
      <c r="C928" s="1643"/>
      <c r="D928" s="1643"/>
      <c r="E928" s="1643"/>
      <c r="F928" s="1643"/>
      <c r="G928" s="1643"/>
      <c r="H928" s="1643"/>
      <c r="I928" s="1643"/>
      <c r="J928" s="1643"/>
      <c r="K928" s="1643"/>
      <c r="L928" s="1643"/>
      <c r="M928" s="1643"/>
      <c r="N928" s="1643"/>
      <c r="O928" s="1643"/>
      <c r="P928" s="1643"/>
      <c r="Q928" s="1643"/>
      <c r="R928" s="1643"/>
      <c r="S928" s="1643"/>
      <c r="T928" s="1643"/>
      <c r="U928" s="1643"/>
      <c r="V928" s="1643"/>
      <c r="W928" s="1643"/>
      <c r="X928" s="1643"/>
      <c r="Y928" s="1643"/>
      <c r="Z928" s="1643"/>
      <c r="AA928" s="1643"/>
      <c r="AB928" s="1643"/>
      <c r="AC928" s="1643"/>
      <c r="AD928" s="1643"/>
      <c r="AE928" s="1643"/>
      <c r="AF928" s="1643"/>
      <c r="AG928" s="1643"/>
      <c r="AH928" s="1643"/>
      <c r="AI928" s="1643"/>
      <c r="AJ928" s="1643"/>
      <c r="AK928" s="1643"/>
      <c r="AL928" s="1643"/>
      <c r="AM928" s="1643"/>
    </row>
    <row r="929" spans="1:39" ht="15.75" customHeight="1" x14ac:dyDescent="0.3">
      <c r="A929" s="1643"/>
      <c r="B929" s="1643"/>
      <c r="C929" s="1643"/>
      <c r="D929" s="1643"/>
      <c r="E929" s="1643"/>
      <c r="F929" s="1643"/>
      <c r="G929" s="1643"/>
      <c r="H929" s="1643"/>
      <c r="I929" s="1643"/>
      <c r="J929" s="1643"/>
      <c r="K929" s="1643"/>
      <c r="L929" s="1643"/>
      <c r="M929" s="1643"/>
      <c r="N929" s="1643"/>
      <c r="O929" s="1643"/>
      <c r="P929" s="1643"/>
      <c r="Q929" s="1643"/>
      <c r="R929" s="1643"/>
      <c r="S929" s="1643"/>
      <c r="T929" s="1643"/>
      <c r="U929" s="1643"/>
      <c r="V929" s="1643"/>
      <c r="W929" s="1643"/>
      <c r="X929" s="1643"/>
      <c r="Y929" s="1643"/>
      <c r="Z929" s="1643"/>
      <c r="AA929" s="1643"/>
      <c r="AB929" s="1643"/>
      <c r="AC929" s="1643"/>
      <c r="AD929" s="1643"/>
      <c r="AE929" s="1643"/>
      <c r="AF929" s="1643"/>
      <c r="AG929" s="1643"/>
      <c r="AH929" s="1643"/>
      <c r="AI929" s="1643"/>
      <c r="AJ929" s="1643"/>
      <c r="AK929" s="1643"/>
      <c r="AL929" s="1643"/>
      <c r="AM929" s="1643"/>
    </row>
    <row r="930" spans="1:39" ht="15.75" customHeight="1" x14ac:dyDescent="0.3">
      <c r="A930" s="1643"/>
      <c r="B930" s="1643"/>
      <c r="C930" s="1643"/>
      <c r="D930" s="1643"/>
      <c r="E930" s="1643"/>
      <c r="F930" s="1643"/>
      <c r="G930" s="1643"/>
      <c r="H930" s="1643"/>
      <c r="I930" s="1643"/>
      <c r="J930" s="1643"/>
      <c r="K930" s="1643"/>
      <c r="L930" s="1643"/>
      <c r="M930" s="1643"/>
      <c r="N930" s="1643"/>
      <c r="O930" s="1643"/>
      <c r="P930" s="1643"/>
      <c r="Q930" s="1643"/>
      <c r="R930" s="1643"/>
      <c r="S930" s="1643"/>
      <c r="T930" s="1643"/>
      <c r="U930" s="1643"/>
      <c r="V930" s="1643"/>
      <c r="W930" s="1643"/>
      <c r="X930" s="1643"/>
      <c r="Y930" s="1643"/>
      <c r="Z930" s="1643"/>
      <c r="AA930" s="1643"/>
      <c r="AB930" s="1643"/>
      <c r="AC930" s="1643"/>
      <c r="AD930" s="1643"/>
      <c r="AE930" s="1643"/>
      <c r="AF930" s="1643"/>
      <c r="AG930" s="1643"/>
      <c r="AH930" s="1643"/>
      <c r="AI930" s="1643"/>
      <c r="AJ930" s="1643"/>
      <c r="AK930" s="1643"/>
      <c r="AL930" s="1643"/>
      <c r="AM930" s="1643"/>
    </row>
    <row r="931" spans="1:39" ht="15.75" customHeight="1" x14ac:dyDescent="0.3">
      <c r="A931" s="1643"/>
      <c r="B931" s="1643"/>
      <c r="C931" s="1643"/>
      <c r="D931" s="1643"/>
      <c r="E931" s="1643"/>
      <c r="F931" s="1643"/>
      <c r="G931" s="1643"/>
      <c r="H931" s="1643"/>
      <c r="I931" s="1643"/>
      <c r="J931" s="1643"/>
      <c r="K931" s="1643"/>
      <c r="L931" s="1643"/>
      <c r="M931" s="1643"/>
      <c r="N931" s="1643"/>
      <c r="O931" s="1643"/>
      <c r="P931" s="1643"/>
      <c r="Q931" s="1643"/>
      <c r="R931" s="1643"/>
      <c r="S931" s="1643"/>
      <c r="T931" s="1643"/>
      <c r="U931" s="1643"/>
      <c r="V931" s="1643"/>
      <c r="W931" s="1643"/>
      <c r="X931" s="1643"/>
      <c r="Y931" s="1643"/>
      <c r="Z931" s="1643"/>
      <c r="AA931" s="1643"/>
      <c r="AB931" s="1643"/>
      <c r="AC931" s="1643"/>
      <c r="AD931" s="1643"/>
      <c r="AE931" s="1643"/>
      <c r="AF931" s="1643"/>
      <c r="AG931" s="1643"/>
      <c r="AH931" s="1643"/>
      <c r="AI931" s="1643"/>
      <c r="AJ931" s="1643"/>
      <c r="AK931" s="1643"/>
      <c r="AL931" s="1643"/>
      <c r="AM931" s="1643"/>
    </row>
    <row r="932" spans="1:39" ht="15.75" customHeight="1" x14ac:dyDescent="0.3">
      <c r="A932" s="1643"/>
      <c r="B932" s="1643"/>
      <c r="C932" s="1643"/>
      <c r="D932" s="1643"/>
      <c r="E932" s="1643"/>
      <c r="F932" s="1643"/>
      <c r="G932" s="1643"/>
      <c r="H932" s="1643"/>
      <c r="I932" s="1643"/>
      <c r="J932" s="1643"/>
      <c r="K932" s="1643"/>
      <c r="L932" s="1643"/>
      <c r="M932" s="1643"/>
      <c r="N932" s="1643"/>
      <c r="O932" s="1643"/>
      <c r="P932" s="1643"/>
      <c r="Q932" s="1643"/>
      <c r="R932" s="1643"/>
      <c r="S932" s="1643"/>
      <c r="T932" s="1643"/>
      <c r="U932" s="1643"/>
      <c r="V932" s="1643"/>
      <c r="W932" s="1643"/>
      <c r="X932" s="1643"/>
      <c r="Y932" s="1643"/>
      <c r="Z932" s="1643"/>
      <c r="AA932" s="1643"/>
      <c r="AB932" s="1643"/>
      <c r="AC932" s="1643"/>
      <c r="AD932" s="1643"/>
      <c r="AE932" s="1643"/>
      <c r="AF932" s="1643"/>
      <c r="AG932" s="1643"/>
      <c r="AH932" s="1643"/>
      <c r="AI932" s="1643"/>
      <c r="AJ932" s="1643"/>
      <c r="AK932" s="1643"/>
      <c r="AL932" s="1643"/>
      <c r="AM932" s="1643"/>
    </row>
    <row r="933" spans="1:39" ht="15.75" customHeight="1" x14ac:dyDescent="0.3">
      <c r="A933" s="1643"/>
      <c r="B933" s="1643"/>
      <c r="C933" s="1643"/>
      <c r="D933" s="1643"/>
      <c r="E933" s="1643"/>
      <c r="F933" s="1643"/>
      <c r="G933" s="1643"/>
      <c r="H933" s="1643"/>
      <c r="I933" s="1643"/>
      <c r="J933" s="1643"/>
      <c r="K933" s="1643"/>
      <c r="L933" s="1643"/>
      <c r="M933" s="1643"/>
      <c r="N933" s="1643"/>
      <c r="O933" s="1643"/>
      <c r="P933" s="1643"/>
      <c r="Q933" s="1643"/>
      <c r="R933" s="1643"/>
      <c r="S933" s="1643"/>
      <c r="T933" s="1643"/>
      <c r="U933" s="1643"/>
      <c r="V933" s="1643"/>
      <c r="W933" s="1643"/>
      <c r="X933" s="1643"/>
      <c r="Y933" s="1643"/>
      <c r="Z933" s="1643"/>
      <c r="AA933" s="1643"/>
      <c r="AB933" s="1643"/>
      <c r="AC933" s="1643"/>
      <c r="AD933" s="1643"/>
      <c r="AE933" s="1643"/>
      <c r="AF933" s="1643"/>
      <c r="AG933" s="1643"/>
      <c r="AH933" s="1643"/>
      <c r="AI933" s="1643"/>
      <c r="AJ933" s="1643"/>
      <c r="AK933" s="1643"/>
      <c r="AL933" s="1643"/>
      <c r="AM933" s="1643"/>
    </row>
    <row r="934" spans="1:39" ht="15.75" customHeight="1" x14ac:dyDescent="0.3">
      <c r="A934" s="1643"/>
      <c r="B934" s="1643"/>
      <c r="C934" s="1643"/>
      <c r="D934" s="1643"/>
      <c r="E934" s="1643"/>
      <c r="F934" s="1643"/>
      <c r="G934" s="1643"/>
      <c r="H934" s="1643"/>
      <c r="I934" s="1643"/>
      <c r="J934" s="1643"/>
      <c r="K934" s="1643"/>
      <c r="L934" s="1643"/>
      <c r="M934" s="1643"/>
      <c r="N934" s="1643"/>
      <c r="O934" s="1643"/>
      <c r="P934" s="1643"/>
      <c r="Q934" s="1643"/>
      <c r="R934" s="1643"/>
      <c r="S934" s="1643"/>
      <c r="T934" s="1643"/>
      <c r="U934" s="1643"/>
      <c r="V934" s="1643"/>
      <c r="W934" s="1643"/>
      <c r="X934" s="1643"/>
      <c r="Y934" s="1643"/>
      <c r="Z934" s="1643"/>
      <c r="AA934" s="1643"/>
      <c r="AB934" s="1643"/>
      <c r="AC934" s="1643"/>
      <c r="AD934" s="1643"/>
      <c r="AE934" s="1643"/>
      <c r="AF934" s="1643"/>
      <c r="AG934" s="1643"/>
      <c r="AH934" s="1643"/>
      <c r="AI934" s="1643"/>
      <c r="AJ934" s="1643"/>
      <c r="AK934" s="1643"/>
      <c r="AL934" s="1643"/>
      <c r="AM934" s="1643"/>
    </row>
    <row r="935" spans="1:39" ht="15.75" customHeight="1" x14ac:dyDescent="0.3">
      <c r="A935" s="1643"/>
      <c r="B935" s="1643"/>
      <c r="C935" s="1643"/>
      <c r="D935" s="1643"/>
      <c r="E935" s="1643"/>
      <c r="F935" s="1643"/>
      <c r="G935" s="1643"/>
      <c r="H935" s="1643"/>
      <c r="I935" s="1643"/>
      <c r="J935" s="1643"/>
      <c r="K935" s="1643"/>
      <c r="L935" s="1643"/>
      <c r="M935" s="1643"/>
      <c r="N935" s="1643"/>
      <c r="O935" s="1643"/>
      <c r="P935" s="1643"/>
      <c r="Q935" s="1643"/>
      <c r="R935" s="1643"/>
      <c r="S935" s="1643"/>
      <c r="T935" s="1643"/>
      <c r="U935" s="1643"/>
      <c r="V935" s="1643"/>
      <c r="W935" s="1643"/>
      <c r="X935" s="1643"/>
      <c r="Y935" s="1643"/>
      <c r="Z935" s="1643"/>
      <c r="AA935" s="1643"/>
      <c r="AB935" s="1643"/>
      <c r="AC935" s="1643"/>
      <c r="AD935" s="1643"/>
      <c r="AE935" s="1643"/>
      <c r="AF935" s="1643"/>
      <c r="AG935" s="1643"/>
      <c r="AH935" s="1643"/>
      <c r="AI935" s="1643"/>
      <c r="AJ935" s="1643"/>
      <c r="AK935" s="1643"/>
      <c r="AL935" s="1643"/>
      <c r="AM935" s="1643"/>
    </row>
    <row r="936" spans="1:39" ht="15.75" customHeight="1" x14ac:dyDescent="0.3">
      <c r="A936" s="1643"/>
      <c r="B936" s="1643"/>
      <c r="C936" s="1643"/>
      <c r="D936" s="1643"/>
      <c r="E936" s="1643"/>
      <c r="F936" s="1643"/>
      <c r="G936" s="1643"/>
      <c r="H936" s="1643"/>
      <c r="I936" s="1643"/>
      <c r="J936" s="1643"/>
      <c r="K936" s="1643"/>
      <c r="L936" s="1643"/>
      <c r="M936" s="1643"/>
      <c r="N936" s="1643"/>
      <c r="O936" s="1643"/>
      <c r="P936" s="1643"/>
      <c r="Q936" s="1643"/>
      <c r="R936" s="1643"/>
      <c r="S936" s="1643"/>
      <c r="T936" s="1643"/>
      <c r="U936" s="1643"/>
      <c r="V936" s="1643"/>
      <c r="W936" s="1643"/>
      <c r="X936" s="1643"/>
      <c r="Y936" s="1643"/>
      <c r="Z936" s="1643"/>
      <c r="AA936" s="1643"/>
      <c r="AB936" s="1643"/>
      <c r="AC936" s="1643"/>
      <c r="AD936" s="1643"/>
      <c r="AE936" s="1643"/>
      <c r="AF936" s="1643"/>
      <c r="AG936" s="1643"/>
      <c r="AH936" s="1643"/>
      <c r="AI936" s="1643"/>
      <c r="AJ936" s="1643"/>
      <c r="AK936" s="1643"/>
      <c r="AL936" s="1643"/>
      <c r="AM936" s="1643"/>
    </row>
    <row r="937" spans="1:39" ht="15.75" customHeight="1" x14ac:dyDescent="0.3">
      <c r="A937" s="1643"/>
      <c r="B937" s="1643"/>
      <c r="C937" s="1643"/>
      <c r="D937" s="1643"/>
      <c r="E937" s="1643"/>
      <c r="F937" s="1643"/>
      <c r="G937" s="1643"/>
      <c r="H937" s="1643"/>
      <c r="I937" s="1643"/>
      <c r="J937" s="1643"/>
      <c r="K937" s="1643"/>
      <c r="L937" s="1643"/>
      <c r="M937" s="1643"/>
      <c r="N937" s="1643"/>
      <c r="O937" s="1643"/>
      <c r="P937" s="1643"/>
      <c r="Q937" s="1643"/>
      <c r="R937" s="1643"/>
      <c r="S937" s="1643"/>
      <c r="T937" s="1643"/>
      <c r="U937" s="1643"/>
      <c r="V937" s="1643"/>
      <c r="W937" s="1643"/>
      <c r="X937" s="1643"/>
      <c r="Y937" s="1643"/>
      <c r="Z937" s="1643"/>
      <c r="AA937" s="1643"/>
      <c r="AB937" s="1643"/>
      <c r="AC937" s="1643"/>
      <c r="AD937" s="1643"/>
      <c r="AE937" s="1643"/>
      <c r="AF937" s="1643"/>
      <c r="AG937" s="1643"/>
      <c r="AH937" s="1643"/>
      <c r="AI937" s="1643"/>
      <c r="AJ937" s="1643"/>
      <c r="AK937" s="1643"/>
      <c r="AL937" s="1643"/>
      <c r="AM937" s="1643"/>
    </row>
    <row r="938" spans="1:39" ht="15.75" customHeight="1" x14ac:dyDescent="0.3">
      <c r="A938" s="1643"/>
      <c r="B938" s="1643"/>
      <c r="C938" s="1643"/>
      <c r="D938" s="1643"/>
      <c r="E938" s="1643"/>
      <c r="F938" s="1643"/>
      <c r="G938" s="1643"/>
      <c r="H938" s="1643"/>
      <c r="I938" s="1643"/>
      <c r="J938" s="1643"/>
      <c r="K938" s="1643"/>
      <c r="L938" s="1643"/>
      <c r="M938" s="1643"/>
      <c r="N938" s="1643"/>
      <c r="O938" s="1643"/>
      <c r="P938" s="1643"/>
      <c r="Q938" s="1643"/>
      <c r="R938" s="1643"/>
      <c r="S938" s="1643"/>
      <c r="T938" s="1643"/>
      <c r="U938" s="1643"/>
      <c r="V938" s="1643"/>
      <c r="W938" s="1643"/>
      <c r="X938" s="1643"/>
      <c r="Y938" s="1643"/>
      <c r="Z938" s="1643"/>
      <c r="AA938" s="1643"/>
      <c r="AB938" s="1643"/>
      <c r="AC938" s="1643"/>
      <c r="AD938" s="1643"/>
      <c r="AE938" s="1643"/>
      <c r="AF938" s="1643"/>
      <c r="AG938" s="1643"/>
      <c r="AH938" s="1643"/>
      <c r="AI938" s="1643"/>
      <c r="AJ938" s="1643"/>
      <c r="AK938" s="1643"/>
      <c r="AL938" s="1643"/>
      <c r="AM938" s="1643"/>
    </row>
    <row r="939" spans="1:39" ht="15.75" customHeight="1" x14ac:dyDescent="0.3">
      <c r="A939" s="1643"/>
      <c r="B939" s="1643"/>
      <c r="C939" s="1643"/>
      <c r="D939" s="1643"/>
      <c r="E939" s="1643"/>
      <c r="F939" s="1643"/>
      <c r="G939" s="1643"/>
      <c r="H939" s="1643"/>
      <c r="I939" s="1643"/>
      <c r="J939" s="1643"/>
      <c r="K939" s="1643"/>
      <c r="L939" s="1643"/>
      <c r="M939" s="1643"/>
      <c r="N939" s="1643"/>
      <c r="O939" s="1643"/>
      <c r="P939" s="1643"/>
      <c r="Q939" s="1643"/>
      <c r="R939" s="1643"/>
      <c r="S939" s="1643"/>
      <c r="T939" s="1643"/>
      <c r="U939" s="1643"/>
      <c r="V939" s="1643"/>
      <c r="W939" s="1643"/>
      <c r="X939" s="1643"/>
      <c r="Y939" s="1643"/>
      <c r="Z939" s="1643"/>
      <c r="AA939" s="1643"/>
      <c r="AB939" s="1643"/>
      <c r="AC939" s="1643"/>
      <c r="AD939" s="1643"/>
      <c r="AE939" s="1643"/>
      <c r="AF939" s="1643"/>
      <c r="AG939" s="1643"/>
      <c r="AH939" s="1643"/>
      <c r="AI939" s="1643"/>
      <c r="AJ939" s="1643"/>
      <c r="AK939" s="1643"/>
      <c r="AL939" s="1643"/>
      <c r="AM939" s="1643"/>
    </row>
    <row r="940" spans="1:39" ht="15.75" customHeight="1" x14ac:dyDescent="0.3">
      <c r="A940" s="1643"/>
      <c r="B940" s="1643"/>
      <c r="C940" s="1643"/>
      <c r="D940" s="1643"/>
      <c r="E940" s="1643"/>
      <c r="F940" s="1643"/>
      <c r="G940" s="1643"/>
      <c r="H940" s="1643"/>
      <c r="I940" s="1643"/>
      <c r="J940" s="1643"/>
      <c r="K940" s="1643"/>
      <c r="L940" s="1643"/>
      <c r="M940" s="1643"/>
      <c r="N940" s="1643"/>
      <c r="O940" s="1643"/>
      <c r="P940" s="1643"/>
      <c r="Q940" s="1643"/>
      <c r="R940" s="1643"/>
      <c r="S940" s="1643"/>
      <c r="T940" s="1643"/>
      <c r="U940" s="1643"/>
      <c r="V940" s="1643"/>
      <c r="W940" s="1643"/>
      <c r="X940" s="1643"/>
      <c r="Y940" s="1643"/>
      <c r="Z940" s="1643"/>
      <c r="AA940" s="1643"/>
      <c r="AB940" s="1643"/>
      <c r="AC940" s="1643"/>
      <c r="AD940" s="1643"/>
      <c r="AE940" s="1643"/>
      <c r="AF940" s="1643"/>
      <c r="AG940" s="1643"/>
      <c r="AH940" s="1643"/>
      <c r="AI940" s="1643"/>
      <c r="AJ940" s="1643"/>
      <c r="AK940" s="1643"/>
      <c r="AL940" s="1643"/>
      <c r="AM940" s="1643"/>
    </row>
    <row r="941" spans="1:39" ht="15.75" customHeight="1" x14ac:dyDescent="0.3">
      <c r="A941" s="1643"/>
      <c r="B941" s="1643"/>
      <c r="C941" s="1643"/>
      <c r="D941" s="1643"/>
      <c r="E941" s="1643"/>
      <c r="F941" s="1643"/>
      <c r="G941" s="1643"/>
      <c r="H941" s="1643"/>
      <c r="I941" s="1643"/>
      <c r="J941" s="1643"/>
      <c r="K941" s="1643"/>
      <c r="L941" s="1643"/>
      <c r="M941" s="1643"/>
      <c r="N941" s="1643"/>
      <c r="O941" s="1643"/>
      <c r="P941" s="1643"/>
      <c r="Q941" s="1643"/>
      <c r="R941" s="1643"/>
      <c r="S941" s="1643"/>
      <c r="T941" s="1643"/>
      <c r="U941" s="1643"/>
      <c r="V941" s="1643"/>
      <c r="W941" s="1643"/>
      <c r="X941" s="1643"/>
      <c r="Y941" s="1643"/>
      <c r="Z941" s="1643"/>
      <c r="AA941" s="1643"/>
      <c r="AB941" s="1643"/>
      <c r="AC941" s="1643"/>
      <c r="AD941" s="1643"/>
      <c r="AE941" s="1643"/>
      <c r="AF941" s="1643"/>
      <c r="AG941" s="1643"/>
      <c r="AH941" s="1643"/>
      <c r="AI941" s="1643"/>
      <c r="AJ941" s="1643"/>
      <c r="AK941" s="1643"/>
      <c r="AL941" s="1643"/>
      <c r="AM941" s="1643"/>
    </row>
    <row r="942" spans="1:39" ht="15.75" customHeight="1" x14ac:dyDescent="0.3">
      <c r="A942" s="1643"/>
      <c r="B942" s="1643"/>
      <c r="C942" s="1643"/>
      <c r="D942" s="1643"/>
      <c r="E942" s="1643"/>
      <c r="F942" s="1643"/>
      <c r="G942" s="1643"/>
      <c r="H942" s="1643"/>
      <c r="I942" s="1643"/>
      <c r="J942" s="1643"/>
      <c r="K942" s="1643"/>
      <c r="L942" s="1643"/>
      <c r="M942" s="1643"/>
      <c r="N942" s="1643"/>
      <c r="O942" s="1643"/>
      <c r="P942" s="1643"/>
      <c r="Q942" s="1643"/>
      <c r="R942" s="1643"/>
      <c r="S942" s="1643"/>
      <c r="T942" s="1643"/>
      <c r="U942" s="1643"/>
      <c r="V942" s="1643"/>
      <c r="W942" s="1643"/>
      <c r="X942" s="1643"/>
      <c r="Y942" s="1643"/>
      <c r="Z942" s="1643"/>
      <c r="AA942" s="1643"/>
      <c r="AB942" s="1643"/>
      <c r="AC942" s="1643"/>
      <c r="AD942" s="1643"/>
      <c r="AE942" s="1643"/>
      <c r="AF942" s="1643"/>
      <c r="AG942" s="1643"/>
      <c r="AH942" s="1643"/>
      <c r="AI942" s="1643"/>
      <c r="AJ942" s="1643"/>
      <c r="AK942" s="1643"/>
      <c r="AL942" s="1643"/>
      <c r="AM942" s="1643"/>
    </row>
    <row r="943" spans="1:39" ht="15.75" customHeight="1" x14ac:dyDescent="0.3">
      <c r="A943" s="1643"/>
      <c r="B943" s="1643"/>
      <c r="C943" s="1643"/>
      <c r="D943" s="1643"/>
      <c r="E943" s="1643"/>
      <c r="F943" s="1643"/>
      <c r="G943" s="1643"/>
      <c r="H943" s="1643"/>
      <c r="I943" s="1643"/>
      <c r="J943" s="1643"/>
      <c r="K943" s="1643"/>
      <c r="L943" s="1643"/>
      <c r="M943" s="1643"/>
      <c r="N943" s="1643"/>
      <c r="O943" s="1643"/>
      <c r="P943" s="1643"/>
      <c r="Q943" s="1643"/>
      <c r="R943" s="1643"/>
      <c r="S943" s="1643"/>
      <c r="T943" s="1643"/>
      <c r="U943" s="1643"/>
      <c r="V943" s="1643"/>
      <c r="W943" s="1643"/>
      <c r="X943" s="1643"/>
      <c r="Y943" s="1643"/>
      <c r="Z943" s="1643"/>
      <c r="AA943" s="1643"/>
      <c r="AB943" s="1643"/>
      <c r="AC943" s="1643"/>
      <c r="AD943" s="1643"/>
      <c r="AE943" s="1643"/>
      <c r="AF943" s="1643"/>
      <c r="AG943" s="1643"/>
      <c r="AH943" s="1643"/>
      <c r="AI943" s="1643"/>
      <c r="AJ943" s="1643"/>
      <c r="AK943" s="1643"/>
      <c r="AL943" s="1643"/>
      <c r="AM943" s="1643"/>
    </row>
    <row r="944" spans="1:39" ht="15.75" customHeight="1" x14ac:dyDescent="0.3">
      <c r="A944" s="1643"/>
      <c r="B944" s="1643"/>
      <c r="C944" s="1643"/>
      <c r="D944" s="1643"/>
      <c r="E944" s="1643"/>
      <c r="F944" s="1643"/>
      <c r="G944" s="1643"/>
      <c r="H944" s="1643"/>
      <c r="I944" s="1643"/>
      <c r="J944" s="1643"/>
      <c r="K944" s="1643"/>
      <c r="L944" s="1643"/>
      <c r="M944" s="1643"/>
      <c r="N944" s="1643"/>
      <c r="O944" s="1643"/>
      <c r="P944" s="1643"/>
      <c r="Q944" s="1643"/>
      <c r="R944" s="1643"/>
      <c r="S944" s="1643"/>
      <c r="T944" s="1643"/>
      <c r="U944" s="1643"/>
      <c r="V944" s="1643"/>
      <c r="W944" s="1643"/>
      <c r="X944" s="1643"/>
      <c r="Y944" s="1643"/>
      <c r="Z944" s="1643"/>
      <c r="AA944" s="1643"/>
      <c r="AB944" s="1643"/>
      <c r="AC944" s="1643"/>
      <c r="AD944" s="1643"/>
      <c r="AE944" s="1643"/>
      <c r="AF944" s="1643"/>
      <c r="AG944" s="1643"/>
      <c r="AH944" s="1643"/>
      <c r="AI944" s="1643"/>
      <c r="AJ944" s="1643"/>
      <c r="AK944" s="1643"/>
      <c r="AL944" s="1643"/>
      <c r="AM944" s="1643"/>
    </row>
    <row r="945" spans="1:39" ht="15.75" customHeight="1" x14ac:dyDescent="0.3">
      <c r="A945" s="1643"/>
      <c r="B945" s="1643"/>
      <c r="C945" s="1643"/>
      <c r="D945" s="1643"/>
      <c r="E945" s="1643"/>
      <c r="F945" s="1643"/>
      <c r="G945" s="1643"/>
      <c r="H945" s="1643"/>
      <c r="I945" s="1643"/>
      <c r="J945" s="1643"/>
      <c r="K945" s="1643"/>
      <c r="L945" s="1643"/>
      <c r="M945" s="1643"/>
      <c r="N945" s="1643"/>
      <c r="O945" s="1643"/>
      <c r="P945" s="1643"/>
      <c r="Q945" s="1643"/>
      <c r="R945" s="1643"/>
      <c r="S945" s="1643"/>
      <c r="T945" s="1643"/>
      <c r="U945" s="1643"/>
      <c r="V945" s="1643"/>
      <c r="W945" s="1643"/>
      <c r="X945" s="1643"/>
      <c r="Y945" s="1643"/>
      <c r="Z945" s="1643"/>
      <c r="AA945" s="1643"/>
      <c r="AB945" s="1643"/>
      <c r="AC945" s="1643"/>
      <c r="AD945" s="1643"/>
      <c r="AE945" s="1643"/>
      <c r="AF945" s="1643"/>
      <c r="AG945" s="1643"/>
      <c r="AH945" s="1643"/>
      <c r="AI945" s="1643"/>
      <c r="AJ945" s="1643"/>
      <c r="AK945" s="1643"/>
      <c r="AL945" s="1643"/>
      <c r="AM945" s="1643"/>
    </row>
    <row r="946" spans="1:39" ht="15.75" customHeight="1" x14ac:dyDescent="0.3">
      <c r="A946" s="1643"/>
      <c r="B946" s="1643"/>
      <c r="C946" s="1643"/>
      <c r="D946" s="1643"/>
      <c r="E946" s="1643"/>
      <c r="F946" s="1643"/>
      <c r="G946" s="1643"/>
      <c r="H946" s="1643"/>
      <c r="I946" s="1643"/>
      <c r="J946" s="1643"/>
      <c r="K946" s="1643"/>
      <c r="L946" s="1643"/>
      <c r="M946" s="1643"/>
      <c r="N946" s="1643"/>
      <c r="O946" s="1643"/>
      <c r="P946" s="1643"/>
      <c r="Q946" s="1643"/>
      <c r="R946" s="1643"/>
      <c r="S946" s="1643"/>
      <c r="T946" s="1643"/>
      <c r="U946" s="1643"/>
      <c r="V946" s="1643"/>
      <c r="W946" s="1643"/>
      <c r="X946" s="1643"/>
      <c r="Y946" s="1643"/>
      <c r="Z946" s="1643"/>
      <c r="AA946" s="1643"/>
      <c r="AB946" s="1643"/>
      <c r="AC946" s="1643"/>
      <c r="AD946" s="1643"/>
      <c r="AE946" s="1643"/>
      <c r="AF946" s="1643"/>
      <c r="AG946" s="1643"/>
      <c r="AH946" s="1643"/>
      <c r="AI946" s="1643"/>
      <c r="AJ946" s="1643"/>
      <c r="AK946" s="1643"/>
      <c r="AL946" s="1643"/>
      <c r="AM946" s="1643"/>
    </row>
    <row r="947" spans="1:39" ht="15.75" customHeight="1" x14ac:dyDescent="0.3">
      <c r="A947" s="1643"/>
      <c r="B947" s="1643"/>
      <c r="C947" s="1643"/>
      <c r="D947" s="1643"/>
      <c r="E947" s="1643"/>
      <c r="F947" s="1643"/>
      <c r="G947" s="1643"/>
      <c r="H947" s="1643"/>
      <c r="I947" s="1643"/>
      <c r="J947" s="1643"/>
      <c r="K947" s="1643"/>
      <c r="L947" s="1643"/>
      <c r="M947" s="1643"/>
      <c r="N947" s="1643"/>
      <c r="O947" s="1643"/>
      <c r="P947" s="1643"/>
      <c r="Q947" s="1643"/>
      <c r="R947" s="1643"/>
      <c r="S947" s="1643"/>
      <c r="T947" s="1643"/>
      <c r="U947" s="1643"/>
      <c r="V947" s="1643"/>
      <c r="W947" s="1643"/>
      <c r="X947" s="1643"/>
      <c r="Y947" s="1643"/>
      <c r="Z947" s="1643"/>
      <c r="AA947" s="1643"/>
      <c r="AB947" s="1643"/>
      <c r="AC947" s="1643"/>
      <c r="AD947" s="1643"/>
      <c r="AE947" s="1643"/>
      <c r="AF947" s="1643"/>
      <c r="AG947" s="1643"/>
      <c r="AH947" s="1643"/>
      <c r="AI947" s="1643"/>
      <c r="AJ947" s="1643"/>
      <c r="AK947" s="1643"/>
      <c r="AL947" s="1643"/>
      <c r="AM947" s="1643"/>
    </row>
    <row r="948" spans="1:39" ht="15.75" customHeight="1" x14ac:dyDescent="0.3">
      <c r="A948" s="1643"/>
      <c r="B948" s="1643"/>
      <c r="C948" s="1643"/>
      <c r="D948" s="1643"/>
      <c r="E948" s="1643"/>
      <c r="F948" s="1643"/>
      <c r="G948" s="1643"/>
      <c r="H948" s="1643"/>
      <c r="I948" s="1643"/>
      <c r="J948" s="1643"/>
      <c r="K948" s="1643"/>
      <c r="L948" s="1643"/>
      <c r="M948" s="1643"/>
      <c r="N948" s="1643"/>
      <c r="O948" s="1643"/>
      <c r="P948" s="1643"/>
      <c r="Q948" s="1643"/>
      <c r="R948" s="1643"/>
      <c r="S948" s="1643"/>
      <c r="T948" s="1643"/>
      <c r="U948" s="1643"/>
      <c r="V948" s="1643"/>
      <c r="W948" s="1643"/>
      <c r="X948" s="1643"/>
      <c r="Y948" s="1643"/>
      <c r="Z948" s="1643"/>
      <c r="AA948" s="1643"/>
      <c r="AB948" s="1643"/>
      <c r="AC948" s="1643"/>
      <c r="AD948" s="1643"/>
      <c r="AE948" s="1643"/>
      <c r="AF948" s="1643"/>
      <c r="AG948" s="1643"/>
      <c r="AH948" s="1643"/>
      <c r="AI948" s="1643"/>
      <c r="AJ948" s="1643"/>
      <c r="AK948" s="1643"/>
      <c r="AL948" s="1643"/>
      <c r="AM948" s="1643"/>
    </row>
    <row r="949" spans="1:39" ht="15.75" customHeight="1" x14ac:dyDescent="0.3">
      <c r="A949" s="1643"/>
      <c r="B949" s="1643"/>
      <c r="C949" s="1643"/>
      <c r="D949" s="1643"/>
      <c r="E949" s="1643"/>
      <c r="F949" s="1643"/>
      <c r="G949" s="1643"/>
      <c r="H949" s="1643"/>
      <c r="I949" s="1643"/>
      <c r="J949" s="1643"/>
      <c r="K949" s="1643"/>
      <c r="L949" s="1643"/>
      <c r="M949" s="1643"/>
      <c r="N949" s="1643"/>
      <c r="O949" s="1643"/>
      <c r="P949" s="1643"/>
      <c r="Q949" s="1643"/>
      <c r="R949" s="1643"/>
      <c r="S949" s="1643"/>
      <c r="T949" s="1643"/>
      <c r="U949" s="1643"/>
      <c r="V949" s="1643"/>
      <c r="W949" s="1643"/>
      <c r="X949" s="1643"/>
      <c r="Y949" s="1643"/>
      <c r="Z949" s="1643"/>
      <c r="AA949" s="1643"/>
      <c r="AB949" s="1643"/>
      <c r="AC949" s="1643"/>
      <c r="AD949" s="1643"/>
      <c r="AE949" s="1643"/>
      <c r="AF949" s="1643"/>
      <c r="AG949" s="1643"/>
      <c r="AH949" s="1643"/>
      <c r="AI949" s="1643"/>
      <c r="AJ949" s="1643"/>
      <c r="AK949" s="1643"/>
      <c r="AL949" s="1643"/>
      <c r="AM949" s="1643"/>
    </row>
    <row r="950" spans="1:39" ht="15.75" customHeight="1" x14ac:dyDescent="0.3">
      <c r="A950" s="1643"/>
      <c r="B950" s="1643"/>
      <c r="C950" s="1643"/>
      <c r="D950" s="1643"/>
      <c r="E950" s="1643"/>
      <c r="F950" s="1643"/>
      <c r="G950" s="1643"/>
      <c r="H950" s="1643"/>
      <c r="I950" s="1643"/>
      <c r="J950" s="1643"/>
      <c r="K950" s="1643"/>
      <c r="L950" s="1643"/>
      <c r="M950" s="1643"/>
      <c r="N950" s="1643"/>
      <c r="O950" s="1643"/>
      <c r="P950" s="1643"/>
      <c r="Q950" s="1643"/>
      <c r="R950" s="1643"/>
      <c r="S950" s="1643"/>
      <c r="T950" s="1643"/>
      <c r="U950" s="1643"/>
      <c r="V950" s="1643"/>
      <c r="W950" s="1643"/>
      <c r="X950" s="1643"/>
      <c r="Y950" s="1643"/>
      <c r="Z950" s="1643"/>
      <c r="AA950" s="1643"/>
      <c r="AB950" s="1643"/>
      <c r="AC950" s="1643"/>
      <c r="AD950" s="1643"/>
      <c r="AE950" s="1643"/>
      <c r="AF950" s="1643"/>
      <c r="AG950" s="1643"/>
      <c r="AH950" s="1643"/>
      <c r="AI950" s="1643"/>
      <c r="AJ950" s="1643"/>
      <c r="AK950" s="1643"/>
      <c r="AL950" s="1643"/>
      <c r="AM950" s="1643"/>
    </row>
    <row r="951" spans="1:39" ht="15.75" customHeight="1" x14ac:dyDescent="0.3">
      <c r="A951" s="1643"/>
      <c r="B951" s="1643"/>
      <c r="C951" s="1643"/>
      <c r="D951" s="1643"/>
      <c r="E951" s="1643"/>
      <c r="F951" s="1643"/>
      <c r="G951" s="1643"/>
      <c r="H951" s="1643"/>
      <c r="I951" s="1643"/>
      <c r="J951" s="1643"/>
      <c r="K951" s="1643"/>
      <c r="L951" s="1643"/>
      <c r="M951" s="1643"/>
      <c r="N951" s="1643"/>
      <c r="O951" s="1643"/>
      <c r="P951" s="1643"/>
      <c r="Q951" s="1643"/>
      <c r="R951" s="1643"/>
      <c r="S951" s="1643"/>
      <c r="T951" s="1643"/>
      <c r="U951" s="1643"/>
      <c r="V951" s="1643"/>
      <c r="W951" s="1643"/>
      <c r="X951" s="1643"/>
      <c r="Y951" s="1643"/>
      <c r="Z951" s="1643"/>
      <c r="AA951" s="1643"/>
      <c r="AB951" s="1643"/>
      <c r="AC951" s="1643"/>
      <c r="AD951" s="1643"/>
      <c r="AE951" s="1643"/>
      <c r="AF951" s="1643"/>
      <c r="AG951" s="1643"/>
      <c r="AH951" s="1643"/>
      <c r="AI951" s="1643"/>
      <c r="AJ951" s="1643"/>
      <c r="AK951" s="1643"/>
      <c r="AL951" s="1643"/>
      <c r="AM951" s="1643"/>
    </row>
    <row r="952" spans="1:39" ht="15.75" customHeight="1" x14ac:dyDescent="0.3">
      <c r="A952" s="1643"/>
      <c r="B952" s="1643"/>
      <c r="C952" s="1643"/>
      <c r="D952" s="1643"/>
      <c r="E952" s="1643"/>
      <c r="F952" s="1643"/>
      <c r="G952" s="1643"/>
      <c r="H952" s="1643"/>
      <c r="I952" s="1643"/>
      <c r="J952" s="1643"/>
      <c r="K952" s="1643"/>
      <c r="L952" s="1643"/>
      <c r="M952" s="1643"/>
      <c r="N952" s="1643"/>
      <c r="O952" s="1643"/>
      <c r="P952" s="1643"/>
      <c r="Q952" s="1643"/>
      <c r="R952" s="1643"/>
      <c r="S952" s="1643"/>
      <c r="T952" s="1643"/>
      <c r="U952" s="1643"/>
      <c r="V952" s="1643"/>
      <c r="W952" s="1643"/>
      <c r="X952" s="1643"/>
      <c r="Y952" s="1643"/>
      <c r="Z952" s="1643"/>
      <c r="AA952" s="1643"/>
      <c r="AB952" s="1643"/>
      <c r="AC952" s="1643"/>
      <c r="AD952" s="1643"/>
      <c r="AE952" s="1643"/>
      <c r="AF952" s="1643"/>
      <c r="AG952" s="1643"/>
      <c r="AH952" s="1643"/>
      <c r="AI952" s="1643"/>
      <c r="AJ952" s="1643"/>
      <c r="AK952" s="1643"/>
      <c r="AL952" s="1643"/>
      <c r="AM952" s="1643"/>
    </row>
    <row r="953" spans="1:39" ht="15.75" customHeight="1" x14ac:dyDescent="0.3">
      <c r="A953" s="1643"/>
      <c r="B953" s="1643"/>
      <c r="C953" s="1643"/>
      <c r="D953" s="1643"/>
      <c r="E953" s="1643"/>
      <c r="F953" s="1643"/>
      <c r="G953" s="1643"/>
      <c r="H953" s="1643"/>
      <c r="I953" s="1643"/>
      <c r="J953" s="1643"/>
      <c r="K953" s="1643"/>
      <c r="L953" s="1643"/>
      <c r="M953" s="1643"/>
      <c r="N953" s="1643"/>
      <c r="O953" s="1643"/>
      <c r="P953" s="1643"/>
      <c r="Q953" s="1643"/>
      <c r="R953" s="1643"/>
      <c r="S953" s="1643"/>
      <c r="T953" s="1643"/>
      <c r="U953" s="1643"/>
      <c r="V953" s="1643"/>
      <c r="W953" s="1643"/>
      <c r="X953" s="1643"/>
      <c r="Y953" s="1643"/>
      <c r="Z953" s="1643"/>
      <c r="AA953" s="1643"/>
      <c r="AB953" s="1643"/>
      <c r="AC953" s="1643"/>
      <c r="AD953" s="1643"/>
      <c r="AE953" s="1643"/>
      <c r="AF953" s="1643"/>
      <c r="AG953" s="1643"/>
      <c r="AH953" s="1643"/>
      <c r="AI953" s="1643"/>
      <c r="AJ953" s="1643"/>
      <c r="AK953" s="1643"/>
      <c r="AL953" s="1643"/>
      <c r="AM953" s="1643"/>
    </row>
    <row r="954" spans="1:39" ht="15.75" customHeight="1" x14ac:dyDescent="0.3">
      <c r="A954" s="1643"/>
      <c r="B954" s="1643"/>
      <c r="C954" s="1643"/>
      <c r="D954" s="1643"/>
      <c r="E954" s="1643"/>
      <c r="F954" s="1643"/>
      <c r="G954" s="1643"/>
      <c r="H954" s="1643"/>
      <c r="I954" s="1643"/>
      <c r="J954" s="1643"/>
      <c r="K954" s="1643"/>
      <c r="L954" s="1643"/>
      <c r="M954" s="1643"/>
      <c r="N954" s="1643"/>
      <c r="O954" s="1643"/>
      <c r="P954" s="1643"/>
      <c r="Q954" s="1643"/>
      <c r="R954" s="1643"/>
      <c r="S954" s="1643"/>
      <c r="T954" s="1643"/>
      <c r="U954" s="1643"/>
      <c r="V954" s="1643"/>
      <c r="W954" s="1643"/>
      <c r="X954" s="1643"/>
      <c r="Y954" s="1643"/>
      <c r="Z954" s="1643"/>
      <c r="AA954" s="1643"/>
      <c r="AB954" s="1643"/>
      <c r="AC954" s="1643"/>
      <c r="AD954" s="1643"/>
      <c r="AE954" s="1643"/>
      <c r="AF954" s="1643"/>
      <c r="AG954" s="1643"/>
      <c r="AH954" s="1643"/>
      <c r="AI954" s="1643"/>
      <c r="AJ954" s="1643"/>
      <c r="AK954" s="1643"/>
      <c r="AL954" s="1643"/>
      <c r="AM954" s="1643"/>
    </row>
    <row r="955" spans="1:39" ht="15.75" customHeight="1" x14ac:dyDescent="0.3">
      <c r="A955" s="1643"/>
      <c r="B955" s="1643"/>
      <c r="C955" s="1643"/>
      <c r="D955" s="1643"/>
      <c r="E955" s="1643"/>
      <c r="F955" s="1643"/>
      <c r="G955" s="1643"/>
      <c r="H955" s="1643"/>
      <c r="I955" s="1643"/>
      <c r="J955" s="1643"/>
      <c r="K955" s="1643"/>
      <c r="L955" s="1643"/>
      <c r="M955" s="1643"/>
      <c r="N955" s="1643"/>
      <c r="O955" s="1643"/>
      <c r="P955" s="1643"/>
      <c r="Q955" s="1643"/>
      <c r="R955" s="1643"/>
      <c r="S955" s="1643"/>
      <c r="T955" s="1643"/>
      <c r="U955" s="1643"/>
      <c r="V955" s="1643"/>
      <c r="W955" s="1643"/>
      <c r="X955" s="1643"/>
      <c r="Y955" s="1643"/>
      <c r="Z955" s="1643"/>
      <c r="AA955" s="1643"/>
      <c r="AB955" s="1643"/>
      <c r="AC955" s="1643"/>
      <c r="AD955" s="1643"/>
      <c r="AE955" s="1643"/>
      <c r="AF955" s="1643"/>
      <c r="AG955" s="1643"/>
      <c r="AH955" s="1643"/>
      <c r="AI955" s="1643"/>
      <c r="AJ955" s="1643"/>
      <c r="AK955" s="1643"/>
      <c r="AL955" s="1643"/>
      <c r="AM955" s="1643"/>
    </row>
    <row r="956" spans="1:39" ht="15.75" customHeight="1" x14ac:dyDescent="0.3">
      <c r="A956" s="1643"/>
      <c r="B956" s="1643"/>
      <c r="C956" s="1643"/>
      <c r="D956" s="1643"/>
      <c r="E956" s="1643"/>
      <c r="F956" s="1643"/>
      <c r="G956" s="1643"/>
      <c r="H956" s="1643"/>
      <c r="I956" s="1643"/>
      <c r="J956" s="1643"/>
      <c r="K956" s="1643"/>
      <c r="L956" s="1643"/>
      <c r="M956" s="1643"/>
      <c r="N956" s="1643"/>
      <c r="O956" s="1643"/>
      <c r="P956" s="1643"/>
      <c r="Q956" s="1643"/>
      <c r="R956" s="1643"/>
      <c r="S956" s="1643"/>
      <c r="T956" s="1643"/>
      <c r="U956" s="1643"/>
      <c r="V956" s="1643"/>
      <c r="W956" s="1643"/>
      <c r="X956" s="1643"/>
      <c r="Y956" s="1643"/>
      <c r="Z956" s="1643"/>
      <c r="AA956" s="1643"/>
      <c r="AB956" s="1643"/>
      <c r="AC956" s="1643"/>
      <c r="AD956" s="1643"/>
      <c r="AE956" s="1643"/>
      <c r="AF956" s="1643"/>
      <c r="AG956" s="1643"/>
      <c r="AH956" s="1643"/>
      <c r="AI956" s="1643"/>
      <c r="AJ956" s="1643"/>
      <c r="AK956" s="1643"/>
      <c r="AL956" s="1643"/>
      <c r="AM956" s="1643"/>
    </row>
    <row r="957" spans="1:39" ht="15.75" customHeight="1" x14ac:dyDescent="0.3">
      <c r="A957" s="1643"/>
      <c r="B957" s="1643"/>
      <c r="C957" s="1643"/>
      <c r="D957" s="1643"/>
      <c r="E957" s="1643"/>
      <c r="F957" s="1643"/>
      <c r="G957" s="1643"/>
      <c r="H957" s="1643"/>
      <c r="I957" s="1643"/>
      <c r="J957" s="1643"/>
      <c r="K957" s="1643"/>
      <c r="L957" s="1643"/>
      <c r="M957" s="1643"/>
      <c r="N957" s="1643"/>
      <c r="O957" s="1643"/>
      <c r="P957" s="1643"/>
      <c r="Q957" s="1643"/>
      <c r="R957" s="1643"/>
      <c r="S957" s="1643"/>
      <c r="T957" s="1643"/>
      <c r="U957" s="1643"/>
      <c r="V957" s="1643"/>
      <c r="W957" s="1643"/>
      <c r="X957" s="1643"/>
      <c r="Y957" s="1643"/>
      <c r="Z957" s="1643"/>
      <c r="AA957" s="1643"/>
      <c r="AB957" s="1643"/>
      <c r="AC957" s="1643"/>
      <c r="AD957" s="1643"/>
      <c r="AE957" s="1643"/>
      <c r="AF957" s="1643"/>
      <c r="AG957" s="1643"/>
      <c r="AH957" s="1643"/>
      <c r="AI957" s="1643"/>
      <c r="AJ957" s="1643"/>
      <c r="AK957" s="1643"/>
      <c r="AL957" s="1643"/>
      <c r="AM957" s="1643"/>
    </row>
    <row r="958" spans="1:39" ht="15.75" customHeight="1" x14ac:dyDescent="0.3">
      <c r="A958" s="1643"/>
      <c r="B958" s="1643"/>
      <c r="C958" s="1643"/>
      <c r="D958" s="1643"/>
      <c r="E958" s="1643"/>
      <c r="F958" s="1643"/>
      <c r="G958" s="1643"/>
      <c r="H958" s="1643"/>
      <c r="I958" s="1643"/>
      <c r="J958" s="1643"/>
      <c r="K958" s="1643"/>
      <c r="L958" s="1643"/>
      <c r="M958" s="1643"/>
      <c r="N958" s="1643"/>
      <c r="O958" s="1643"/>
      <c r="P958" s="1643"/>
      <c r="Q958" s="1643"/>
      <c r="R958" s="1643"/>
      <c r="S958" s="1643"/>
      <c r="T958" s="1643"/>
      <c r="U958" s="1643"/>
      <c r="V958" s="1643"/>
      <c r="W958" s="1643"/>
      <c r="X958" s="1643"/>
      <c r="Y958" s="1643"/>
      <c r="Z958" s="1643"/>
      <c r="AA958" s="1643"/>
      <c r="AB958" s="1643"/>
      <c r="AC958" s="1643"/>
      <c r="AD958" s="1643"/>
      <c r="AE958" s="1643"/>
      <c r="AF958" s="1643"/>
      <c r="AG958" s="1643"/>
      <c r="AH958" s="1643"/>
      <c r="AI958" s="1643"/>
      <c r="AJ958" s="1643"/>
      <c r="AK958" s="1643"/>
      <c r="AL958" s="1643"/>
      <c r="AM958" s="1643"/>
    </row>
    <row r="959" spans="1:39" ht="15.75" customHeight="1" x14ac:dyDescent="0.3">
      <c r="A959" s="1643"/>
      <c r="B959" s="1643"/>
      <c r="C959" s="1643"/>
      <c r="D959" s="1643"/>
      <c r="E959" s="1643"/>
      <c r="F959" s="1643"/>
      <c r="G959" s="1643"/>
      <c r="H959" s="1643"/>
      <c r="I959" s="1643"/>
      <c r="J959" s="1643"/>
      <c r="K959" s="1643"/>
      <c r="L959" s="1643"/>
      <c r="M959" s="1643"/>
      <c r="N959" s="1643"/>
      <c r="O959" s="1643"/>
      <c r="P959" s="1643"/>
      <c r="Q959" s="1643"/>
      <c r="R959" s="1643"/>
      <c r="S959" s="1643"/>
      <c r="T959" s="1643"/>
      <c r="U959" s="1643"/>
      <c r="V959" s="1643"/>
      <c r="W959" s="1643"/>
      <c r="X959" s="1643"/>
      <c r="Y959" s="1643"/>
      <c r="Z959" s="1643"/>
      <c r="AA959" s="1643"/>
      <c r="AB959" s="1643"/>
      <c r="AC959" s="1643"/>
      <c r="AD959" s="1643"/>
      <c r="AE959" s="1643"/>
      <c r="AF959" s="1643"/>
      <c r="AG959" s="1643"/>
      <c r="AH959" s="1643"/>
      <c r="AI959" s="1643"/>
      <c r="AJ959" s="1643"/>
      <c r="AK959" s="1643"/>
      <c r="AL959" s="1643"/>
      <c r="AM959" s="1643"/>
    </row>
    <row r="960" spans="1:39" ht="15.75" customHeight="1" x14ac:dyDescent="0.3">
      <c r="A960" s="1643"/>
      <c r="B960" s="1643"/>
      <c r="C960" s="1643"/>
      <c r="D960" s="1643"/>
      <c r="E960" s="1643"/>
      <c r="F960" s="1643"/>
      <c r="G960" s="1643"/>
      <c r="H960" s="1643"/>
      <c r="I960" s="1643"/>
      <c r="J960" s="1643"/>
      <c r="K960" s="1643"/>
      <c r="L960" s="1643"/>
      <c r="M960" s="1643"/>
      <c r="N960" s="1643"/>
      <c r="O960" s="1643"/>
      <c r="P960" s="1643"/>
      <c r="Q960" s="1643"/>
      <c r="R960" s="1643"/>
      <c r="S960" s="1643"/>
      <c r="T960" s="1643"/>
      <c r="U960" s="1643"/>
      <c r="V960" s="1643"/>
      <c r="W960" s="1643"/>
      <c r="X960" s="1643"/>
      <c r="Y960" s="1643"/>
      <c r="Z960" s="1643"/>
      <c r="AA960" s="1643"/>
      <c r="AB960" s="1643"/>
      <c r="AC960" s="1643"/>
      <c r="AD960" s="1643"/>
      <c r="AE960" s="1643"/>
      <c r="AF960" s="1643"/>
      <c r="AG960" s="1643"/>
      <c r="AH960" s="1643"/>
      <c r="AI960" s="1643"/>
      <c r="AJ960" s="1643"/>
      <c r="AK960" s="1643"/>
      <c r="AL960" s="1643"/>
      <c r="AM960" s="1643"/>
    </row>
    <row r="961" spans="1:39" ht="15.75" customHeight="1" x14ac:dyDescent="0.3">
      <c r="A961" s="1643"/>
      <c r="B961" s="1643"/>
      <c r="C961" s="1643"/>
      <c r="D961" s="1643"/>
      <c r="E961" s="1643"/>
      <c r="F961" s="1643"/>
      <c r="G961" s="1643"/>
      <c r="H961" s="1643"/>
      <c r="I961" s="1643"/>
      <c r="J961" s="1643"/>
      <c r="K961" s="1643"/>
      <c r="L961" s="1643"/>
      <c r="M961" s="1643"/>
      <c r="N961" s="1643"/>
      <c r="O961" s="1643"/>
      <c r="P961" s="1643"/>
      <c r="Q961" s="1643"/>
      <c r="R961" s="1643"/>
      <c r="S961" s="1643"/>
      <c r="T961" s="1643"/>
      <c r="U961" s="1643"/>
      <c r="V961" s="1643"/>
      <c r="W961" s="1643"/>
      <c r="X961" s="1643"/>
      <c r="Y961" s="1643"/>
      <c r="Z961" s="1643"/>
      <c r="AA961" s="1643"/>
      <c r="AB961" s="1643"/>
      <c r="AC961" s="1643"/>
      <c r="AD961" s="1643"/>
      <c r="AE961" s="1643"/>
      <c r="AF961" s="1643"/>
      <c r="AG961" s="1643"/>
      <c r="AH961" s="1643"/>
      <c r="AI961" s="1643"/>
      <c r="AJ961" s="1643"/>
      <c r="AK961" s="1643"/>
      <c r="AL961" s="1643"/>
      <c r="AM961" s="1643"/>
    </row>
    <row r="962" spans="1:39" ht="15.75" customHeight="1" x14ac:dyDescent="0.3">
      <c r="A962" s="1643"/>
      <c r="B962" s="1643"/>
      <c r="C962" s="1643"/>
      <c r="D962" s="1643"/>
      <c r="E962" s="1643"/>
      <c r="F962" s="1643"/>
      <c r="G962" s="1643"/>
      <c r="H962" s="1643"/>
      <c r="I962" s="1643"/>
      <c r="J962" s="1643"/>
      <c r="K962" s="1643"/>
      <c r="L962" s="1643"/>
      <c r="M962" s="1643"/>
      <c r="N962" s="1643"/>
      <c r="O962" s="1643"/>
      <c r="P962" s="1643"/>
      <c r="Q962" s="1643"/>
      <c r="R962" s="1643"/>
      <c r="S962" s="1643"/>
      <c r="T962" s="1643"/>
      <c r="U962" s="1643"/>
      <c r="V962" s="1643"/>
      <c r="W962" s="1643"/>
      <c r="X962" s="1643"/>
      <c r="Y962" s="1643"/>
      <c r="Z962" s="1643"/>
      <c r="AA962" s="1643"/>
      <c r="AB962" s="1643"/>
      <c r="AC962" s="1643"/>
      <c r="AD962" s="1643"/>
      <c r="AE962" s="1643"/>
      <c r="AF962" s="1643"/>
      <c r="AG962" s="1643"/>
      <c r="AH962" s="1643"/>
      <c r="AI962" s="1643"/>
      <c r="AJ962" s="1643"/>
      <c r="AK962" s="1643"/>
      <c r="AL962" s="1643"/>
      <c r="AM962" s="1643"/>
    </row>
    <row r="963" spans="1:39" ht="15.75" customHeight="1" x14ac:dyDescent="0.3">
      <c r="A963" s="1643"/>
      <c r="B963" s="1643"/>
      <c r="C963" s="1643"/>
      <c r="D963" s="1643"/>
      <c r="E963" s="1643"/>
      <c r="F963" s="1643"/>
      <c r="G963" s="1643"/>
      <c r="H963" s="1643"/>
      <c r="I963" s="1643"/>
      <c r="J963" s="1643"/>
      <c r="K963" s="1643"/>
      <c r="L963" s="1643"/>
      <c r="M963" s="1643"/>
      <c r="N963" s="1643"/>
      <c r="O963" s="1643"/>
      <c r="P963" s="1643"/>
      <c r="Q963" s="1643"/>
      <c r="R963" s="1643"/>
      <c r="S963" s="1643"/>
      <c r="T963" s="1643"/>
      <c r="U963" s="1643"/>
      <c r="V963" s="1643"/>
      <c r="W963" s="1643"/>
      <c r="X963" s="1643"/>
      <c r="Y963" s="1643"/>
      <c r="Z963" s="1643"/>
      <c r="AA963" s="1643"/>
      <c r="AB963" s="1643"/>
      <c r="AC963" s="1643"/>
      <c r="AD963" s="1643"/>
      <c r="AE963" s="1643"/>
      <c r="AF963" s="1643"/>
      <c r="AG963" s="1643"/>
      <c r="AH963" s="1643"/>
      <c r="AI963" s="1643"/>
      <c r="AJ963" s="1643"/>
      <c r="AK963" s="1643"/>
      <c r="AL963" s="1643"/>
      <c r="AM963" s="1643"/>
    </row>
    <row r="964" spans="1:39" ht="15.75" customHeight="1" x14ac:dyDescent="0.3">
      <c r="A964" s="1643"/>
      <c r="B964" s="1643"/>
      <c r="C964" s="1643"/>
      <c r="D964" s="1643"/>
      <c r="E964" s="1643"/>
      <c r="F964" s="1643"/>
      <c r="G964" s="1643"/>
      <c r="H964" s="1643"/>
      <c r="I964" s="1643"/>
      <c r="J964" s="1643"/>
      <c r="K964" s="1643"/>
      <c r="L964" s="1643"/>
      <c r="M964" s="1643"/>
      <c r="N964" s="1643"/>
      <c r="O964" s="1643"/>
      <c r="P964" s="1643"/>
      <c r="Q964" s="1643"/>
      <c r="R964" s="1643"/>
      <c r="S964" s="1643"/>
      <c r="T964" s="1643"/>
      <c r="U964" s="1643"/>
      <c r="V964" s="1643"/>
      <c r="W964" s="1643"/>
      <c r="X964" s="1643"/>
      <c r="Y964" s="1643"/>
      <c r="Z964" s="1643"/>
      <c r="AA964" s="1643"/>
      <c r="AB964" s="1643"/>
      <c r="AC964" s="1643"/>
      <c r="AD964" s="1643"/>
      <c r="AE964" s="1643"/>
      <c r="AF964" s="1643"/>
      <c r="AG964" s="1643"/>
      <c r="AH964" s="1643"/>
      <c r="AI964" s="1643"/>
      <c r="AJ964" s="1643"/>
      <c r="AK964" s="1643"/>
      <c r="AL964" s="1643"/>
      <c r="AM964" s="1643"/>
    </row>
    <row r="965" spans="1:39" ht="15.75" customHeight="1" x14ac:dyDescent="0.3">
      <c r="A965" s="1643"/>
      <c r="B965" s="1643"/>
      <c r="C965" s="1643"/>
      <c r="D965" s="1643"/>
      <c r="E965" s="1643"/>
      <c r="F965" s="1643"/>
      <c r="G965" s="1643"/>
      <c r="H965" s="1643"/>
      <c r="I965" s="1643"/>
      <c r="J965" s="1643"/>
      <c r="K965" s="1643"/>
      <c r="L965" s="1643"/>
      <c r="M965" s="1643"/>
      <c r="N965" s="1643"/>
      <c r="O965" s="1643"/>
      <c r="P965" s="1643"/>
      <c r="Q965" s="1643"/>
      <c r="R965" s="1643"/>
      <c r="S965" s="1643"/>
      <c r="T965" s="1643"/>
      <c r="U965" s="1643"/>
      <c r="V965" s="1643"/>
      <c r="W965" s="1643"/>
      <c r="X965" s="1643"/>
      <c r="Y965" s="1643"/>
      <c r="Z965" s="1643"/>
      <c r="AA965" s="1643"/>
      <c r="AB965" s="1643"/>
      <c r="AC965" s="1643"/>
      <c r="AD965" s="1643"/>
      <c r="AE965" s="1643"/>
      <c r="AF965" s="1643"/>
      <c r="AG965" s="1643"/>
      <c r="AH965" s="1643"/>
      <c r="AI965" s="1643"/>
      <c r="AJ965" s="1643"/>
      <c r="AK965" s="1643"/>
      <c r="AL965" s="1643"/>
      <c r="AM965" s="1643"/>
    </row>
    <row r="966" spans="1:39" ht="15.75" customHeight="1" x14ac:dyDescent="0.3">
      <c r="A966" s="1643"/>
      <c r="B966" s="1643"/>
      <c r="C966" s="1643"/>
      <c r="D966" s="1643"/>
      <c r="E966" s="1643"/>
      <c r="F966" s="1643"/>
      <c r="G966" s="1643"/>
      <c r="H966" s="1643"/>
      <c r="I966" s="1643"/>
      <c r="J966" s="1643"/>
      <c r="K966" s="1643"/>
      <c r="L966" s="1643"/>
      <c r="M966" s="1643"/>
      <c r="N966" s="1643"/>
      <c r="O966" s="1643"/>
      <c r="P966" s="1643"/>
      <c r="Q966" s="1643"/>
      <c r="R966" s="1643"/>
      <c r="S966" s="1643"/>
      <c r="T966" s="1643"/>
      <c r="U966" s="1643"/>
      <c r="V966" s="1643"/>
      <c r="W966" s="1643"/>
      <c r="X966" s="1643"/>
      <c r="Y966" s="1643"/>
      <c r="Z966" s="1643"/>
      <c r="AA966" s="1643"/>
      <c r="AB966" s="1643"/>
      <c r="AC966" s="1643"/>
      <c r="AD966" s="1643"/>
      <c r="AE966" s="1643"/>
      <c r="AF966" s="1643"/>
      <c r="AG966" s="1643"/>
      <c r="AH966" s="1643"/>
      <c r="AI966" s="1643"/>
      <c r="AJ966" s="1643"/>
      <c r="AK966" s="1643"/>
      <c r="AL966" s="1643"/>
      <c r="AM966" s="1643"/>
    </row>
    <row r="967" spans="1:39" ht="15.75" customHeight="1" x14ac:dyDescent="0.3">
      <c r="A967" s="1643"/>
      <c r="B967" s="1643"/>
      <c r="C967" s="1643"/>
      <c r="D967" s="1643"/>
      <c r="E967" s="1643"/>
      <c r="F967" s="1643"/>
      <c r="G967" s="1643"/>
      <c r="H967" s="1643"/>
      <c r="I967" s="1643"/>
      <c r="J967" s="1643"/>
      <c r="K967" s="1643"/>
      <c r="L967" s="1643"/>
      <c r="M967" s="1643"/>
      <c r="N967" s="1643"/>
      <c r="O967" s="1643"/>
      <c r="P967" s="1643"/>
      <c r="Q967" s="1643"/>
      <c r="R967" s="1643"/>
      <c r="S967" s="1643"/>
      <c r="T967" s="1643"/>
      <c r="U967" s="1643"/>
      <c r="V967" s="1643"/>
      <c r="W967" s="1643"/>
      <c r="X967" s="1643"/>
      <c r="Y967" s="1643"/>
      <c r="Z967" s="1643"/>
      <c r="AA967" s="1643"/>
      <c r="AB967" s="1643"/>
      <c r="AC967" s="1643"/>
      <c r="AD967" s="1643"/>
      <c r="AE967" s="1643"/>
      <c r="AF967" s="1643"/>
      <c r="AG967" s="1643"/>
      <c r="AH967" s="1643"/>
      <c r="AI967" s="1643"/>
      <c r="AJ967" s="1643"/>
      <c r="AK967" s="1643"/>
      <c r="AL967" s="1643"/>
      <c r="AM967" s="1643"/>
    </row>
    <row r="968" spans="1:39" ht="15.75" customHeight="1" x14ac:dyDescent="0.3">
      <c r="A968" s="1643"/>
      <c r="B968" s="1643"/>
      <c r="C968" s="1643"/>
      <c r="D968" s="1643"/>
      <c r="E968" s="1643"/>
      <c r="F968" s="1643"/>
      <c r="G968" s="1643"/>
      <c r="H968" s="1643"/>
      <c r="I968" s="1643"/>
      <c r="J968" s="1643"/>
      <c r="K968" s="1643"/>
      <c r="L968" s="1643"/>
      <c r="M968" s="1643"/>
      <c r="N968" s="1643"/>
      <c r="O968" s="1643"/>
      <c r="P968" s="1643"/>
      <c r="Q968" s="1643"/>
      <c r="R968" s="1643"/>
      <c r="S968" s="1643"/>
      <c r="T968" s="1643"/>
      <c r="U968" s="1643"/>
      <c r="V968" s="1643"/>
      <c r="W968" s="1643"/>
      <c r="X968" s="1643"/>
      <c r="Y968" s="1643"/>
      <c r="Z968" s="1643"/>
      <c r="AA968" s="1643"/>
      <c r="AB968" s="1643"/>
      <c r="AC968" s="1643"/>
      <c r="AD968" s="1643"/>
      <c r="AE968" s="1643"/>
      <c r="AF968" s="1643"/>
      <c r="AG968" s="1643"/>
      <c r="AH968" s="1643"/>
      <c r="AI968" s="1643"/>
      <c r="AJ968" s="1643"/>
      <c r="AK968" s="1643"/>
      <c r="AL968" s="1643"/>
      <c r="AM968" s="1643"/>
    </row>
    <row r="969" spans="1:39" ht="15.75" customHeight="1" x14ac:dyDescent="0.3">
      <c r="A969" s="1643"/>
      <c r="B969" s="1643"/>
      <c r="C969" s="1643"/>
      <c r="D969" s="1643"/>
      <c r="E969" s="1643"/>
      <c r="F969" s="1643"/>
      <c r="G969" s="1643"/>
      <c r="H969" s="1643"/>
      <c r="I969" s="1643"/>
      <c r="J969" s="1643"/>
      <c r="K969" s="1643"/>
      <c r="L969" s="1643"/>
      <c r="M969" s="1643"/>
      <c r="N969" s="1643"/>
      <c r="O969" s="1643"/>
      <c r="P969" s="1643"/>
      <c r="Q969" s="1643"/>
      <c r="R969" s="1643"/>
      <c r="S969" s="1643"/>
      <c r="T969" s="1643"/>
      <c r="U969" s="1643"/>
      <c r="V969" s="1643"/>
      <c r="W969" s="1643"/>
      <c r="X969" s="1643"/>
      <c r="Y969" s="1643"/>
      <c r="Z969" s="1643"/>
      <c r="AA969" s="1643"/>
      <c r="AB969" s="1643"/>
      <c r="AC969" s="1643"/>
      <c r="AD969" s="1643"/>
      <c r="AE969" s="1643"/>
      <c r="AF969" s="1643"/>
      <c r="AG969" s="1643"/>
      <c r="AH969" s="1643"/>
      <c r="AI969" s="1643"/>
      <c r="AJ969" s="1643"/>
      <c r="AK969" s="1643"/>
      <c r="AL969" s="1643"/>
      <c r="AM969" s="1643"/>
    </row>
    <row r="970" spans="1:39" ht="15.75" customHeight="1" x14ac:dyDescent="0.3">
      <c r="A970" s="1643"/>
      <c r="B970" s="1643"/>
      <c r="C970" s="1643"/>
      <c r="D970" s="1643"/>
      <c r="E970" s="1643"/>
      <c r="F970" s="1643"/>
      <c r="G970" s="1643"/>
      <c r="H970" s="1643"/>
      <c r="I970" s="1643"/>
      <c r="J970" s="1643"/>
      <c r="K970" s="1643"/>
      <c r="L970" s="1643"/>
      <c r="M970" s="1643"/>
      <c r="N970" s="1643"/>
      <c r="O970" s="1643"/>
      <c r="P970" s="1643"/>
      <c r="Q970" s="1643"/>
      <c r="R970" s="1643"/>
      <c r="S970" s="1643"/>
      <c r="T970" s="1643"/>
      <c r="U970" s="1643"/>
      <c r="V970" s="1643"/>
      <c r="W970" s="1643"/>
      <c r="X970" s="1643"/>
      <c r="Y970" s="1643"/>
      <c r="Z970" s="1643"/>
      <c r="AA970" s="1643"/>
      <c r="AB970" s="1643"/>
      <c r="AC970" s="1643"/>
      <c r="AD970" s="1643"/>
      <c r="AE970" s="1643"/>
      <c r="AF970" s="1643"/>
      <c r="AG970" s="1643"/>
      <c r="AH970" s="1643"/>
      <c r="AI970" s="1643"/>
      <c r="AJ970" s="1643"/>
      <c r="AK970" s="1643"/>
      <c r="AL970" s="1643"/>
      <c r="AM970" s="1643"/>
    </row>
    <row r="971" spans="1:39" ht="15.75" customHeight="1" x14ac:dyDescent="0.3">
      <c r="A971" s="1643"/>
      <c r="B971" s="1643"/>
      <c r="C971" s="1643"/>
      <c r="D971" s="1643"/>
      <c r="E971" s="1643"/>
      <c r="F971" s="1643"/>
      <c r="G971" s="1643"/>
      <c r="H971" s="1643"/>
      <c r="I971" s="1643"/>
      <c r="J971" s="1643"/>
      <c r="K971" s="1643"/>
      <c r="L971" s="1643"/>
      <c r="M971" s="1643"/>
      <c r="N971" s="1643"/>
      <c r="O971" s="1643"/>
      <c r="P971" s="1643"/>
      <c r="Q971" s="1643"/>
      <c r="R971" s="1643"/>
      <c r="S971" s="1643"/>
      <c r="T971" s="1643"/>
      <c r="U971" s="1643"/>
      <c r="V971" s="1643"/>
      <c r="W971" s="1643"/>
      <c r="X971" s="1643"/>
      <c r="Y971" s="1643"/>
      <c r="Z971" s="1643"/>
      <c r="AA971" s="1643"/>
      <c r="AB971" s="1643"/>
      <c r="AC971" s="1643"/>
      <c r="AD971" s="1643"/>
      <c r="AE971" s="1643"/>
      <c r="AF971" s="1643"/>
      <c r="AG971" s="1643"/>
      <c r="AH971" s="1643"/>
      <c r="AI971" s="1643"/>
      <c r="AJ971" s="1643"/>
      <c r="AK971" s="1643"/>
      <c r="AL971" s="1643"/>
      <c r="AM971" s="1643"/>
    </row>
    <row r="972" spans="1:39" ht="15.75" customHeight="1" x14ac:dyDescent="0.3">
      <c r="A972" s="1643"/>
      <c r="B972" s="1643"/>
      <c r="C972" s="1643"/>
      <c r="D972" s="1643"/>
      <c r="E972" s="1643"/>
      <c r="F972" s="1643"/>
      <c r="G972" s="1643"/>
      <c r="H972" s="1643"/>
      <c r="I972" s="1643"/>
      <c r="J972" s="1643"/>
      <c r="K972" s="1643"/>
      <c r="L972" s="1643"/>
      <c r="M972" s="1643"/>
      <c r="N972" s="1643"/>
      <c r="O972" s="1643"/>
      <c r="P972" s="1643"/>
      <c r="Q972" s="1643"/>
      <c r="R972" s="1643"/>
      <c r="S972" s="1643"/>
      <c r="T972" s="1643"/>
      <c r="U972" s="1643"/>
      <c r="V972" s="1643"/>
      <c r="W972" s="1643"/>
      <c r="X972" s="1643"/>
      <c r="Y972" s="1643"/>
      <c r="Z972" s="1643"/>
      <c r="AA972" s="1643"/>
      <c r="AB972" s="1643"/>
      <c r="AC972" s="1643"/>
      <c r="AD972" s="1643"/>
      <c r="AE972" s="1643"/>
      <c r="AF972" s="1643"/>
      <c r="AG972" s="1643"/>
      <c r="AH972" s="1643"/>
      <c r="AI972" s="1643"/>
      <c r="AJ972" s="1643"/>
      <c r="AK972" s="1643"/>
      <c r="AL972" s="1643"/>
      <c r="AM972" s="1643"/>
    </row>
    <row r="973" spans="1:39" ht="15.75" customHeight="1" x14ac:dyDescent="0.3">
      <c r="A973" s="1643"/>
      <c r="B973" s="1643"/>
      <c r="C973" s="1643"/>
      <c r="D973" s="1643"/>
      <c r="E973" s="1643"/>
      <c r="F973" s="1643"/>
      <c r="G973" s="1643"/>
      <c r="H973" s="1643"/>
      <c r="I973" s="1643"/>
      <c r="J973" s="1643"/>
      <c r="K973" s="1643"/>
      <c r="L973" s="1643"/>
      <c r="M973" s="1643"/>
      <c r="N973" s="1643"/>
      <c r="O973" s="1643"/>
      <c r="P973" s="1643"/>
      <c r="Q973" s="1643"/>
      <c r="R973" s="1643"/>
      <c r="S973" s="1643"/>
      <c r="T973" s="1643"/>
      <c r="U973" s="1643"/>
      <c r="V973" s="1643"/>
      <c r="W973" s="1643"/>
      <c r="X973" s="1643"/>
      <c r="Y973" s="1643"/>
      <c r="Z973" s="1643"/>
      <c r="AA973" s="1643"/>
      <c r="AB973" s="1643"/>
      <c r="AC973" s="1643"/>
      <c r="AD973" s="1643"/>
      <c r="AE973" s="1643"/>
      <c r="AF973" s="1643"/>
      <c r="AG973" s="1643"/>
      <c r="AH973" s="1643"/>
      <c r="AI973" s="1643"/>
      <c r="AJ973" s="1643"/>
      <c r="AK973" s="1643"/>
      <c r="AL973" s="1643"/>
      <c r="AM973" s="1643"/>
    </row>
    <row r="974" spans="1:39" ht="15.75" customHeight="1" x14ac:dyDescent="0.3">
      <c r="A974" s="1643"/>
      <c r="B974" s="1643"/>
      <c r="C974" s="1643"/>
      <c r="D974" s="1643"/>
      <c r="E974" s="1643"/>
      <c r="F974" s="1643"/>
      <c r="G974" s="1643"/>
      <c r="H974" s="1643"/>
      <c r="I974" s="1643"/>
      <c r="J974" s="1643"/>
      <c r="K974" s="1643"/>
      <c r="L974" s="1643"/>
      <c r="M974" s="1643"/>
      <c r="N974" s="1643"/>
      <c r="O974" s="1643"/>
      <c r="P974" s="1643"/>
      <c r="Q974" s="1643"/>
      <c r="R974" s="1643"/>
      <c r="S974" s="1643"/>
      <c r="T974" s="1643"/>
      <c r="U974" s="1643"/>
      <c r="V974" s="1643"/>
      <c r="W974" s="1643"/>
      <c r="X974" s="1643"/>
      <c r="Y974" s="1643"/>
      <c r="Z974" s="1643"/>
      <c r="AA974" s="1643"/>
      <c r="AB974" s="1643"/>
      <c r="AC974" s="1643"/>
      <c r="AD974" s="1643"/>
      <c r="AE974" s="1643"/>
      <c r="AF974" s="1643"/>
      <c r="AG974" s="1643"/>
      <c r="AH974" s="1643"/>
      <c r="AI974" s="1643"/>
      <c r="AJ974" s="1643"/>
      <c r="AK974" s="1643"/>
      <c r="AL974" s="1643"/>
      <c r="AM974" s="1643"/>
    </row>
    <row r="975" spans="1:39" ht="15.75" customHeight="1" x14ac:dyDescent="0.3">
      <c r="A975" s="1643"/>
      <c r="B975" s="1643"/>
      <c r="C975" s="1643"/>
      <c r="D975" s="1643"/>
      <c r="E975" s="1643"/>
      <c r="F975" s="1643"/>
      <c r="G975" s="1643"/>
      <c r="H975" s="1643"/>
      <c r="I975" s="1643"/>
      <c r="J975" s="1643"/>
      <c r="K975" s="1643"/>
      <c r="L975" s="1643"/>
      <c r="M975" s="1643"/>
      <c r="N975" s="1643"/>
      <c r="O975" s="1643"/>
      <c r="P975" s="1643"/>
      <c r="Q975" s="1643"/>
      <c r="R975" s="1643"/>
      <c r="S975" s="1643"/>
      <c r="T975" s="1643"/>
      <c r="U975" s="1643"/>
      <c r="V975" s="1643"/>
      <c r="W975" s="1643"/>
      <c r="X975" s="1643"/>
      <c r="Y975" s="1643"/>
      <c r="Z975" s="1643"/>
      <c r="AA975" s="1643"/>
      <c r="AB975" s="1643"/>
      <c r="AC975" s="1643"/>
      <c r="AD975" s="1643"/>
      <c r="AE975" s="1643"/>
      <c r="AF975" s="1643"/>
      <c r="AG975" s="1643"/>
      <c r="AH975" s="1643"/>
      <c r="AI975" s="1643"/>
      <c r="AJ975" s="1643"/>
      <c r="AK975" s="1643"/>
      <c r="AL975" s="1643"/>
      <c r="AM975" s="1643"/>
    </row>
    <row r="976" spans="1:39" ht="15.75" customHeight="1" x14ac:dyDescent="0.3">
      <c r="A976" s="1643"/>
      <c r="B976" s="1643"/>
      <c r="C976" s="1643"/>
      <c r="D976" s="1643"/>
      <c r="E976" s="1643"/>
      <c r="F976" s="1643"/>
      <c r="G976" s="1643"/>
      <c r="H976" s="1643"/>
      <c r="I976" s="1643"/>
      <c r="J976" s="1643"/>
      <c r="K976" s="1643"/>
      <c r="L976" s="1643"/>
      <c r="M976" s="1643"/>
      <c r="N976" s="1643"/>
      <c r="O976" s="1643"/>
      <c r="P976" s="1643"/>
      <c r="Q976" s="1643"/>
      <c r="R976" s="1643"/>
      <c r="S976" s="1643"/>
      <c r="T976" s="1643"/>
      <c r="U976" s="1643"/>
      <c r="V976" s="1643"/>
      <c r="W976" s="1643"/>
      <c r="X976" s="1643"/>
      <c r="Y976" s="1643"/>
      <c r="Z976" s="1643"/>
      <c r="AA976" s="1643"/>
      <c r="AB976" s="1643"/>
      <c r="AC976" s="1643"/>
      <c r="AD976" s="1643"/>
      <c r="AE976" s="1643"/>
      <c r="AF976" s="1643"/>
      <c r="AG976" s="1643"/>
      <c r="AH976" s="1643"/>
      <c r="AI976" s="1643"/>
      <c r="AJ976" s="1643"/>
      <c r="AK976" s="1643"/>
      <c r="AL976" s="1643"/>
      <c r="AM976" s="1643"/>
    </row>
    <row r="977" spans="1:39" ht="15.75" customHeight="1" x14ac:dyDescent="0.3">
      <c r="A977" s="1643"/>
      <c r="B977" s="1643"/>
      <c r="C977" s="1643"/>
      <c r="D977" s="1643"/>
      <c r="E977" s="1643"/>
      <c r="F977" s="1643"/>
      <c r="G977" s="1643"/>
      <c r="H977" s="1643"/>
      <c r="I977" s="1643"/>
      <c r="J977" s="1643"/>
      <c r="K977" s="1643"/>
      <c r="L977" s="1643"/>
      <c r="M977" s="1643"/>
      <c r="N977" s="1643"/>
      <c r="O977" s="1643"/>
      <c r="P977" s="1643"/>
      <c r="Q977" s="1643"/>
      <c r="R977" s="1643"/>
      <c r="S977" s="1643"/>
      <c r="T977" s="1643"/>
      <c r="U977" s="1643"/>
      <c r="V977" s="1643"/>
      <c r="W977" s="1643"/>
      <c r="X977" s="1643"/>
      <c r="Y977" s="1643"/>
      <c r="Z977" s="1643"/>
      <c r="AA977" s="1643"/>
      <c r="AB977" s="1643"/>
      <c r="AC977" s="1643"/>
      <c r="AD977" s="1643"/>
      <c r="AE977" s="1643"/>
      <c r="AF977" s="1643"/>
      <c r="AG977" s="1643"/>
      <c r="AH977" s="1643"/>
      <c r="AI977" s="1643"/>
      <c r="AJ977" s="1643"/>
      <c r="AK977" s="1643"/>
      <c r="AL977" s="1643"/>
      <c r="AM977" s="1643"/>
    </row>
    <row r="978" spans="1:39" ht="15.75" customHeight="1" x14ac:dyDescent="0.3">
      <c r="A978" s="1643"/>
      <c r="B978" s="1643"/>
      <c r="C978" s="1643"/>
      <c r="D978" s="1643"/>
      <c r="E978" s="1643"/>
      <c r="F978" s="1643"/>
      <c r="G978" s="1643"/>
      <c r="H978" s="1643"/>
      <c r="I978" s="1643"/>
      <c r="J978" s="1643"/>
      <c r="K978" s="1643"/>
      <c r="L978" s="1643"/>
      <c r="M978" s="1643"/>
      <c r="N978" s="1643"/>
      <c r="O978" s="1643"/>
      <c r="P978" s="1643"/>
      <c r="Q978" s="1643"/>
      <c r="R978" s="1643"/>
      <c r="S978" s="1643"/>
      <c r="T978" s="1643"/>
      <c r="U978" s="1643"/>
      <c r="V978" s="1643"/>
      <c r="W978" s="1643"/>
      <c r="X978" s="1643"/>
      <c r="Y978" s="1643"/>
      <c r="Z978" s="1643"/>
      <c r="AA978" s="1643"/>
      <c r="AB978" s="1643"/>
      <c r="AC978" s="1643"/>
      <c r="AD978" s="1643"/>
      <c r="AE978" s="1643"/>
      <c r="AF978" s="1643"/>
      <c r="AG978" s="1643"/>
      <c r="AH978" s="1643"/>
      <c r="AI978" s="1643"/>
      <c r="AJ978" s="1643"/>
      <c r="AK978" s="1643"/>
      <c r="AL978" s="1643"/>
      <c r="AM978" s="1643"/>
    </row>
    <row r="979" spans="1:39" ht="15.75" customHeight="1" x14ac:dyDescent="0.3">
      <c r="A979" s="1643"/>
      <c r="B979" s="1643"/>
      <c r="C979" s="1643"/>
      <c r="D979" s="1643"/>
      <c r="E979" s="1643"/>
      <c r="F979" s="1643"/>
      <c r="G979" s="1643"/>
      <c r="H979" s="1643"/>
      <c r="I979" s="1643"/>
      <c r="J979" s="1643"/>
      <c r="K979" s="1643"/>
      <c r="L979" s="1643"/>
      <c r="M979" s="1643"/>
      <c r="N979" s="1643"/>
      <c r="O979" s="1643"/>
      <c r="P979" s="1643"/>
      <c r="Q979" s="1643"/>
      <c r="R979" s="1643"/>
      <c r="S979" s="1643"/>
      <c r="T979" s="1643"/>
      <c r="U979" s="1643"/>
      <c r="V979" s="1643"/>
      <c r="W979" s="1643"/>
      <c r="X979" s="1643"/>
      <c r="Y979" s="1643"/>
      <c r="Z979" s="1643"/>
      <c r="AA979" s="1643"/>
      <c r="AB979" s="1643"/>
      <c r="AC979" s="1643"/>
      <c r="AD979" s="1643"/>
      <c r="AE979" s="1643"/>
      <c r="AF979" s="1643"/>
      <c r="AG979" s="1643"/>
      <c r="AH979" s="1643"/>
      <c r="AI979" s="1643"/>
      <c r="AJ979" s="1643"/>
      <c r="AK979" s="1643"/>
      <c r="AL979" s="1643"/>
      <c r="AM979" s="1643"/>
    </row>
    <row r="980" spans="1:39" ht="15.75" customHeight="1" x14ac:dyDescent="0.3">
      <c r="A980" s="1643"/>
      <c r="B980" s="1643"/>
      <c r="C980" s="1643"/>
      <c r="D980" s="1643"/>
      <c r="E980" s="1643"/>
      <c r="F980" s="1643"/>
      <c r="G980" s="1643"/>
      <c r="H980" s="1643"/>
      <c r="I980" s="1643"/>
      <c r="J980" s="1643"/>
      <c r="K980" s="1643"/>
      <c r="L980" s="1643"/>
      <c r="M980" s="1643"/>
      <c r="N980" s="1643"/>
      <c r="O980" s="1643"/>
      <c r="P980" s="1643"/>
      <c r="Q980" s="1643"/>
      <c r="R980" s="1643"/>
      <c r="S980" s="1643"/>
      <c r="T980" s="1643"/>
      <c r="U980" s="1643"/>
      <c r="V980" s="1643"/>
      <c r="W980" s="1643"/>
      <c r="X980" s="1643"/>
      <c r="Y980" s="1643"/>
      <c r="Z980" s="1643"/>
      <c r="AA980" s="1643"/>
      <c r="AB980" s="1643"/>
      <c r="AC980" s="1643"/>
      <c r="AD980" s="1643"/>
      <c r="AE980" s="1643"/>
      <c r="AF980" s="1643"/>
      <c r="AG980" s="1643"/>
      <c r="AH980" s="1643"/>
      <c r="AI980" s="1643"/>
      <c r="AJ980" s="1643"/>
      <c r="AK980" s="1643"/>
      <c r="AL980" s="1643"/>
      <c r="AM980" s="1643"/>
    </row>
    <row r="981" spans="1:39" ht="15.75" customHeight="1" x14ac:dyDescent="0.3">
      <c r="A981" s="1643"/>
      <c r="B981" s="1643"/>
      <c r="C981" s="1643"/>
      <c r="D981" s="1643"/>
      <c r="E981" s="1643"/>
      <c r="F981" s="1643"/>
      <c r="G981" s="1643"/>
      <c r="H981" s="1643"/>
      <c r="I981" s="1643"/>
      <c r="J981" s="1643"/>
      <c r="K981" s="1643"/>
      <c r="L981" s="1643"/>
      <c r="M981" s="1643"/>
      <c r="N981" s="1643"/>
      <c r="O981" s="1643"/>
      <c r="P981" s="1643"/>
      <c r="Q981" s="1643"/>
      <c r="R981" s="1643"/>
      <c r="S981" s="1643"/>
      <c r="T981" s="1643"/>
      <c r="U981" s="1643"/>
      <c r="V981" s="1643"/>
      <c r="W981" s="1643"/>
      <c r="X981" s="1643"/>
      <c r="Y981" s="1643"/>
      <c r="Z981" s="1643"/>
      <c r="AA981" s="1643"/>
      <c r="AB981" s="1643"/>
      <c r="AC981" s="1643"/>
      <c r="AD981" s="1643"/>
      <c r="AE981" s="1643"/>
      <c r="AF981" s="1643"/>
      <c r="AG981" s="1643"/>
      <c r="AH981" s="1643"/>
      <c r="AI981" s="1643"/>
      <c r="AJ981" s="1643"/>
      <c r="AK981" s="1643"/>
      <c r="AL981" s="1643"/>
      <c r="AM981" s="1643"/>
    </row>
    <row r="982" spans="1:39" ht="15.75" customHeight="1" x14ac:dyDescent="0.3">
      <c r="A982" s="1643"/>
      <c r="B982" s="1643"/>
      <c r="C982" s="1643"/>
      <c r="D982" s="1643"/>
      <c r="E982" s="1643"/>
      <c r="F982" s="1643"/>
      <c r="G982" s="1643"/>
      <c r="H982" s="1643"/>
      <c r="I982" s="1643"/>
      <c r="J982" s="1643"/>
      <c r="K982" s="1643"/>
      <c r="L982" s="1643"/>
      <c r="M982" s="1643"/>
      <c r="N982" s="1643"/>
      <c r="O982" s="1643"/>
      <c r="P982" s="1643"/>
      <c r="Q982" s="1643"/>
      <c r="R982" s="1643"/>
      <c r="S982" s="1643"/>
      <c r="T982" s="1643"/>
      <c r="U982" s="1643"/>
      <c r="V982" s="1643"/>
      <c r="W982" s="1643"/>
      <c r="X982" s="1643"/>
      <c r="Y982" s="1643"/>
      <c r="Z982" s="1643"/>
      <c r="AA982" s="1643"/>
      <c r="AB982" s="1643"/>
      <c r="AC982" s="1643"/>
      <c r="AD982" s="1643"/>
      <c r="AE982" s="1643"/>
      <c r="AF982" s="1643"/>
      <c r="AG982" s="1643"/>
      <c r="AH982" s="1643"/>
      <c r="AI982" s="1643"/>
      <c r="AJ982" s="1643"/>
      <c r="AK982" s="1643"/>
      <c r="AL982" s="1643"/>
      <c r="AM982" s="1643"/>
    </row>
    <row r="983" spans="1:39" ht="15.75" customHeight="1" x14ac:dyDescent="0.3">
      <c r="A983" s="1643"/>
      <c r="B983" s="1643"/>
      <c r="C983" s="1643"/>
      <c r="D983" s="1643"/>
      <c r="E983" s="1643"/>
      <c r="F983" s="1643"/>
      <c r="G983" s="1643"/>
      <c r="H983" s="1643"/>
      <c r="I983" s="1643"/>
      <c r="J983" s="1643"/>
      <c r="K983" s="1643"/>
      <c r="L983" s="1643"/>
      <c r="M983" s="1643"/>
      <c r="N983" s="1643"/>
      <c r="O983" s="1643"/>
      <c r="P983" s="1643"/>
      <c r="Q983" s="1643"/>
      <c r="R983" s="1643"/>
      <c r="S983" s="1643"/>
      <c r="T983" s="1643"/>
      <c r="U983" s="1643"/>
      <c r="V983" s="1643"/>
      <c r="W983" s="1643"/>
      <c r="X983" s="1643"/>
      <c r="Y983" s="1643"/>
      <c r="Z983" s="1643"/>
      <c r="AA983" s="1643"/>
      <c r="AB983" s="1643"/>
      <c r="AC983" s="1643"/>
      <c r="AD983" s="1643"/>
      <c r="AE983" s="1643"/>
      <c r="AF983" s="1643"/>
      <c r="AG983" s="1643"/>
      <c r="AH983" s="1643"/>
      <c r="AI983" s="1643"/>
      <c r="AJ983" s="1643"/>
      <c r="AK983" s="1643"/>
      <c r="AL983" s="1643"/>
      <c r="AM983" s="1643"/>
    </row>
    <row r="984" spans="1:39" ht="15.75" customHeight="1" x14ac:dyDescent="0.3">
      <c r="A984" s="1643"/>
      <c r="B984" s="1643"/>
      <c r="C984" s="1643"/>
      <c r="D984" s="1643"/>
      <c r="E984" s="1643"/>
      <c r="F984" s="1643"/>
      <c r="G984" s="1643"/>
      <c r="H984" s="1643"/>
      <c r="I984" s="1643"/>
      <c r="J984" s="1643"/>
      <c r="K984" s="1643"/>
      <c r="L984" s="1643"/>
      <c r="M984" s="1643"/>
      <c r="N984" s="1643"/>
      <c r="O984" s="1643"/>
      <c r="P984" s="1643"/>
      <c r="Q984" s="1643"/>
      <c r="R984" s="1643"/>
      <c r="S984" s="1643"/>
      <c r="T984" s="1643"/>
      <c r="U984" s="1643"/>
      <c r="V984" s="1643"/>
      <c r="W984" s="1643"/>
      <c r="X984" s="1643"/>
      <c r="Y984" s="1643"/>
      <c r="Z984" s="1643"/>
      <c r="AA984" s="1643"/>
      <c r="AB984" s="1643"/>
      <c r="AC984" s="1643"/>
      <c r="AD984" s="1643"/>
      <c r="AE984" s="1643"/>
      <c r="AF984" s="1643"/>
      <c r="AG984" s="1643"/>
      <c r="AH984" s="1643"/>
      <c r="AI984" s="1643"/>
      <c r="AJ984" s="1643"/>
      <c r="AK984" s="1643"/>
      <c r="AL984" s="1643"/>
      <c r="AM984" s="1643"/>
    </row>
    <row r="985" spans="1:39" ht="15.75" customHeight="1" x14ac:dyDescent="0.3">
      <c r="A985" s="1643"/>
      <c r="B985" s="1643"/>
      <c r="C985" s="1643"/>
      <c r="D985" s="1643"/>
      <c r="E985" s="1643"/>
      <c r="F985" s="1643"/>
      <c r="G985" s="1643"/>
      <c r="H985" s="1643"/>
      <c r="I985" s="1643"/>
      <c r="J985" s="1643"/>
      <c r="K985" s="1643"/>
      <c r="L985" s="1643"/>
      <c r="M985" s="1643"/>
      <c r="N985" s="1643"/>
      <c r="O985" s="1643"/>
      <c r="P985" s="1643"/>
      <c r="Q985" s="1643"/>
      <c r="R985" s="1643"/>
      <c r="S985" s="1643"/>
      <c r="T985" s="1643"/>
      <c r="U985" s="1643"/>
      <c r="V985" s="1643"/>
      <c r="W985" s="1643"/>
      <c r="X985" s="1643"/>
      <c r="Y985" s="1643"/>
      <c r="Z985" s="1643"/>
      <c r="AA985" s="1643"/>
      <c r="AB985" s="1643"/>
      <c r="AC985" s="1643"/>
      <c r="AD985" s="1643"/>
      <c r="AE985" s="1643"/>
      <c r="AF985" s="1643"/>
      <c r="AG985" s="1643"/>
      <c r="AH985" s="1643"/>
      <c r="AI985" s="1643"/>
      <c r="AJ985" s="1643"/>
      <c r="AK985" s="1643"/>
      <c r="AL985" s="1643"/>
      <c r="AM985" s="1643"/>
    </row>
    <row r="986" spans="1:39" ht="15.75" customHeight="1" x14ac:dyDescent="0.3">
      <c r="A986" s="1643"/>
      <c r="B986" s="1643"/>
      <c r="C986" s="1643"/>
      <c r="D986" s="1643"/>
      <c r="E986" s="1643"/>
      <c r="F986" s="1643"/>
      <c r="G986" s="1643"/>
      <c r="H986" s="1643"/>
      <c r="I986" s="1643"/>
      <c r="J986" s="1643"/>
      <c r="K986" s="1643"/>
      <c r="L986" s="1643"/>
      <c r="M986" s="1643"/>
      <c r="N986" s="1643"/>
      <c r="O986" s="1643"/>
      <c r="P986" s="1643"/>
      <c r="Q986" s="1643"/>
      <c r="R986" s="1643"/>
      <c r="S986" s="1643"/>
      <c r="T986" s="1643"/>
      <c r="U986" s="1643"/>
      <c r="V986" s="1643"/>
      <c r="W986" s="1643"/>
      <c r="X986" s="1643"/>
      <c r="Y986" s="1643"/>
      <c r="Z986" s="1643"/>
      <c r="AA986" s="1643"/>
      <c r="AB986" s="1643"/>
      <c r="AC986" s="1643"/>
      <c r="AD986" s="1643"/>
      <c r="AE986" s="1643"/>
      <c r="AF986" s="1643"/>
      <c r="AG986" s="1643"/>
      <c r="AH986" s="1643"/>
      <c r="AI986" s="1643"/>
      <c r="AJ986" s="1643"/>
      <c r="AK986" s="1643"/>
      <c r="AL986" s="1643"/>
      <c r="AM986" s="1643"/>
    </row>
    <row r="987" spans="1:39" ht="15.75" customHeight="1" x14ac:dyDescent="0.3">
      <c r="A987" s="1643"/>
      <c r="B987" s="1643"/>
      <c r="C987" s="1643"/>
      <c r="D987" s="1643"/>
      <c r="E987" s="1643"/>
      <c r="F987" s="1643"/>
      <c r="G987" s="1643"/>
      <c r="H987" s="1643"/>
      <c r="I987" s="1643"/>
      <c r="J987" s="1643"/>
      <c r="K987" s="1643"/>
      <c r="L987" s="1643"/>
      <c r="M987" s="1643"/>
      <c r="N987" s="1643"/>
      <c r="O987" s="1643"/>
      <c r="P987" s="1643"/>
      <c r="Q987" s="1643"/>
      <c r="R987" s="1643"/>
      <c r="S987" s="1643"/>
      <c r="T987" s="1643"/>
      <c r="U987" s="1643"/>
      <c r="V987" s="1643"/>
      <c r="W987" s="1643"/>
      <c r="X987" s="1643"/>
      <c r="Y987" s="1643"/>
      <c r="Z987" s="1643"/>
      <c r="AA987" s="1643"/>
      <c r="AB987" s="1643"/>
      <c r="AC987" s="1643"/>
      <c r="AD987" s="1643"/>
      <c r="AE987" s="1643"/>
      <c r="AF987" s="1643"/>
      <c r="AG987" s="1643"/>
      <c r="AH987" s="1643"/>
      <c r="AI987" s="1643"/>
      <c r="AJ987" s="1643"/>
      <c r="AK987" s="1643"/>
      <c r="AL987" s="1643"/>
      <c r="AM987" s="1643"/>
    </row>
    <row r="988" spans="1:39" ht="15.75" customHeight="1" x14ac:dyDescent="0.3">
      <c r="A988" s="1643"/>
      <c r="B988" s="1643"/>
      <c r="C988" s="1643"/>
      <c r="D988" s="1643"/>
      <c r="E988" s="1643"/>
      <c r="F988" s="1643"/>
      <c r="G988" s="1643"/>
      <c r="H988" s="1643"/>
      <c r="I988" s="1643"/>
      <c r="J988" s="1643"/>
      <c r="K988" s="1643"/>
      <c r="L988" s="1643"/>
      <c r="M988" s="1643"/>
      <c r="N988" s="1643"/>
      <c r="O988" s="1643"/>
      <c r="P988" s="1643"/>
      <c r="Q988" s="1643"/>
      <c r="R988" s="1643"/>
      <c r="S988" s="1643"/>
      <c r="T988" s="1643"/>
      <c r="U988" s="1643"/>
      <c r="V988" s="1643"/>
      <c r="W988" s="1643"/>
      <c r="X988" s="1643"/>
      <c r="Y988" s="1643"/>
      <c r="Z988" s="1643"/>
      <c r="AA988" s="1643"/>
      <c r="AB988" s="1643"/>
      <c r="AC988" s="1643"/>
      <c r="AD988" s="1643"/>
      <c r="AE988" s="1643"/>
      <c r="AF988" s="1643"/>
      <c r="AG988" s="1643"/>
      <c r="AH988" s="1643"/>
      <c r="AI988" s="1643"/>
      <c r="AJ988" s="1643"/>
      <c r="AK988" s="1643"/>
      <c r="AL988" s="1643"/>
      <c r="AM988" s="1643"/>
    </row>
    <row r="989" spans="1:39" ht="15.75" customHeight="1" x14ac:dyDescent="0.3">
      <c r="A989" s="1643"/>
      <c r="B989" s="1643"/>
      <c r="C989" s="1643"/>
      <c r="D989" s="1643"/>
      <c r="E989" s="1643"/>
      <c r="F989" s="1643"/>
      <c r="G989" s="1643"/>
      <c r="H989" s="1643"/>
      <c r="I989" s="1643"/>
      <c r="J989" s="1643"/>
      <c r="K989" s="1643"/>
      <c r="L989" s="1643"/>
      <c r="M989" s="1643"/>
      <c r="N989" s="1643"/>
      <c r="O989" s="1643"/>
      <c r="P989" s="1643"/>
      <c r="Q989" s="1643"/>
      <c r="R989" s="1643"/>
      <c r="S989" s="1643"/>
      <c r="T989" s="1643"/>
      <c r="U989" s="1643"/>
      <c r="V989" s="1643"/>
      <c r="W989" s="1643"/>
      <c r="X989" s="1643"/>
      <c r="Y989" s="1643"/>
      <c r="Z989" s="1643"/>
      <c r="AA989" s="1643"/>
      <c r="AB989" s="1643"/>
      <c r="AC989" s="1643"/>
      <c r="AD989" s="1643"/>
      <c r="AE989" s="1643"/>
      <c r="AF989" s="1643"/>
      <c r="AG989" s="1643"/>
      <c r="AH989" s="1643"/>
      <c r="AI989" s="1643"/>
      <c r="AJ989" s="1643"/>
      <c r="AK989" s="1643"/>
      <c r="AL989" s="1643"/>
      <c r="AM989" s="1643"/>
    </row>
    <row r="990" spans="1:39" ht="15.75" customHeight="1" x14ac:dyDescent="0.3">
      <c r="A990" s="1643"/>
      <c r="B990" s="1643"/>
      <c r="C990" s="1643"/>
      <c r="D990" s="1643"/>
      <c r="E990" s="1643"/>
      <c r="F990" s="1643"/>
      <c r="G990" s="1643"/>
      <c r="H990" s="1643"/>
      <c r="I990" s="1643"/>
      <c r="J990" s="1643"/>
      <c r="K990" s="1643"/>
      <c r="L990" s="1643"/>
      <c r="M990" s="1643"/>
      <c r="N990" s="1643"/>
      <c r="O990" s="1643"/>
      <c r="P990" s="1643"/>
      <c r="Q990" s="1643"/>
      <c r="R990" s="1643"/>
      <c r="S990" s="1643"/>
      <c r="T990" s="1643"/>
      <c r="U990" s="1643"/>
      <c r="V990" s="1643"/>
      <c r="W990" s="1643"/>
      <c r="X990" s="1643"/>
      <c r="Y990" s="1643"/>
      <c r="Z990" s="1643"/>
      <c r="AA990" s="1643"/>
      <c r="AB990" s="1643"/>
      <c r="AC990" s="1643"/>
      <c r="AD990" s="1643"/>
      <c r="AE990" s="1643"/>
      <c r="AF990" s="1643"/>
      <c r="AG990" s="1643"/>
      <c r="AH990" s="1643"/>
      <c r="AI990" s="1643"/>
      <c r="AJ990" s="1643"/>
      <c r="AK990" s="1643"/>
      <c r="AL990" s="1643"/>
      <c r="AM990" s="1643"/>
    </row>
    <row r="991" spans="1:39" ht="15.75" customHeight="1" x14ac:dyDescent="0.3">
      <c r="A991" s="1643"/>
      <c r="B991" s="1643"/>
      <c r="C991" s="1643"/>
      <c r="D991" s="1643"/>
      <c r="E991" s="1643"/>
      <c r="F991" s="1643"/>
      <c r="G991" s="1643"/>
      <c r="H991" s="1643"/>
      <c r="I991" s="1643"/>
      <c r="J991" s="1643"/>
      <c r="K991" s="1643"/>
      <c r="L991" s="1643"/>
      <c r="M991" s="1643"/>
      <c r="N991" s="1643"/>
      <c r="O991" s="1643"/>
      <c r="P991" s="1643"/>
      <c r="Q991" s="1643"/>
      <c r="R991" s="1643"/>
      <c r="S991" s="1643"/>
      <c r="T991" s="1643"/>
      <c r="U991" s="1643"/>
      <c r="V991" s="1643"/>
      <c r="W991" s="1643"/>
      <c r="X991" s="1643"/>
      <c r="Y991" s="1643"/>
      <c r="Z991" s="1643"/>
      <c r="AA991" s="1643"/>
      <c r="AB991" s="1643"/>
      <c r="AC991" s="1643"/>
      <c r="AD991" s="1643"/>
      <c r="AE991" s="1643"/>
      <c r="AF991" s="1643"/>
      <c r="AG991" s="1643"/>
      <c r="AH991" s="1643"/>
      <c r="AI991" s="1643"/>
      <c r="AJ991" s="1643"/>
      <c r="AK991" s="1643"/>
      <c r="AL991" s="1643"/>
      <c r="AM991" s="1643"/>
    </row>
    <row r="992" spans="1:39" ht="15.75" customHeight="1" x14ac:dyDescent="0.3">
      <c r="A992" s="1643"/>
      <c r="B992" s="1643"/>
      <c r="C992" s="1643"/>
      <c r="D992" s="1643"/>
      <c r="E992" s="1643"/>
      <c r="F992" s="1643"/>
      <c r="G992" s="1643"/>
      <c r="H992" s="1643"/>
      <c r="I992" s="1643"/>
      <c r="J992" s="1643"/>
      <c r="K992" s="1643"/>
      <c r="L992" s="1643"/>
      <c r="M992" s="1643"/>
      <c r="N992" s="1643"/>
      <c r="O992" s="1643"/>
      <c r="P992" s="1643"/>
      <c r="Q992" s="1643"/>
      <c r="R992" s="1643"/>
      <c r="S992" s="1643"/>
      <c r="T992" s="1643"/>
      <c r="U992" s="1643"/>
      <c r="V992" s="1643"/>
      <c r="W992" s="1643"/>
      <c r="X992" s="1643"/>
      <c r="Y992" s="1643"/>
      <c r="Z992" s="1643"/>
      <c r="AA992" s="1643"/>
      <c r="AB992" s="1643"/>
      <c r="AC992" s="1643"/>
      <c r="AD992" s="1643"/>
      <c r="AE992" s="1643"/>
      <c r="AF992" s="1643"/>
      <c r="AG992" s="1643"/>
      <c r="AH992" s="1643"/>
      <c r="AI992" s="1643"/>
      <c r="AJ992" s="1643"/>
      <c r="AK992" s="1643"/>
      <c r="AL992" s="1643"/>
      <c r="AM992" s="1643"/>
    </row>
    <row r="993" spans="1:39" ht="15.75" customHeight="1" x14ac:dyDescent="0.3">
      <c r="A993" s="1643"/>
      <c r="B993" s="1643"/>
      <c r="C993" s="1643"/>
      <c r="D993" s="1643"/>
      <c r="E993" s="1643"/>
      <c r="F993" s="1643"/>
      <c r="G993" s="1643"/>
      <c r="H993" s="1643"/>
      <c r="I993" s="1643"/>
      <c r="J993" s="1643"/>
      <c r="K993" s="1643"/>
      <c r="L993" s="1643"/>
      <c r="M993" s="1643"/>
      <c r="N993" s="1643"/>
      <c r="O993" s="1643"/>
      <c r="P993" s="1643"/>
      <c r="Q993" s="1643"/>
      <c r="R993" s="1643"/>
      <c r="S993" s="1643"/>
      <c r="T993" s="1643"/>
      <c r="U993" s="1643"/>
      <c r="V993" s="1643"/>
      <c r="W993" s="1643"/>
      <c r="X993" s="1643"/>
      <c r="Y993" s="1643"/>
      <c r="Z993" s="1643"/>
      <c r="AA993" s="1643"/>
      <c r="AB993" s="1643"/>
      <c r="AC993" s="1643"/>
      <c r="AD993" s="1643"/>
      <c r="AE993" s="1643"/>
      <c r="AF993" s="1643"/>
      <c r="AG993" s="1643"/>
      <c r="AH993" s="1643"/>
      <c r="AI993" s="1643"/>
      <c r="AJ993" s="1643"/>
      <c r="AK993" s="1643"/>
      <c r="AL993" s="1643"/>
      <c r="AM993" s="1643"/>
    </row>
    <row r="994" spans="1:39" ht="15.75" customHeight="1" x14ac:dyDescent="0.3">
      <c r="A994" s="1643"/>
      <c r="B994" s="1643"/>
      <c r="C994" s="1643"/>
      <c r="D994" s="1643"/>
      <c r="E994" s="1643"/>
      <c r="F994" s="1643"/>
      <c r="G994" s="1643"/>
      <c r="H994" s="1643"/>
      <c r="I994" s="1643"/>
      <c r="J994" s="1643"/>
      <c r="K994" s="1643"/>
      <c r="L994" s="1643"/>
      <c r="M994" s="1643"/>
      <c r="N994" s="1643"/>
      <c r="O994" s="1643"/>
      <c r="P994" s="1643"/>
      <c r="Q994" s="1643"/>
      <c r="R994" s="1643"/>
      <c r="S994" s="1643"/>
      <c r="T994" s="1643"/>
      <c r="U994" s="1643"/>
      <c r="V994" s="1643"/>
      <c r="W994" s="1643"/>
      <c r="X994" s="1643"/>
      <c r="Y994" s="1643"/>
      <c r="Z994" s="1643"/>
      <c r="AA994" s="1643"/>
      <c r="AB994" s="1643"/>
      <c r="AC994" s="1643"/>
      <c r="AD994" s="1643"/>
      <c r="AE994" s="1643"/>
      <c r="AF994" s="1643"/>
      <c r="AG994" s="1643"/>
      <c r="AH994" s="1643"/>
      <c r="AI994" s="1643"/>
      <c r="AJ994" s="1643"/>
      <c r="AK994" s="1643"/>
      <c r="AL994" s="1643"/>
      <c r="AM994" s="1643"/>
    </row>
    <row r="995" spans="1:39" ht="15.75" customHeight="1" x14ac:dyDescent="0.3">
      <c r="A995" s="1643"/>
      <c r="B995" s="1643"/>
      <c r="C995" s="1643"/>
      <c r="D995" s="1643"/>
      <c r="E995" s="1643"/>
      <c r="F995" s="1643"/>
      <c r="G995" s="1643"/>
      <c r="H995" s="1643"/>
      <c r="I995" s="1643"/>
      <c r="J995" s="1643"/>
      <c r="K995" s="1643"/>
      <c r="L995" s="1643"/>
      <c r="M995" s="1643"/>
      <c r="N995" s="1643"/>
      <c r="O995" s="1643"/>
      <c r="P995" s="1643"/>
      <c r="Q995" s="1643"/>
      <c r="R995" s="1643"/>
      <c r="S995" s="1643"/>
      <c r="T995" s="1643"/>
      <c r="U995" s="1643"/>
      <c r="V995" s="1643"/>
      <c r="W995" s="1643"/>
      <c r="X995" s="1643"/>
      <c r="Y995" s="1643"/>
      <c r="Z995" s="1643"/>
      <c r="AA995" s="1643"/>
      <c r="AB995" s="1643"/>
      <c r="AC995" s="1643"/>
      <c r="AD995" s="1643"/>
      <c r="AE995" s="1643"/>
      <c r="AF995" s="1643"/>
      <c r="AG995" s="1643"/>
      <c r="AH995" s="1643"/>
      <c r="AI995" s="1643"/>
      <c r="AJ995" s="1643"/>
      <c r="AK995" s="1643"/>
      <c r="AL995" s="1643"/>
      <c r="AM995" s="1643"/>
    </row>
    <row r="996" spans="1:39" ht="15.75" customHeight="1" x14ac:dyDescent="0.3">
      <c r="A996" s="1643"/>
      <c r="B996" s="1643"/>
      <c r="C996" s="1643"/>
      <c r="D996" s="1643"/>
      <c r="E996" s="1643"/>
      <c r="F996" s="1643"/>
      <c r="G996" s="1643"/>
      <c r="H996" s="1643"/>
      <c r="I996" s="1643"/>
      <c r="J996" s="1643"/>
      <c r="K996" s="1643"/>
      <c r="L996" s="1643"/>
      <c r="M996" s="1643"/>
      <c r="N996" s="1643"/>
      <c r="O996" s="1643"/>
      <c r="P996" s="1643"/>
      <c r="Q996" s="1643"/>
      <c r="R996" s="1643"/>
      <c r="S996" s="1643"/>
      <c r="T996" s="1643"/>
      <c r="U996" s="1643"/>
      <c r="V996" s="1643"/>
      <c r="W996" s="1643"/>
      <c r="X996" s="1643"/>
      <c r="Y996" s="1643"/>
      <c r="Z996" s="1643"/>
      <c r="AA996" s="1643"/>
      <c r="AB996" s="1643"/>
      <c r="AC996" s="1643"/>
      <c r="AD996" s="1643"/>
      <c r="AE996" s="1643"/>
      <c r="AF996" s="1643"/>
      <c r="AG996" s="1643"/>
      <c r="AH996" s="1643"/>
      <c r="AI996" s="1643"/>
      <c r="AJ996" s="1643"/>
      <c r="AK996" s="1643"/>
      <c r="AL996" s="1643"/>
      <c r="AM996" s="1643"/>
    </row>
    <row r="997" spans="1:39" ht="15.75" customHeight="1" x14ac:dyDescent="0.3">
      <c r="A997" s="1643"/>
      <c r="B997" s="1643"/>
      <c r="C997" s="1643"/>
      <c r="D997" s="1643"/>
      <c r="E997" s="1643"/>
      <c r="F997" s="1643"/>
      <c r="G997" s="1643"/>
      <c r="H997" s="1643"/>
      <c r="I997" s="1643"/>
      <c r="J997" s="1643"/>
      <c r="K997" s="1643"/>
      <c r="L997" s="1643"/>
      <c r="M997" s="1643"/>
      <c r="N997" s="1643"/>
      <c r="O997" s="1643"/>
      <c r="P997" s="1643"/>
      <c r="Q997" s="1643"/>
      <c r="R997" s="1643"/>
      <c r="S997" s="1643"/>
      <c r="T997" s="1643"/>
      <c r="U997" s="1643"/>
      <c r="V997" s="1643"/>
      <c r="W997" s="1643"/>
      <c r="X997" s="1643"/>
      <c r="Y997" s="1643"/>
      <c r="Z997" s="1643"/>
      <c r="AA997" s="1643"/>
      <c r="AB997" s="1643"/>
      <c r="AC997" s="1643"/>
      <c r="AD997" s="1643"/>
      <c r="AE997" s="1643"/>
      <c r="AF997" s="1643"/>
      <c r="AG997" s="1643"/>
      <c r="AH997" s="1643"/>
      <c r="AI997" s="1643"/>
      <c r="AJ997" s="1643"/>
      <c r="AK997" s="1643"/>
      <c r="AL997" s="1643"/>
      <c r="AM997" s="1643"/>
    </row>
    <row r="998" spans="1:39" ht="15.75" customHeight="1" x14ac:dyDescent="0.3">
      <c r="A998" s="1643"/>
      <c r="B998" s="1643"/>
      <c r="C998" s="1643"/>
      <c r="D998" s="1643"/>
      <c r="E998" s="1643"/>
      <c r="F998" s="1643"/>
      <c r="G998" s="1643"/>
      <c r="H998" s="1643"/>
      <c r="I998" s="1643"/>
      <c r="J998" s="1643"/>
      <c r="K998" s="1643"/>
      <c r="L998" s="1643"/>
      <c r="M998" s="1643"/>
      <c r="N998" s="1643"/>
      <c r="O998" s="1643"/>
      <c r="P998" s="1643"/>
      <c r="Q998" s="1643"/>
      <c r="R998" s="1643"/>
      <c r="S998" s="1643"/>
      <c r="T998" s="1643"/>
      <c r="U998" s="1643"/>
      <c r="V998" s="1643"/>
      <c r="W998" s="1643"/>
      <c r="X998" s="1643"/>
      <c r="Y998" s="1643"/>
      <c r="Z998" s="1643"/>
      <c r="AA998" s="1643"/>
      <c r="AB998" s="1643"/>
      <c r="AC998" s="1643"/>
      <c r="AD998" s="1643"/>
      <c r="AE998" s="1643"/>
      <c r="AF998" s="1643"/>
      <c r="AG998" s="1643"/>
      <c r="AH998" s="1643"/>
      <c r="AI998" s="1643"/>
      <c r="AJ998" s="1643"/>
      <c r="AK998" s="1643"/>
      <c r="AL998" s="1643"/>
      <c r="AM998" s="1643"/>
    </row>
    <row r="999" spans="1:39" ht="15.75" customHeight="1" x14ac:dyDescent="0.3">
      <c r="A999" s="1643"/>
      <c r="B999" s="1643"/>
      <c r="C999" s="1643"/>
      <c r="D999" s="1643"/>
      <c r="E999" s="1643"/>
      <c r="F999" s="1643"/>
      <c r="G999" s="1643"/>
      <c r="H999" s="1643"/>
      <c r="I999" s="1643"/>
      <c r="J999" s="1643"/>
      <c r="K999" s="1643"/>
      <c r="L999" s="1643"/>
      <c r="M999" s="1643"/>
      <c r="N999" s="1643"/>
      <c r="O999" s="1643"/>
      <c r="P999" s="1643"/>
      <c r="Q999" s="1643"/>
      <c r="R999" s="1643"/>
      <c r="S999" s="1643"/>
      <c r="T999" s="1643"/>
      <c r="U999" s="1643"/>
      <c r="V999" s="1643"/>
      <c r="W999" s="1643"/>
      <c r="X999" s="1643"/>
      <c r="Y999" s="1643"/>
      <c r="Z999" s="1643"/>
      <c r="AA999" s="1643"/>
      <c r="AB999" s="1643"/>
      <c r="AC999" s="1643"/>
      <c r="AD999" s="1643"/>
      <c r="AE999" s="1643"/>
      <c r="AF999" s="1643"/>
      <c r="AG999" s="1643"/>
      <c r="AH999" s="1643"/>
      <c r="AI999" s="1643"/>
      <c r="AJ999" s="1643"/>
      <c r="AK999" s="1643"/>
      <c r="AL999" s="1643"/>
      <c r="AM999" s="1643"/>
    </row>
    <row r="1000" spans="1:39" ht="15.75" customHeight="1" x14ac:dyDescent="0.3">
      <c r="A1000" s="1643"/>
      <c r="B1000" s="1643"/>
      <c r="C1000" s="1643"/>
      <c r="D1000" s="1643"/>
      <c r="E1000" s="1643"/>
      <c r="F1000" s="1643"/>
      <c r="G1000" s="1643"/>
      <c r="H1000" s="1643"/>
      <c r="I1000" s="1643"/>
      <c r="J1000" s="1643"/>
      <c r="K1000" s="1643"/>
      <c r="L1000" s="1643"/>
      <c r="M1000" s="1643"/>
      <c r="N1000" s="1643"/>
      <c r="O1000" s="1643"/>
      <c r="P1000" s="1643"/>
      <c r="Q1000" s="1643"/>
      <c r="R1000" s="1643"/>
      <c r="S1000" s="1643"/>
      <c r="T1000" s="1643"/>
      <c r="U1000" s="1643"/>
      <c r="V1000" s="1643"/>
      <c r="W1000" s="1643"/>
      <c r="X1000" s="1643"/>
      <c r="Y1000" s="1643"/>
      <c r="Z1000" s="1643"/>
      <c r="AA1000" s="1643"/>
      <c r="AB1000" s="1643"/>
      <c r="AC1000" s="1643"/>
      <c r="AD1000" s="1643"/>
      <c r="AE1000" s="1643"/>
      <c r="AF1000" s="1643"/>
      <c r="AG1000" s="1643"/>
      <c r="AH1000" s="1643"/>
      <c r="AI1000" s="1643"/>
      <c r="AJ1000" s="1643"/>
      <c r="AK1000" s="1643"/>
      <c r="AL1000" s="1643"/>
      <c r="AM1000" s="1643"/>
    </row>
    <row r="1001" spans="1:39" ht="15.75" customHeight="1" x14ac:dyDescent="0.3">
      <c r="A1001" s="1643"/>
      <c r="B1001" s="1643"/>
      <c r="C1001" s="1643"/>
      <c r="D1001" s="1643"/>
      <c r="E1001" s="1643"/>
      <c r="F1001" s="1643"/>
      <c r="G1001" s="1643"/>
      <c r="H1001" s="1643"/>
      <c r="I1001" s="1643"/>
      <c r="J1001" s="1643"/>
      <c r="K1001" s="1643"/>
      <c r="L1001" s="1643"/>
      <c r="M1001" s="1643"/>
      <c r="N1001" s="1643"/>
      <c r="O1001" s="1643"/>
      <c r="P1001" s="1643"/>
      <c r="Q1001" s="1643"/>
      <c r="R1001" s="1643"/>
      <c r="S1001" s="1643"/>
      <c r="T1001" s="1643"/>
      <c r="U1001" s="1643"/>
      <c r="V1001" s="1643"/>
      <c r="W1001" s="1643"/>
      <c r="X1001" s="1643"/>
      <c r="Y1001" s="1643"/>
      <c r="Z1001" s="1643"/>
      <c r="AA1001" s="1643"/>
      <c r="AB1001" s="1643"/>
      <c r="AC1001" s="1643"/>
      <c r="AD1001" s="1643"/>
      <c r="AE1001" s="1643"/>
      <c r="AF1001" s="1643"/>
      <c r="AG1001" s="1643"/>
      <c r="AH1001" s="1643"/>
      <c r="AI1001" s="1643"/>
      <c r="AJ1001" s="1643"/>
      <c r="AK1001" s="1643"/>
      <c r="AL1001" s="1643"/>
      <c r="AM1001" s="1643"/>
    </row>
    <row r="1002" spans="1:39" ht="15.75" customHeight="1" x14ac:dyDescent="0.3">
      <c r="A1002" s="1643"/>
      <c r="B1002" s="1643"/>
      <c r="C1002" s="1643"/>
      <c r="D1002" s="1643"/>
      <c r="E1002" s="1643"/>
      <c r="F1002" s="1643"/>
      <c r="G1002" s="1643"/>
      <c r="H1002" s="1643"/>
      <c r="I1002" s="1643"/>
      <c r="J1002" s="1643"/>
      <c r="K1002" s="1643"/>
      <c r="L1002" s="1643"/>
      <c r="M1002" s="1643"/>
      <c r="N1002" s="1643"/>
      <c r="O1002" s="1643"/>
      <c r="P1002" s="1643"/>
      <c r="Q1002" s="1643"/>
      <c r="R1002" s="1643"/>
      <c r="S1002" s="1643"/>
      <c r="T1002" s="1643"/>
      <c r="U1002" s="1643"/>
      <c r="V1002" s="1643"/>
      <c r="W1002" s="1643"/>
      <c r="X1002" s="1643"/>
      <c r="Y1002" s="1643"/>
      <c r="Z1002" s="1643"/>
      <c r="AA1002" s="1643"/>
      <c r="AB1002" s="1643"/>
      <c r="AC1002" s="1643"/>
      <c r="AD1002" s="1643"/>
      <c r="AE1002" s="1643"/>
      <c r="AF1002" s="1643"/>
      <c r="AG1002" s="1643"/>
      <c r="AH1002" s="1643"/>
      <c r="AI1002" s="1643"/>
      <c r="AJ1002" s="1643"/>
      <c r="AK1002" s="1643"/>
      <c r="AL1002" s="1643"/>
      <c r="AM1002" s="1643"/>
    </row>
    <row r="1003" spans="1:39" ht="15.75" customHeight="1" x14ac:dyDescent="0.3">
      <c r="A1003" s="1643"/>
      <c r="B1003" s="1643"/>
      <c r="C1003" s="1643"/>
      <c r="D1003" s="1643"/>
      <c r="E1003" s="1643"/>
      <c r="F1003" s="1643"/>
      <c r="G1003" s="1643"/>
      <c r="H1003" s="1643"/>
      <c r="I1003" s="1643"/>
      <c r="J1003" s="1643"/>
      <c r="K1003" s="1643"/>
      <c r="L1003" s="1643"/>
      <c r="M1003" s="1643"/>
      <c r="N1003" s="1643"/>
      <c r="O1003" s="1643"/>
      <c r="P1003" s="1643"/>
      <c r="Q1003" s="1643"/>
      <c r="R1003" s="1643"/>
      <c r="S1003" s="1643"/>
      <c r="T1003" s="1643"/>
      <c r="U1003" s="1643"/>
      <c r="V1003" s="1643"/>
      <c r="W1003" s="1643"/>
      <c r="X1003" s="1643"/>
      <c r="Y1003" s="1643"/>
      <c r="Z1003" s="1643"/>
      <c r="AA1003" s="1643"/>
      <c r="AB1003" s="1643"/>
      <c r="AC1003" s="1643"/>
      <c r="AD1003" s="1643"/>
      <c r="AE1003" s="1643"/>
      <c r="AF1003" s="1643"/>
      <c r="AG1003" s="1643"/>
      <c r="AH1003" s="1643"/>
      <c r="AI1003" s="1643"/>
      <c r="AJ1003" s="1643"/>
      <c r="AK1003" s="1643"/>
      <c r="AL1003" s="1643"/>
      <c r="AM1003" s="1643"/>
    </row>
    <row r="1004" spans="1:39" ht="15.75" customHeight="1" x14ac:dyDescent="0.3">
      <c r="A1004" s="1643"/>
      <c r="B1004" s="1643"/>
      <c r="C1004" s="1643"/>
      <c r="D1004" s="1643"/>
      <c r="E1004" s="1643"/>
      <c r="F1004" s="1643"/>
      <c r="G1004" s="1643"/>
      <c r="H1004" s="1643"/>
      <c r="I1004" s="1643"/>
      <c r="J1004" s="1643"/>
      <c r="K1004" s="1643"/>
      <c r="L1004" s="1643"/>
      <c r="M1004" s="1643"/>
      <c r="N1004" s="1643"/>
      <c r="O1004" s="1643"/>
      <c r="P1004" s="1643"/>
      <c r="Q1004" s="1643"/>
      <c r="R1004" s="1643"/>
      <c r="S1004" s="1643"/>
      <c r="T1004" s="1643"/>
      <c r="U1004" s="1643"/>
      <c r="V1004" s="1643"/>
      <c r="W1004" s="1643"/>
      <c r="X1004" s="1643"/>
      <c r="Y1004" s="1643"/>
      <c r="Z1004" s="1643"/>
      <c r="AA1004" s="1643"/>
      <c r="AB1004" s="1643"/>
      <c r="AC1004" s="1643"/>
      <c r="AD1004" s="1643"/>
      <c r="AE1004" s="1643"/>
      <c r="AF1004" s="1643"/>
      <c r="AG1004" s="1643"/>
      <c r="AH1004" s="1643"/>
      <c r="AI1004" s="1643"/>
      <c r="AJ1004" s="1643"/>
      <c r="AK1004" s="1643"/>
      <c r="AL1004" s="1643"/>
      <c r="AM1004" s="1643"/>
    </row>
    <row r="1005" spans="1:39" ht="15.75" customHeight="1" x14ac:dyDescent="0.3">
      <c r="A1005" s="1643"/>
      <c r="B1005" s="1643"/>
      <c r="C1005" s="1643"/>
      <c r="D1005" s="1643"/>
      <c r="E1005" s="1643"/>
      <c r="F1005" s="1643"/>
      <c r="G1005" s="1643"/>
      <c r="H1005" s="1643"/>
      <c r="I1005" s="1643"/>
      <c r="J1005" s="1643"/>
      <c r="K1005" s="1643"/>
      <c r="L1005" s="1643"/>
      <c r="M1005" s="1643"/>
      <c r="N1005" s="1643"/>
      <c r="O1005" s="1643"/>
      <c r="P1005" s="1643"/>
      <c r="Q1005" s="1643"/>
      <c r="R1005" s="1643"/>
      <c r="S1005" s="1643"/>
      <c r="T1005" s="1643"/>
      <c r="U1005" s="1643"/>
      <c r="V1005" s="1643"/>
      <c r="W1005" s="1643"/>
      <c r="X1005" s="1643"/>
      <c r="Y1005" s="1643"/>
      <c r="Z1005" s="1643"/>
      <c r="AA1005" s="1643"/>
      <c r="AB1005" s="1643"/>
      <c r="AC1005" s="1643"/>
      <c r="AD1005" s="1643"/>
      <c r="AE1005" s="1643"/>
      <c r="AF1005" s="1643"/>
      <c r="AG1005" s="1643"/>
      <c r="AH1005" s="1643"/>
      <c r="AI1005" s="1643"/>
      <c r="AJ1005" s="1643"/>
      <c r="AK1005" s="1643"/>
      <c r="AL1005" s="1643"/>
      <c r="AM1005" s="1643"/>
    </row>
    <row r="1006" spans="1:39" ht="15.75" customHeight="1" x14ac:dyDescent="0.3">
      <c r="A1006" s="1643"/>
      <c r="B1006" s="1643"/>
      <c r="C1006" s="1643"/>
      <c r="D1006" s="1643"/>
      <c r="E1006" s="1643"/>
      <c r="F1006" s="1643"/>
      <c r="G1006" s="1643"/>
      <c r="H1006" s="1643"/>
      <c r="I1006" s="1643"/>
      <c r="J1006" s="1643"/>
      <c r="K1006" s="1643"/>
      <c r="L1006" s="1643"/>
      <c r="M1006" s="1643"/>
      <c r="N1006" s="1643"/>
      <c r="O1006" s="1643"/>
      <c r="P1006" s="1643"/>
      <c r="Q1006" s="1643"/>
      <c r="R1006" s="1643"/>
      <c r="S1006" s="1643"/>
      <c r="T1006" s="1643"/>
      <c r="U1006" s="1643"/>
      <c r="V1006" s="1643"/>
      <c r="W1006" s="1643"/>
      <c r="X1006" s="1643"/>
      <c r="Y1006" s="1643"/>
      <c r="Z1006" s="1643"/>
      <c r="AA1006" s="1643"/>
      <c r="AB1006" s="1643"/>
      <c r="AC1006" s="1643"/>
      <c r="AD1006" s="1643"/>
      <c r="AE1006" s="1643"/>
      <c r="AF1006" s="1643"/>
      <c r="AG1006" s="1643"/>
      <c r="AH1006" s="1643"/>
      <c r="AI1006" s="1643"/>
      <c r="AJ1006" s="1643"/>
      <c r="AK1006" s="1643"/>
      <c r="AL1006" s="1643"/>
      <c r="AM1006" s="1643"/>
    </row>
    <row r="1007" spans="1:39" ht="15.75" customHeight="1" x14ac:dyDescent="0.3">
      <c r="A1007" s="1643"/>
      <c r="B1007" s="1643"/>
      <c r="C1007" s="1643"/>
      <c r="D1007" s="1643"/>
      <c r="E1007" s="1643"/>
      <c r="F1007" s="1643"/>
      <c r="G1007" s="1643"/>
      <c r="H1007" s="1643"/>
      <c r="I1007" s="1643"/>
      <c r="J1007" s="1643"/>
      <c r="K1007" s="1643"/>
      <c r="L1007" s="1643"/>
      <c r="M1007" s="1643"/>
      <c r="N1007" s="1643"/>
      <c r="O1007" s="1643"/>
      <c r="P1007" s="1643"/>
      <c r="Q1007" s="1643"/>
      <c r="R1007" s="1643"/>
      <c r="S1007" s="1643"/>
      <c r="T1007" s="1643"/>
      <c r="U1007" s="1643"/>
      <c r="V1007" s="1643"/>
      <c r="W1007" s="1643"/>
      <c r="X1007" s="1643"/>
      <c r="Y1007" s="1643"/>
      <c r="Z1007" s="1643"/>
      <c r="AA1007" s="1643"/>
      <c r="AB1007" s="1643"/>
      <c r="AC1007" s="1643"/>
      <c r="AD1007" s="1643"/>
      <c r="AE1007" s="1643"/>
      <c r="AF1007" s="1643"/>
      <c r="AG1007" s="1643"/>
      <c r="AH1007" s="1643"/>
      <c r="AI1007" s="1643"/>
      <c r="AJ1007" s="1643"/>
      <c r="AK1007" s="1643"/>
      <c r="AL1007" s="1643"/>
      <c r="AM1007" s="1643"/>
    </row>
    <row r="1008" spans="1:39" ht="15.75" customHeight="1" x14ac:dyDescent="0.3">
      <c r="A1008" s="1643"/>
      <c r="B1008" s="1643"/>
      <c r="C1008" s="1643"/>
      <c r="D1008" s="1643"/>
      <c r="E1008" s="1643"/>
      <c r="F1008" s="1643"/>
      <c r="G1008" s="1643"/>
      <c r="H1008" s="1643"/>
      <c r="I1008" s="1643"/>
      <c r="J1008" s="1643"/>
      <c r="K1008" s="1643"/>
      <c r="L1008" s="1643"/>
      <c r="M1008" s="1643"/>
      <c r="N1008" s="1643"/>
      <c r="O1008" s="1643"/>
      <c r="P1008" s="1643"/>
      <c r="Q1008" s="1643"/>
      <c r="R1008" s="1643"/>
      <c r="S1008" s="1643"/>
      <c r="T1008" s="1643"/>
      <c r="U1008" s="1643"/>
      <c r="V1008" s="1643"/>
      <c r="W1008" s="1643"/>
      <c r="X1008" s="1643"/>
      <c r="Y1008" s="1643"/>
      <c r="Z1008" s="1643"/>
      <c r="AA1008" s="1643"/>
      <c r="AB1008" s="1643"/>
      <c r="AC1008" s="1643"/>
      <c r="AD1008" s="1643"/>
      <c r="AE1008" s="1643"/>
      <c r="AF1008" s="1643"/>
      <c r="AG1008" s="1643"/>
      <c r="AH1008" s="1643"/>
      <c r="AI1008" s="1643"/>
      <c r="AJ1008" s="1643"/>
      <c r="AK1008" s="1643"/>
      <c r="AL1008" s="1643"/>
      <c r="AM1008" s="1643"/>
    </row>
    <row r="1009" spans="1:39" ht="15.75" customHeight="1" x14ac:dyDescent="0.3">
      <c r="A1009" s="1643"/>
      <c r="B1009" s="1643"/>
      <c r="C1009" s="1643"/>
      <c r="D1009" s="1643"/>
      <c r="E1009" s="1643"/>
      <c r="F1009" s="1643"/>
      <c r="G1009" s="1643"/>
      <c r="H1009" s="1643"/>
      <c r="I1009" s="1643"/>
      <c r="J1009" s="1643"/>
      <c r="K1009" s="1643"/>
      <c r="L1009" s="1643"/>
      <c r="M1009" s="1643"/>
      <c r="N1009" s="1643"/>
      <c r="O1009" s="1643"/>
      <c r="P1009" s="1643"/>
      <c r="Q1009" s="1643"/>
      <c r="R1009" s="1643"/>
      <c r="S1009" s="1643"/>
      <c r="T1009" s="1643"/>
      <c r="U1009" s="1643"/>
      <c r="V1009" s="1643"/>
      <c r="W1009" s="1643"/>
      <c r="X1009" s="1643"/>
      <c r="Y1009" s="1643"/>
      <c r="Z1009" s="1643"/>
      <c r="AA1009" s="1643"/>
      <c r="AB1009" s="1643"/>
      <c r="AC1009" s="1643"/>
      <c r="AD1009" s="1643"/>
      <c r="AE1009" s="1643"/>
      <c r="AF1009" s="1643"/>
      <c r="AG1009" s="1643"/>
      <c r="AH1009" s="1643"/>
      <c r="AI1009" s="1643"/>
      <c r="AJ1009" s="1643"/>
      <c r="AK1009" s="1643"/>
      <c r="AL1009" s="1643"/>
      <c r="AM1009" s="1643"/>
    </row>
    <row r="1010" spans="1:39" ht="15.75" customHeight="1" x14ac:dyDescent="0.3">
      <c r="A1010" s="1643"/>
      <c r="B1010" s="1643"/>
      <c r="C1010" s="1643"/>
      <c r="D1010" s="1643"/>
      <c r="E1010" s="1643"/>
      <c r="F1010" s="1643"/>
      <c r="G1010" s="1643"/>
      <c r="H1010" s="1643"/>
      <c r="I1010" s="1643"/>
      <c r="J1010" s="1643"/>
      <c r="K1010" s="1643"/>
      <c r="L1010" s="1643"/>
      <c r="M1010" s="1643"/>
      <c r="N1010" s="1643"/>
      <c r="O1010" s="1643"/>
      <c r="P1010" s="1643"/>
      <c r="Q1010" s="1643"/>
      <c r="R1010" s="1643"/>
      <c r="S1010" s="1643"/>
      <c r="T1010" s="1643"/>
      <c r="U1010" s="1643"/>
      <c r="V1010" s="1643"/>
      <c r="W1010" s="1643"/>
      <c r="X1010" s="1643"/>
      <c r="Y1010" s="1643"/>
      <c r="Z1010" s="1643"/>
      <c r="AA1010" s="1643"/>
      <c r="AB1010" s="1643"/>
      <c r="AC1010" s="1643"/>
      <c r="AD1010" s="1643"/>
      <c r="AE1010" s="1643"/>
      <c r="AF1010" s="1643"/>
      <c r="AG1010" s="1643"/>
      <c r="AH1010" s="1643"/>
      <c r="AI1010" s="1643"/>
      <c r="AJ1010" s="1643"/>
      <c r="AK1010" s="1643"/>
      <c r="AL1010" s="1643"/>
      <c r="AM1010" s="1643"/>
    </row>
    <row r="1011" spans="1:39" ht="15.75" customHeight="1" x14ac:dyDescent="0.3">
      <c r="A1011" s="1643"/>
      <c r="B1011" s="1643"/>
      <c r="C1011" s="1643"/>
      <c r="D1011" s="1643"/>
      <c r="E1011" s="1643"/>
      <c r="F1011" s="1643"/>
      <c r="G1011" s="1643"/>
      <c r="H1011" s="1643"/>
      <c r="I1011" s="1643"/>
      <c r="J1011" s="1643"/>
      <c r="K1011" s="1643"/>
      <c r="L1011" s="1643"/>
      <c r="M1011" s="1643"/>
      <c r="N1011" s="1643"/>
      <c r="O1011" s="1643"/>
      <c r="P1011" s="1643"/>
      <c r="Q1011" s="1643"/>
      <c r="R1011" s="1643"/>
      <c r="S1011" s="1643"/>
      <c r="T1011" s="1643"/>
      <c r="U1011" s="1643"/>
      <c r="V1011" s="1643"/>
      <c r="W1011" s="1643"/>
      <c r="X1011" s="1643"/>
      <c r="Y1011" s="1643"/>
      <c r="Z1011" s="1643"/>
      <c r="AA1011" s="1643"/>
      <c r="AB1011" s="1643"/>
      <c r="AC1011" s="1643"/>
      <c r="AD1011" s="1643"/>
      <c r="AE1011" s="1643"/>
      <c r="AF1011" s="1643"/>
      <c r="AG1011" s="1643"/>
      <c r="AH1011" s="1643"/>
      <c r="AI1011" s="1643"/>
      <c r="AJ1011" s="1643"/>
      <c r="AK1011" s="1643"/>
      <c r="AL1011" s="1643"/>
      <c r="AM1011" s="1643"/>
    </row>
    <row r="1012" spans="1:39" ht="15.75" customHeight="1" x14ac:dyDescent="0.3">
      <c r="A1012" s="1643"/>
      <c r="B1012" s="1643"/>
      <c r="C1012" s="1643"/>
      <c r="D1012" s="1643"/>
      <c r="E1012" s="1643"/>
      <c r="F1012" s="1643"/>
      <c r="G1012" s="1643"/>
      <c r="H1012" s="1643"/>
      <c r="I1012" s="1643"/>
      <c r="J1012" s="1643"/>
      <c r="K1012" s="1643"/>
      <c r="L1012" s="1643"/>
      <c r="M1012" s="1643"/>
      <c r="N1012" s="1643"/>
      <c r="O1012" s="1643"/>
      <c r="P1012" s="1643"/>
      <c r="Q1012" s="1643"/>
      <c r="R1012" s="1643"/>
      <c r="S1012" s="1643"/>
      <c r="T1012" s="1643"/>
      <c r="U1012" s="1643"/>
      <c r="V1012" s="1643"/>
      <c r="W1012" s="1643"/>
      <c r="X1012" s="1643"/>
      <c r="Y1012" s="1643"/>
      <c r="Z1012" s="1643"/>
      <c r="AA1012" s="1643"/>
      <c r="AB1012" s="1643"/>
      <c r="AC1012" s="1643"/>
      <c r="AD1012" s="1643"/>
      <c r="AE1012" s="1643"/>
      <c r="AF1012" s="1643"/>
      <c r="AG1012" s="1643"/>
      <c r="AH1012" s="1643"/>
      <c r="AI1012" s="1643"/>
      <c r="AJ1012" s="1643"/>
      <c r="AK1012" s="1643"/>
      <c r="AL1012" s="1643"/>
      <c r="AM1012" s="1643"/>
    </row>
    <row r="1013" spans="1:39" ht="15.75" customHeight="1" x14ac:dyDescent="0.3">
      <c r="A1013" s="1643"/>
      <c r="B1013" s="1643"/>
      <c r="C1013" s="1643"/>
      <c r="D1013" s="1643"/>
      <c r="E1013" s="1643"/>
      <c r="F1013" s="1643"/>
      <c r="G1013" s="1643"/>
      <c r="H1013" s="1643"/>
      <c r="I1013" s="1643"/>
      <c r="J1013" s="1643"/>
      <c r="K1013" s="1643"/>
      <c r="L1013" s="1643"/>
      <c r="M1013" s="1643"/>
      <c r="N1013" s="1643"/>
      <c r="O1013" s="1643"/>
      <c r="P1013" s="1643"/>
      <c r="Q1013" s="1643"/>
      <c r="R1013" s="1643"/>
      <c r="S1013" s="1643"/>
      <c r="T1013" s="1643"/>
      <c r="U1013" s="1643"/>
      <c r="V1013" s="1643"/>
      <c r="W1013" s="1643"/>
      <c r="X1013" s="1643"/>
      <c r="Y1013" s="1643"/>
      <c r="Z1013" s="1643"/>
      <c r="AA1013" s="1643"/>
      <c r="AB1013" s="1643"/>
      <c r="AC1013" s="1643"/>
      <c r="AD1013" s="1643"/>
      <c r="AE1013" s="1643"/>
      <c r="AF1013" s="1643"/>
      <c r="AG1013" s="1643"/>
      <c r="AH1013" s="1643"/>
      <c r="AI1013" s="1643"/>
      <c r="AJ1013" s="1643"/>
      <c r="AK1013" s="1643"/>
      <c r="AL1013" s="1643"/>
      <c r="AM1013" s="1643"/>
    </row>
    <row r="1014" spans="1:39" ht="15.75" customHeight="1" x14ac:dyDescent="0.3">
      <c r="A1014" s="1643"/>
      <c r="B1014" s="1643"/>
      <c r="C1014" s="1643"/>
      <c r="D1014" s="1643"/>
      <c r="E1014" s="1643"/>
      <c r="F1014" s="1643"/>
      <c r="G1014" s="1643"/>
      <c r="H1014" s="1643"/>
      <c r="I1014" s="1643"/>
      <c r="J1014" s="1643"/>
      <c r="K1014" s="1643"/>
      <c r="L1014" s="1643"/>
      <c r="M1014" s="1643"/>
      <c r="N1014" s="1643"/>
      <c r="O1014" s="1643"/>
      <c r="P1014" s="1643"/>
      <c r="Q1014" s="1643"/>
      <c r="R1014" s="1643"/>
      <c r="S1014" s="1643"/>
      <c r="T1014" s="1643"/>
      <c r="U1014" s="1643"/>
      <c r="V1014" s="1643"/>
      <c r="W1014" s="1643"/>
      <c r="X1014" s="1643"/>
      <c r="Y1014" s="1643"/>
      <c r="Z1014" s="1643"/>
      <c r="AA1014" s="1643"/>
      <c r="AB1014" s="1643"/>
      <c r="AC1014" s="1643"/>
      <c r="AD1014" s="1643"/>
      <c r="AE1014" s="1643"/>
      <c r="AF1014" s="1643"/>
      <c r="AG1014" s="1643"/>
      <c r="AH1014" s="1643"/>
      <c r="AI1014" s="1643"/>
      <c r="AJ1014" s="1643"/>
      <c r="AK1014" s="1643"/>
      <c r="AL1014" s="1643"/>
      <c r="AM1014" s="1643"/>
    </row>
    <row r="1015" spans="1:39" ht="15.75" customHeight="1" x14ac:dyDescent="0.3">
      <c r="A1015" s="1643"/>
      <c r="B1015" s="1643"/>
      <c r="C1015" s="1643"/>
      <c r="D1015" s="1643"/>
      <c r="E1015" s="1643"/>
      <c r="F1015" s="1643"/>
      <c r="G1015" s="1643"/>
      <c r="H1015" s="1643"/>
      <c r="I1015" s="1643"/>
      <c r="J1015" s="1643"/>
      <c r="K1015" s="1643"/>
      <c r="L1015" s="1643"/>
      <c r="M1015" s="1643"/>
      <c r="N1015" s="1643"/>
      <c r="O1015" s="1643"/>
      <c r="P1015" s="1643"/>
      <c r="Q1015" s="1643"/>
      <c r="R1015" s="1643"/>
      <c r="S1015" s="1643"/>
      <c r="T1015" s="1643"/>
      <c r="U1015" s="1643"/>
      <c r="V1015" s="1643"/>
      <c r="W1015" s="1643"/>
      <c r="X1015" s="1643"/>
      <c r="Y1015" s="1643"/>
      <c r="Z1015" s="1643"/>
      <c r="AA1015" s="1643"/>
      <c r="AB1015" s="1643"/>
      <c r="AC1015" s="1643"/>
      <c r="AD1015" s="1643"/>
      <c r="AE1015" s="1643"/>
      <c r="AF1015" s="1643"/>
      <c r="AG1015" s="1643"/>
      <c r="AH1015" s="1643"/>
      <c r="AI1015" s="1643"/>
      <c r="AJ1015" s="1643"/>
      <c r="AK1015" s="1643"/>
      <c r="AL1015" s="1643"/>
      <c r="AM1015" s="1643"/>
    </row>
    <row r="1016" spans="1:39" ht="15.75" customHeight="1" x14ac:dyDescent="0.3">
      <c r="A1016" s="1643"/>
      <c r="B1016" s="1643"/>
      <c r="C1016" s="1643"/>
      <c r="D1016" s="1643"/>
      <c r="E1016" s="1643"/>
      <c r="F1016" s="1643"/>
      <c r="G1016" s="1643"/>
      <c r="H1016" s="1643"/>
      <c r="I1016" s="1643"/>
      <c r="J1016" s="1643"/>
      <c r="K1016" s="1643"/>
      <c r="L1016" s="1643"/>
      <c r="M1016" s="1643"/>
      <c r="N1016" s="1643"/>
      <c r="O1016" s="1643"/>
      <c r="P1016" s="1643"/>
      <c r="Q1016" s="1643"/>
      <c r="R1016" s="1643"/>
      <c r="S1016" s="1643"/>
      <c r="T1016" s="1643"/>
      <c r="U1016" s="1643"/>
      <c r="V1016" s="1643"/>
      <c r="W1016" s="1643"/>
      <c r="X1016" s="1643"/>
      <c r="Y1016" s="1643"/>
      <c r="Z1016" s="1643"/>
      <c r="AA1016" s="1643"/>
      <c r="AB1016" s="1643"/>
      <c r="AC1016" s="1643"/>
      <c r="AD1016" s="1643"/>
      <c r="AE1016" s="1643"/>
      <c r="AF1016" s="1643"/>
      <c r="AG1016" s="1643"/>
      <c r="AH1016" s="1643"/>
      <c r="AI1016" s="1643"/>
      <c r="AJ1016" s="1643"/>
      <c r="AK1016" s="1643"/>
      <c r="AL1016" s="1643"/>
      <c r="AM1016" s="1643"/>
    </row>
    <row r="1017" spans="1:39" ht="15.75" customHeight="1" x14ac:dyDescent="0.3">
      <c r="A1017" s="1643"/>
      <c r="B1017" s="1643"/>
      <c r="C1017" s="1643"/>
      <c r="D1017" s="1643"/>
      <c r="E1017" s="1643"/>
      <c r="F1017" s="1643"/>
      <c r="G1017" s="1643"/>
      <c r="H1017" s="1643"/>
      <c r="I1017" s="1643"/>
      <c r="J1017" s="1643"/>
      <c r="K1017" s="1643"/>
      <c r="L1017" s="1643"/>
      <c r="M1017" s="1643"/>
      <c r="N1017" s="1643"/>
      <c r="O1017" s="1643"/>
      <c r="P1017" s="1643"/>
      <c r="Q1017" s="1643"/>
      <c r="R1017" s="1643"/>
      <c r="S1017" s="1643"/>
      <c r="T1017" s="1643"/>
      <c r="U1017" s="1643"/>
      <c r="V1017" s="1643"/>
      <c r="W1017" s="1643"/>
      <c r="X1017" s="1643"/>
      <c r="Y1017" s="1643"/>
      <c r="Z1017" s="1643"/>
      <c r="AA1017" s="1643"/>
      <c r="AB1017" s="1643"/>
      <c r="AC1017" s="1643"/>
      <c r="AD1017" s="1643"/>
      <c r="AE1017" s="1643"/>
      <c r="AF1017" s="1643"/>
      <c r="AG1017" s="1643"/>
      <c r="AH1017" s="1643"/>
      <c r="AI1017" s="1643"/>
      <c r="AJ1017" s="1643"/>
      <c r="AK1017" s="1643"/>
      <c r="AL1017" s="1643"/>
      <c r="AM1017" s="1643"/>
    </row>
    <row r="1018" spans="1:39" ht="15.75" customHeight="1" x14ac:dyDescent="0.3">
      <c r="A1018" s="1643"/>
      <c r="B1018" s="1643"/>
      <c r="C1018" s="1643"/>
      <c r="D1018" s="1643"/>
      <c r="E1018" s="1643"/>
      <c r="F1018" s="1643"/>
      <c r="G1018" s="1643"/>
      <c r="H1018" s="1643"/>
      <c r="I1018" s="1643"/>
      <c r="J1018" s="1643"/>
      <c r="K1018" s="1643"/>
      <c r="L1018" s="1643"/>
      <c r="M1018" s="1643"/>
      <c r="N1018" s="1643"/>
      <c r="O1018" s="1643"/>
      <c r="P1018" s="1643"/>
      <c r="Q1018" s="1643"/>
      <c r="R1018" s="1643"/>
      <c r="S1018" s="1643"/>
      <c r="T1018" s="1643"/>
      <c r="U1018" s="1643"/>
      <c r="V1018" s="1643"/>
      <c r="W1018" s="1643"/>
      <c r="X1018" s="1643"/>
      <c r="Y1018" s="1643"/>
      <c r="Z1018" s="1643"/>
      <c r="AA1018" s="1643"/>
      <c r="AB1018" s="1643"/>
      <c r="AC1018" s="1643"/>
      <c r="AD1018" s="1643"/>
      <c r="AE1018" s="1643"/>
      <c r="AF1018" s="1643"/>
      <c r="AG1018" s="1643"/>
      <c r="AH1018" s="1643"/>
      <c r="AI1018" s="1643"/>
      <c r="AJ1018" s="1643"/>
      <c r="AK1018" s="1643"/>
      <c r="AL1018" s="1643"/>
      <c r="AM1018" s="1643"/>
    </row>
    <row r="1019" spans="1:39" ht="15.75" customHeight="1" x14ac:dyDescent="0.3">
      <c r="A1019" s="1643"/>
      <c r="B1019" s="1643"/>
      <c r="C1019" s="1643"/>
      <c r="D1019" s="1643"/>
      <c r="E1019" s="1643"/>
      <c r="F1019" s="1643"/>
      <c r="G1019" s="1643"/>
      <c r="H1019" s="1643"/>
      <c r="I1019" s="1643"/>
      <c r="J1019" s="1643"/>
      <c r="K1019" s="1643"/>
      <c r="L1019" s="1643"/>
      <c r="M1019" s="1643"/>
      <c r="N1019" s="1643"/>
      <c r="O1019" s="1643"/>
      <c r="P1019" s="1643"/>
      <c r="Q1019" s="1643"/>
      <c r="R1019" s="1643"/>
      <c r="S1019" s="1643"/>
      <c r="T1019" s="1643"/>
      <c r="U1019" s="1643"/>
      <c r="V1019" s="1643"/>
      <c r="W1019" s="1643"/>
      <c r="X1019" s="1643"/>
      <c r="Y1019" s="1643"/>
      <c r="Z1019" s="1643"/>
      <c r="AA1019" s="1643"/>
      <c r="AB1019" s="1643"/>
      <c r="AC1019" s="1643"/>
      <c r="AD1019" s="1643"/>
      <c r="AE1019" s="1643"/>
      <c r="AF1019" s="1643"/>
      <c r="AG1019" s="1643"/>
      <c r="AH1019" s="1643"/>
      <c r="AI1019" s="1643"/>
      <c r="AJ1019" s="1643"/>
      <c r="AK1019" s="1643"/>
      <c r="AL1019" s="1643"/>
      <c r="AM1019" s="1643"/>
    </row>
    <row r="1020" spans="1:39" ht="15.75" customHeight="1" x14ac:dyDescent="0.3">
      <c r="A1020" s="1643"/>
      <c r="B1020" s="1643"/>
      <c r="C1020" s="1643"/>
      <c r="D1020" s="1643"/>
      <c r="E1020" s="1643"/>
      <c r="F1020" s="1643"/>
      <c r="G1020" s="1643"/>
      <c r="H1020" s="1643"/>
      <c r="I1020" s="1643"/>
      <c r="J1020" s="1643"/>
      <c r="K1020" s="1643"/>
      <c r="L1020" s="1643"/>
      <c r="M1020" s="1643"/>
      <c r="N1020" s="1643"/>
      <c r="O1020" s="1643"/>
      <c r="P1020" s="1643"/>
      <c r="Q1020" s="1643"/>
      <c r="R1020" s="1643"/>
      <c r="S1020" s="1643"/>
      <c r="T1020" s="1643"/>
      <c r="U1020" s="1643"/>
      <c r="V1020" s="1643"/>
      <c r="W1020" s="1643"/>
      <c r="X1020" s="1643"/>
      <c r="Y1020" s="1643"/>
      <c r="Z1020" s="1643"/>
      <c r="AA1020" s="1643"/>
      <c r="AB1020" s="1643"/>
      <c r="AC1020" s="1643"/>
      <c r="AD1020" s="1643"/>
      <c r="AE1020" s="1643"/>
      <c r="AF1020" s="1643"/>
      <c r="AG1020" s="1643"/>
      <c r="AH1020" s="1643"/>
      <c r="AI1020" s="1643"/>
      <c r="AJ1020" s="1643"/>
      <c r="AK1020" s="1643"/>
      <c r="AL1020" s="1643"/>
      <c r="AM1020" s="1643"/>
    </row>
    <row r="1021" spans="1:39" ht="15.75" customHeight="1" x14ac:dyDescent="0.3">
      <c r="A1021" s="1643"/>
      <c r="B1021" s="1643"/>
      <c r="C1021" s="1643"/>
      <c r="D1021" s="1643"/>
      <c r="E1021" s="1643"/>
      <c r="F1021" s="1643"/>
      <c r="G1021" s="1643"/>
      <c r="H1021" s="1643"/>
      <c r="I1021" s="1643"/>
      <c r="J1021" s="1643"/>
      <c r="K1021" s="1643"/>
      <c r="L1021" s="1643"/>
      <c r="M1021" s="1643"/>
      <c r="N1021" s="1643"/>
      <c r="O1021" s="1643"/>
      <c r="P1021" s="1643"/>
      <c r="Q1021" s="1643"/>
      <c r="R1021" s="1643"/>
      <c r="S1021" s="1643"/>
      <c r="T1021" s="1643"/>
      <c r="U1021" s="1643"/>
      <c r="V1021" s="1643"/>
      <c r="W1021" s="1643"/>
      <c r="X1021" s="1643"/>
      <c r="Y1021" s="1643"/>
      <c r="Z1021" s="1643"/>
      <c r="AA1021" s="1643"/>
      <c r="AB1021" s="1643"/>
      <c r="AC1021" s="1643"/>
      <c r="AD1021" s="1643"/>
      <c r="AE1021" s="1643"/>
      <c r="AF1021" s="1643"/>
      <c r="AG1021" s="1643"/>
      <c r="AH1021" s="1643"/>
      <c r="AI1021" s="1643"/>
      <c r="AJ1021" s="1643"/>
      <c r="AK1021" s="1643"/>
      <c r="AL1021" s="1643"/>
      <c r="AM1021" s="1643"/>
    </row>
    <row r="1022" spans="1:39" ht="15.75" customHeight="1" x14ac:dyDescent="0.3">
      <c r="A1022" s="1643"/>
      <c r="B1022" s="1643"/>
      <c r="C1022" s="1643"/>
      <c r="D1022" s="1643"/>
      <c r="E1022" s="1643"/>
      <c r="F1022" s="1643"/>
      <c r="G1022" s="1643"/>
      <c r="H1022" s="1643"/>
      <c r="I1022" s="1643"/>
      <c r="J1022" s="1643"/>
      <c r="K1022" s="1643"/>
      <c r="L1022" s="1643"/>
      <c r="M1022" s="1643"/>
      <c r="N1022" s="1643"/>
      <c r="O1022" s="1643"/>
      <c r="P1022" s="1643"/>
      <c r="Q1022" s="1643"/>
      <c r="R1022" s="1643"/>
      <c r="S1022" s="1643"/>
      <c r="T1022" s="1643"/>
      <c r="U1022" s="1643"/>
      <c r="V1022" s="1643"/>
      <c r="W1022" s="1643"/>
      <c r="X1022" s="1643"/>
      <c r="Y1022" s="1643"/>
      <c r="Z1022" s="1643"/>
      <c r="AA1022" s="1643"/>
      <c r="AB1022" s="1643"/>
      <c r="AC1022" s="1643"/>
      <c r="AD1022" s="1643"/>
      <c r="AE1022" s="1643"/>
      <c r="AF1022" s="1643"/>
      <c r="AG1022" s="1643"/>
      <c r="AH1022" s="1643"/>
      <c r="AI1022" s="1643"/>
      <c r="AJ1022" s="1643"/>
      <c r="AK1022" s="1643"/>
      <c r="AL1022" s="1643"/>
      <c r="AM1022" s="1643"/>
    </row>
    <row r="1023" spans="1:39" ht="15.75" customHeight="1" x14ac:dyDescent="0.3">
      <c r="A1023" s="1643"/>
      <c r="B1023" s="1643"/>
      <c r="C1023" s="1643"/>
      <c r="D1023" s="1643"/>
      <c r="E1023" s="1643"/>
      <c r="F1023" s="1643"/>
      <c r="G1023" s="1643"/>
      <c r="H1023" s="1643"/>
      <c r="I1023" s="1643"/>
      <c r="J1023" s="1643"/>
      <c r="K1023" s="1643"/>
      <c r="L1023" s="1643"/>
      <c r="M1023" s="1643"/>
      <c r="N1023" s="1643"/>
      <c r="O1023" s="1643"/>
      <c r="P1023" s="1643"/>
      <c r="Q1023" s="1643"/>
      <c r="R1023" s="1643"/>
      <c r="S1023" s="1643"/>
      <c r="T1023" s="1643"/>
      <c r="U1023" s="1643"/>
      <c r="V1023" s="1643"/>
      <c r="W1023" s="1643"/>
      <c r="X1023" s="1643"/>
      <c r="Y1023" s="1643"/>
      <c r="Z1023" s="1643"/>
      <c r="AA1023" s="1643"/>
      <c r="AB1023" s="1643"/>
      <c r="AC1023" s="1643"/>
      <c r="AD1023" s="1643"/>
      <c r="AE1023" s="1643"/>
      <c r="AF1023" s="1643"/>
      <c r="AG1023" s="1643"/>
      <c r="AH1023" s="1643"/>
      <c r="AI1023" s="1643"/>
      <c r="AJ1023" s="1643"/>
      <c r="AK1023" s="1643"/>
      <c r="AL1023" s="1643"/>
      <c r="AM1023" s="1643"/>
    </row>
  </sheetData>
  <mergeCells count="5">
    <mergeCell ref="B3:I3"/>
    <mergeCell ref="AC3:AD3"/>
    <mergeCell ref="C34:E34"/>
    <mergeCell ref="B49:N49"/>
    <mergeCell ref="G51:H51"/>
  </mergeCells>
  <conditionalFormatting sqref="B49:N49">
    <cfRule type="cellIs" dxfId="1" priority="1" operator="equal">
      <formula>0</formula>
    </cfRule>
    <cfRule type="cellIs" dxfId="0" priority="2" operator="notEqual">
      <formula>0</formula>
    </cfRule>
  </conditionalFormatting>
  <pageMargins left="0.7" right="0.7" top="0.75" bottom="0.75" header="0" footer="0"/>
  <pageSetup orientation="landscape"/>
  <drawing r:id="rId1"/>
  <legacy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Z1000"/>
  <sheetViews>
    <sheetView workbookViewId="0"/>
  </sheetViews>
  <sheetFormatPr defaultColWidth="16.83203125" defaultRowHeight="15" customHeight="1" x14ac:dyDescent="0.2"/>
  <cols>
    <col min="1" max="2" width="9.33203125" customWidth="1"/>
    <col min="3" max="3" width="20.83203125" customWidth="1"/>
    <col min="4" max="4" width="15.5" customWidth="1"/>
    <col min="5" max="5" width="12.6640625" customWidth="1"/>
    <col min="6" max="6" width="9.33203125" customWidth="1"/>
    <col min="7" max="7" width="18.33203125" customWidth="1"/>
    <col min="8" max="8" width="9.33203125" customWidth="1"/>
    <col min="9" max="9" width="11" customWidth="1"/>
    <col min="10" max="10" width="12.6640625" customWidth="1"/>
    <col min="11" max="19" width="9.33203125" customWidth="1"/>
    <col min="20" max="24" width="8" customWidth="1"/>
  </cols>
  <sheetData>
    <row r="1" spans="1:26" x14ac:dyDescent="0.25">
      <c r="A1" s="3" t="s">
        <v>1522</v>
      </c>
      <c r="B1" s="16"/>
      <c r="C1" s="3"/>
      <c r="D1" s="3"/>
      <c r="E1" s="3"/>
      <c r="F1" s="3"/>
      <c r="G1" s="22"/>
      <c r="H1" s="3"/>
      <c r="I1" s="3"/>
      <c r="J1" s="3"/>
      <c r="K1" s="3"/>
      <c r="L1" s="3"/>
      <c r="M1" s="3"/>
      <c r="N1" s="3"/>
      <c r="O1" s="3"/>
      <c r="P1" s="3"/>
      <c r="Q1" s="3"/>
      <c r="R1" s="3"/>
      <c r="S1" s="3"/>
      <c r="T1" s="3"/>
      <c r="U1" s="3"/>
      <c r="V1" s="3"/>
      <c r="W1" s="3"/>
      <c r="X1" s="3"/>
      <c r="Y1" s="3"/>
      <c r="Z1" s="3"/>
    </row>
    <row r="2" spans="1:26" ht="125.25" customHeight="1" x14ac:dyDescent="0.25">
      <c r="A2" s="3"/>
      <c r="B2" s="1471"/>
      <c r="C2" s="1471"/>
      <c r="D2" s="954"/>
      <c r="E2" s="954"/>
      <c r="F2" s="954"/>
      <c r="G2" s="954"/>
      <c r="H2" s="1473"/>
      <c r="I2" s="3"/>
      <c r="J2" s="1473"/>
      <c r="K2" s="1473"/>
      <c r="L2" s="1473"/>
      <c r="M2" s="3"/>
      <c r="N2" s="3"/>
      <c r="O2" s="3"/>
      <c r="P2" s="3"/>
      <c r="Q2" s="3"/>
      <c r="R2" s="3"/>
      <c r="S2" s="3"/>
      <c r="T2" s="3"/>
      <c r="U2" s="3"/>
      <c r="V2" s="3"/>
      <c r="W2" s="3"/>
      <c r="X2" s="3"/>
      <c r="Y2" s="3"/>
      <c r="Z2" s="3"/>
    </row>
    <row r="3" spans="1:26" x14ac:dyDescent="0.25">
      <c r="A3" s="3"/>
      <c r="B3" s="1474"/>
      <c r="C3" s="1099"/>
      <c r="D3" s="1476" t="s">
        <v>686</v>
      </c>
      <c r="E3" s="3"/>
      <c r="F3" s="3"/>
      <c r="G3" s="3"/>
      <c r="H3" s="3"/>
      <c r="I3" s="3"/>
      <c r="J3" s="3"/>
      <c r="K3" s="3"/>
      <c r="L3" s="3"/>
      <c r="M3" s="3"/>
      <c r="N3" s="3"/>
      <c r="O3" s="3"/>
      <c r="P3" s="3"/>
      <c r="Q3" s="3"/>
      <c r="R3" s="3"/>
      <c r="S3" s="3"/>
      <c r="T3" s="3"/>
      <c r="U3" s="3"/>
      <c r="V3" s="3"/>
      <c r="W3" s="3"/>
      <c r="X3" s="3"/>
      <c r="Y3" s="3"/>
      <c r="Z3" s="3"/>
    </row>
    <row r="4" spans="1:26" ht="18" customHeight="1" x14ac:dyDescent="0.35">
      <c r="A4" s="3"/>
      <c r="B4" s="1477"/>
      <c r="C4" s="81"/>
      <c r="D4" s="1478" t="s">
        <v>1524</v>
      </c>
      <c r="E4" s="3"/>
      <c r="F4" s="3"/>
      <c r="G4" s="3"/>
      <c r="H4" s="3"/>
      <c r="I4" s="3"/>
      <c r="J4" s="3"/>
      <c r="K4" s="3"/>
      <c r="L4" s="3"/>
      <c r="M4" s="3"/>
      <c r="N4" s="3"/>
      <c r="O4" s="3"/>
      <c r="P4" s="3"/>
      <c r="Q4" s="3"/>
      <c r="R4" s="3"/>
      <c r="S4" s="3"/>
      <c r="T4" s="3"/>
      <c r="U4" s="3"/>
      <c r="V4" s="3"/>
      <c r="W4" s="3"/>
      <c r="X4" s="3"/>
      <c r="Y4" s="3"/>
      <c r="Z4" s="3"/>
    </row>
    <row r="5" spans="1:26" x14ac:dyDescent="0.25">
      <c r="A5" s="3"/>
      <c r="B5" s="1477"/>
      <c r="C5" s="58"/>
      <c r="D5" s="1113"/>
      <c r="E5" s="3"/>
      <c r="F5" s="3"/>
      <c r="G5" s="3"/>
      <c r="H5" s="3"/>
      <c r="I5" s="3"/>
      <c r="J5" s="3"/>
      <c r="K5" s="3"/>
      <c r="L5" s="3"/>
      <c r="M5" s="3"/>
      <c r="N5" s="3"/>
      <c r="O5" s="3"/>
      <c r="P5" s="3"/>
      <c r="Q5" s="3"/>
      <c r="R5" s="3"/>
      <c r="S5" s="3"/>
      <c r="T5" s="3"/>
      <c r="U5" s="3"/>
      <c r="V5" s="3"/>
      <c r="W5" s="3"/>
      <c r="X5" s="3"/>
      <c r="Y5" s="3"/>
      <c r="Z5" s="3"/>
    </row>
    <row r="6" spans="1:26" x14ac:dyDescent="0.25">
      <c r="A6" s="3"/>
      <c r="B6" s="1482"/>
      <c r="C6" s="204"/>
      <c r="D6" s="1113"/>
      <c r="E6" s="3"/>
      <c r="F6" s="3"/>
      <c r="G6" s="3"/>
      <c r="H6" s="3"/>
      <c r="I6" s="3"/>
      <c r="J6" s="3"/>
      <c r="K6" s="3"/>
      <c r="L6" s="3"/>
      <c r="M6" s="3"/>
      <c r="N6" s="3"/>
      <c r="O6" s="3"/>
      <c r="P6" s="3"/>
      <c r="Q6" s="3"/>
      <c r="R6" s="3"/>
      <c r="S6" s="3"/>
      <c r="T6" s="3"/>
      <c r="U6" s="3"/>
      <c r="V6" s="3"/>
      <c r="W6" s="3"/>
      <c r="X6" s="3"/>
      <c r="Y6" s="3"/>
      <c r="Z6" s="3"/>
    </row>
    <row r="7" spans="1:26" x14ac:dyDescent="0.25">
      <c r="A7" s="3"/>
      <c r="B7" s="1485">
        <v>2011</v>
      </c>
      <c r="C7" s="1040" t="s">
        <v>1525</v>
      </c>
      <c r="D7" s="1113">
        <v>3.3000000000000002E-2</v>
      </c>
      <c r="E7" s="170"/>
      <c r="F7" s="3"/>
      <c r="G7" s="3"/>
      <c r="H7" s="3"/>
      <c r="I7" s="3"/>
      <c r="J7" s="3"/>
      <c r="K7" s="3"/>
      <c r="L7" s="3"/>
      <c r="M7" s="3"/>
      <c r="N7" s="3"/>
      <c r="O7" s="3"/>
      <c r="P7" s="3"/>
      <c r="Q7" s="3"/>
      <c r="R7" s="3"/>
      <c r="S7" s="3"/>
      <c r="T7" s="3"/>
      <c r="U7" s="3"/>
      <c r="V7" s="3"/>
      <c r="W7" s="3"/>
      <c r="X7" s="3"/>
      <c r="Y7" s="3"/>
      <c r="Z7" s="3"/>
    </row>
    <row r="8" spans="1:26" x14ac:dyDescent="0.25">
      <c r="A8" s="3"/>
      <c r="B8" s="1505"/>
      <c r="C8" s="1122"/>
      <c r="D8" s="1128"/>
      <c r="E8" s="3"/>
      <c r="F8" s="3"/>
      <c r="G8" s="3"/>
      <c r="H8" s="3"/>
      <c r="I8" s="3"/>
      <c r="J8" s="3"/>
      <c r="K8" s="3"/>
      <c r="L8" s="3"/>
      <c r="M8" s="3"/>
      <c r="N8" s="3"/>
      <c r="O8" s="3"/>
      <c r="P8" s="3"/>
      <c r="Q8" s="3"/>
      <c r="R8" s="3"/>
      <c r="S8" s="3"/>
      <c r="T8" s="3"/>
      <c r="U8" s="3"/>
      <c r="V8" s="3"/>
      <c r="W8" s="3"/>
      <c r="X8" s="3"/>
      <c r="Y8" s="3"/>
      <c r="Z8" s="3"/>
    </row>
    <row r="9" spans="1:26" x14ac:dyDescent="0.25">
      <c r="A9" s="3"/>
      <c r="B9" s="3"/>
      <c r="C9" s="3"/>
      <c r="D9" s="3"/>
      <c r="E9" s="3"/>
      <c r="F9" s="3"/>
      <c r="G9" s="3"/>
      <c r="H9" s="3"/>
      <c r="I9" s="3"/>
      <c r="J9" s="3"/>
      <c r="K9" s="3"/>
      <c r="L9" s="3"/>
      <c r="M9" s="3"/>
      <c r="N9" s="3"/>
      <c r="O9" s="3"/>
      <c r="P9" s="3"/>
      <c r="Q9" s="3"/>
      <c r="R9" s="3"/>
      <c r="S9" s="3"/>
      <c r="T9" s="3"/>
      <c r="U9" s="3"/>
      <c r="V9" s="3"/>
      <c r="W9" s="3"/>
      <c r="X9" s="3"/>
      <c r="Y9" s="3"/>
      <c r="Z9" s="3"/>
    </row>
    <row r="10" spans="1:26" x14ac:dyDescent="0.25">
      <c r="A10" s="3"/>
      <c r="B10" s="3"/>
      <c r="C10" s="3"/>
      <c r="D10" s="3"/>
      <c r="E10" s="3"/>
      <c r="F10" s="3"/>
      <c r="G10" s="3"/>
      <c r="H10" s="3"/>
      <c r="I10" s="3"/>
      <c r="J10" s="3"/>
      <c r="K10" s="3"/>
      <c r="L10" s="3"/>
      <c r="M10" s="3"/>
      <c r="N10" s="3"/>
      <c r="O10" s="3"/>
      <c r="P10" s="3"/>
      <c r="Q10" s="3"/>
      <c r="R10" s="3"/>
      <c r="S10" s="3"/>
      <c r="T10" s="3"/>
      <c r="U10" s="3"/>
      <c r="V10" s="3"/>
      <c r="W10" s="3"/>
      <c r="X10" s="3"/>
      <c r="Y10" s="3"/>
      <c r="Z10" s="3"/>
    </row>
    <row r="11" spans="1:26" x14ac:dyDescent="0.25">
      <c r="A11" s="3"/>
      <c r="B11" s="3"/>
      <c r="C11" s="3"/>
      <c r="D11" s="3"/>
      <c r="E11" s="3"/>
      <c r="F11" s="3"/>
      <c r="G11" s="3"/>
      <c r="H11" s="3"/>
      <c r="I11" s="3"/>
      <c r="J11" s="3"/>
      <c r="K11" s="3"/>
      <c r="L11" s="3"/>
      <c r="M11" s="3"/>
      <c r="N11" s="3"/>
      <c r="O11" s="3"/>
      <c r="P11" s="3"/>
      <c r="Q11" s="3"/>
      <c r="R11" s="3"/>
      <c r="S11" s="3"/>
      <c r="T11" s="3"/>
      <c r="U11" s="3"/>
      <c r="V11" s="3"/>
      <c r="W11" s="3"/>
      <c r="X11" s="3"/>
      <c r="Y11" s="3"/>
      <c r="Z11" s="3"/>
    </row>
    <row r="12" spans="1:26" x14ac:dyDescent="0.25">
      <c r="A12" s="3"/>
      <c r="B12" s="3"/>
      <c r="C12" s="3"/>
      <c r="D12" s="3"/>
      <c r="E12" s="3"/>
      <c r="F12" s="3"/>
      <c r="G12" s="3"/>
      <c r="H12" s="3"/>
      <c r="I12" s="3"/>
      <c r="J12" s="3"/>
      <c r="K12" s="3"/>
      <c r="L12" s="3"/>
      <c r="M12" s="3"/>
      <c r="N12" s="3"/>
      <c r="O12" s="3"/>
      <c r="P12" s="3"/>
      <c r="Q12" s="3"/>
      <c r="R12" s="3"/>
      <c r="S12" s="3"/>
      <c r="T12" s="3"/>
      <c r="U12" s="3"/>
      <c r="V12" s="3"/>
      <c r="W12" s="3"/>
      <c r="X12" s="3"/>
      <c r="Y12" s="3"/>
      <c r="Z12" s="3"/>
    </row>
    <row r="13" spans="1:26" x14ac:dyDescent="0.25">
      <c r="A13" s="3"/>
      <c r="B13" s="3"/>
      <c r="C13" s="3"/>
      <c r="D13" s="3"/>
      <c r="E13" s="3"/>
      <c r="F13" s="3"/>
      <c r="G13" s="3"/>
      <c r="H13" s="3"/>
      <c r="I13" s="3"/>
      <c r="J13" s="3"/>
      <c r="K13" s="3"/>
      <c r="L13" s="3"/>
      <c r="M13" s="3"/>
      <c r="N13" s="3"/>
      <c r="O13" s="3"/>
      <c r="P13" s="3"/>
      <c r="Q13" s="3"/>
      <c r="R13" s="3"/>
      <c r="S13" s="3"/>
      <c r="T13" s="3"/>
      <c r="U13" s="3"/>
      <c r="V13" s="3"/>
      <c r="W13" s="3"/>
      <c r="X13" s="3"/>
      <c r="Y13" s="3"/>
      <c r="Z13" s="3"/>
    </row>
    <row r="14" spans="1:26" x14ac:dyDescent="0.25">
      <c r="A14" s="3"/>
      <c r="B14" s="3"/>
      <c r="C14" s="3"/>
      <c r="D14" s="3"/>
      <c r="E14" s="3"/>
      <c r="F14" s="3"/>
      <c r="G14" s="3"/>
      <c r="H14" s="3"/>
      <c r="I14" s="3"/>
      <c r="J14" s="3"/>
      <c r="K14" s="3"/>
      <c r="L14" s="3"/>
      <c r="M14" s="3"/>
      <c r="N14" s="3"/>
      <c r="O14" s="3"/>
      <c r="P14" s="3"/>
      <c r="Q14" s="3"/>
      <c r="R14" s="3"/>
      <c r="S14" s="3"/>
      <c r="T14" s="3"/>
      <c r="U14" s="3"/>
      <c r="V14" s="3"/>
      <c r="W14" s="3"/>
      <c r="X14" s="3"/>
      <c r="Y14" s="3"/>
      <c r="Z14" s="3"/>
    </row>
    <row r="15" spans="1:26" x14ac:dyDescent="0.25">
      <c r="A15" s="3"/>
      <c r="B15" s="3"/>
      <c r="C15" s="3"/>
      <c r="D15" s="3"/>
      <c r="E15" s="3"/>
      <c r="F15" s="3"/>
      <c r="G15" s="3"/>
      <c r="H15" s="3"/>
      <c r="I15" s="3"/>
      <c r="J15" s="3"/>
      <c r="K15" s="3"/>
      <c r="L15" s="3"/>
      <c r="M15" s="3"/>
      <c r="N15" s="3"/>
      <c r="O15" s="3"/>
      <c r="P15" s="3"/>
      <c r="Q15" s="3"/>
      <c r="R15" s="3"/>
      <c r="S15" s="3"/>
      <c r="T15" s="3"/>
      <c r="U15" s="3"/>
      <c r="V15" s="3"/>
      <c r="W15" s="3"/>
      <c r="X15" s="3"/>
      <c r="Y15" s="3"/>
      <c r="Z15" s="3"/>
    </row>
    <row r="16" spans="1:26" x14ac:dyDescent="0.25">
      <c r="A16" s="3"/>
      <c r="B16" s="3"/>
      <c r="C16" s="3"/>
      <c r="D16" s="3"/>
      <c r="E16" s="3"/>
      <c r="F16" s="3"/>
      <c r="G16" s="3"/>
      <c r="H16" s="3"/>
      <c r="I16" s="3"/>
      <c r="J16" s="3"/>
      <c r="K16" s="3"/>
      <c r="L16" s="3"/>
      <c r="M16" s="3"/>
      <c r="N16" s="3"/>
      <c r="O16" s="3"/>
      <c r="P16" s="3"/>
      <c r="Q16" s="3"/>
      <c r="R16" s="3"/>
      <c r="S16" s="3"/>
      <c r="T16" s="3"/>
      <c r="U16" s="3"/>
      <c r="V16" s="3"/>
      <c r="W16" s="3"/>
      <c r="X16" s="3"/>
      <c r="Y16" s="3"/>
      <c r="Z16" s="3"/>
    </row>
    <row r="17" spans="1:26" x14ac:dyDescent="0.25">
      <c r="A17" s="3"/>
      <c r="B17" s="3"/>
      <c r="C17" s="3"/>
      <c r="D17" s="3"/>
      <c r="E17" s="3"/>
      <c r="F17" s="3"/>
      <c r="G17" s="3"/>
      <c r="H17" s="3"/>
      <c r="I17" s="3"/>
      <c r="J17" s="3"/>
      <c r="K17" s="3"/>
      <c r="L17" s="3"/>
      <c r="M17" s="3"/>
      <c r="N17" s="3"/>
      <c r="O17" s="3"/>
      <c r="P17" s="3"/>
      <c r="Q17" s="3"/>
      <c r="R17" s="3"/>
      <c r="S17" s="3"/>
      <c r="T17" s="3"/>
      <c r="U17" s="3"/>
      <c r="V17" s="3"/>
      <c r="W17" s="3"/>
      <c r="X17" s="3"/>
      <c r="Y17" s="3"/>
      <c r="Z17" s="3"/>
    </row>
    <row r="18" spans="1:26" x14ac:dyDescent="0.25">
      <c r="A18" s="3"/>
      <c r="B18" s="3"/>
      <c r="C18" s="3"/>
      <c r="D18" s="3"/>
      <c r="E18" s="3"/>
      <c r="F18" s="3"/>
      <c r="G18" s="3"/>
      <c r="H18" s="3"/>
      <c r="I18" s="3"/>
      <c r="J18" s="3"/>
      <c r="K18" s="3"/>
      <c r="L18" s="3"/>
      <c r="M18" s="3"/>
      <c r="N18" s="3"/>
      <c r="O18" s="3"/>
      <c r="P18" s="3"/>
      <c r="Q18" s="3"/>
      <c r="R18" s="3"/>
      <c r="S18" s="3"/>
      <c r="T18" s="3"/>
      <c r="U18" s="3"/>
      <c r="V18" s="3"/>
      <c r="W18" s="3"/>
      <c r="X18" s="3"/>
      <c r="Y18" s="3"/>
      <c r="Z18" s="3"/>
    </row>
    <row r="19" spans="1:26" x14ac:dyDescent="0.25">
      <c r="A19" s="3"/>
      <c r="B19" s="3"/>
      <c r="C19" s="3"/>
      <c r="D19" s="3"/>
      <c r="E19" s="3"/>
      <c r="F19" s="3"/>
      <c r="G19" s="3"/>
      <c r="H19" s="3"/>
      <c r="I19" s="3"/>
      <c r="J19" s="3"/>
      <c r="K19" s="3"/>
      <c r="L19" s="3"/>
      <c r="M19" s="3"/>
      <c r="N19" s="3"/>
      <c r="O19" s="3"/>
      <c r="P19" s="3"/>
      <c r="Q19" s="3"/>
      <c r="R19" s="3"/>
      <c r="S19" s="3"/>
      <c r="T19" s="3"/>
      <c r="U19" s="3"/>
      <c r="V19" s="3"/>
      <c r="W19" s="3"/>
      <c r="X19" s="3"/>
      <c r="Y19" s="3"/>
      <c r="Z19" s="3"/>
    </row>
    <row r="20" spans="1:26" x14ac:dyDescent="0.25">
      <c r="A20" s="3"/>
      <c r="B20" s="3"/>
      <c r="C20" s="3"/>
      <c r="D20" s="3"/>
      <c r="E20" s="3"/>
      <c r="F20" s="3"/>
      <c r="G20" s="3"/>
      <c r="H20" s="3"/>
      <c r="I20" s="3"/>
      <c r="J20" s="3"/>
      <c r="K20" s="3"/>
      <c r="L20" s="3"/>
      <c r="M20" s="3"/>
      <c r="N20" s="3"/>
      <c r="O20" s="3"/>
      <c r="P20" s="3"/>
      <c r="Q20" s="3"/>
      <c r="R20" s="3"/>
      <c r="S20" s="3"/>
      <c r="T20" s="3"/>
      <c r="U20" s="3"/>
      <c r="V20" s="3"/>
      <c r="W20" s="3"/>
      <c r="X20" s="3"/>
      <c r="Y20" s="3"/>
      <c r="Z20" s="3"/>
    </row>
    <row r="21" spans="1:26" ht="15.75" customHeight="1" x14ac:dyDescent="0.25">
      <c r="A21" s="3"/>
      <c r="B21" s="3"/>
      <c r="C21" s="3"/>
      <c r="D21" s="3"/>
      <c r="E21" s="3"/>
      <c r="F21" s="3"/>
      <c r="G21" s="3"/>
      <c r="H21" s="3"/>
      <c r="I21" s="3"/>
      <c r="J21" s="3"/>
      <c r="K21" s="3"/>
      <c r="L21" s="3"/>
      <c r="M21" s="3"/>
      <c r="N21" s="3"/>
      <c r="O21" s="3"/>
      <c r="P21" s="3"/>
      <c r="Q21" s="3"/>
      <c r="R21" s="3"/>
      <c r="S21" s="3"/>
      <c r="T21" s="3"/>
      <c r="U21" s="3"/>
      <c r="V21" s="3"/>
      <c r="W21" s="3"/>
      <c r="X21" s="3"/>
      <c r="Y21" s="3"/>
      <c r="Z21" s="3"/>
    </row>
    <row r="22" spans="1:26" ht="15.75" customHeight="1" x14ac:dyDescent="0.25">
      <c r="A22" s="3"/>
      <c r="B22" s="3"/>
      <c r="C22" s="3"/>
      <c r="D22" s="3"/>
      <c r="E22" s="3"/>
      <c r="F22" s="3"/>
      <c r="G22" s="3"/>
      <c r="H22" s="3"/>
      <c r="I22" s="3"/>
      <c r="J22" s="3"/>
      <c r="K22" s="3"/>
      <c r="L22" s="3"/>
      <c r="M22" s="3"/>
      <c r="N22" s="3"/>
      <c r="O22" s="3"/>
      <c r="P22" s="3"/>
      <c r="Q22" s="3"/>
      <c r="R22" s="3"/>
      <c r="S22" s="3"/>
      <c r="T22" s="3"/>
      <c r="U22" s="3"/>
      <c r="V22" s="3"/>
      <c r="W22" s="3"/>
      <c r="X22" s="3"/>
      <c r="Y22" s="3"/>
      <c r="Z22" s="3"/>
    </row>
    <row r="23" spans="1:26" ht="15.75" customHeight="1" x14ac:dyDescent="0.25">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ht="15.75" customHeight="1" x14ac:dyDescent="0.25">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ht="15.75" customHeight="1" x14ac:dyDescent="0.25">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ht="15.75" customHeight="1" x14ac:dyDescent="0.25">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ht="15.75" customHeight="1" x14ac:dyDescent="0.25">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ht="15.75" customHeight="1" x14ac:dyDescent="0.25">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ht="15.75" customHeight="1" x14ac:dyDescent="0.25">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ht="15.75" customHeight="1" x14ac:dyDescent="0.25">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ht="15.75" customHeight="1" x14ac:dyDescent="0.25">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ht="15.75" customHeight="1" x14ac:dyDescent="0.25">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ht="15.75" customHeight="1" x14ac:dyDescent="0.25">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ht="15.75" customHeight="1" x14ac:dyDescent="0.25">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ht="15.75" customHeight="1" x14ac:dyDescent="0.25">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ht="15.75" customHeight="1" x14ac:dyDescent="0.25">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ht="15.75" customHeight="1" x14ac:dyDescent="0.25">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ht="15.75" customHeight="1" x14ac:dyDescent="0.25">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ht="15.75" customHeight="1" x14ac:dyDescent="0.25">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ht="15.75" customHeight="1" x14ac:dyDescent="0.25">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ht="15.75" customHeight="1" x14ac:dyDescent="0.25">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ht="15.75" customHeight="1" x14ac:dyDescent="0.25">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ht="15.75" customHeight="1" x14ac:dyDescent="0.25">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ht="15.75" customHeight="1" x14ac:dyDescent="0.25">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ht="15.75" customHeight="1" x14ac:dyDescent="0.25">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ht="15.75" customHeight="1" x14ac:dyDescent="0.25">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ht="15.75" customHeight="1" x14ac:dyDescent="0.25">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ht="15.75" customHeight="1" x14ac:dyDescent="0.25">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ht="15.75" customHeight="1" x14ac:dyDescent="0.25">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ht="15.75" customHeight="1" x14ac:dyDescent="0.25">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ht="15.75" customHeight="1" x14ac:dyDescent="0.25">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ht="15.75" customHeight="1" x14ac:dyDescent="0.25">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ht="15.75" customHeight="1" x14ac:dyDescent="0.25">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ht="15.75" customHeight="1" x14ac:dyDescent="0.25">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ht="15.75" customHeight="1" x14ac:dyDescent="0.25">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ht="15.75" customHeight="1" x14ac:dyDescent="0.25">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ht="15.75" customHeight="1" x14ac:dyDescent="0.25">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ht="15.75" customHeight="1" x14ac:dyDescent="0.25">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ht="15.75" customHeight="1" x14ac:dyDescent="0.25">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ht="15.75" customHeight="1" x14ac:dyDescent="0.25">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ht="15.75" customHeight="1" x14ac:dyDescent="0.25">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ht="15.75" customHeight="1" x14ac:dyDescent="0.25">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ht="15.75" customHeight="1" x14ac:dyDescent="0.25">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ht="15.75" customHeight="1" x14ac:dyDescent="0.25">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ht="15.75" customHeight="1" x14ac:dyDescent="0.25">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ht="15.75" customHeight="1" x14ac:dyDescent="0.25">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ht="15.75" customHeight="1" x14ac:dyDescent="0.25">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ht="15.75" customHeight="1" x14ac:dyDescent="0.25">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ht="15.75" customHeight="1" x14ac:dyDescent="0.25">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ht="15.75" customHeight="1" x14ac:dyDescent="0.25">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ht="15.75" customHeight="1" x14ac:dyDescent="0.25">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ht="15.75" customHeight="1" x14ac:dyDescent="0.25">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ht="15.75" customHeight="1" x14ac:dyDescent="0.25">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ht="15.75" customHeight="1" x14ac:dyDescent="0.25">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ht="15.75" customHeight="1" x14ac:dyDescent="0.25">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ht="15.75" customHeight="1" x14ac:dyDescent="0.25">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ht="15.75" customHeight="1" x14ac:dyDescent="0.25">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ht="15.75" customHeight="1" x14ac:dyDescent="0.25">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ht="15.75" customHeight="1" x14ac:dyDescent="0.25">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ht="15.75" customHeight="1" x14ac:dyDescent="0.25">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ht="15.75" customHeight="1" x14ac:dyDescent="0.25">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ht="15.75" customHeight="1" x14ac:dyDescent="0.25">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ht="15.75" customHeight="1" x14ac:dyDescent="0.25">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ht="15.75" customHeight="1" x14ac:dyDescent="0.25">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ht="15.75" customHeight="1" x14ac:dyDescent="0.25">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ht="15.75" customHeight="1" x14ac:dyDescent="0.25">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ht="15.75" customHeight="1" x14ac:dyDescent="0.25">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ht="15.75" customHeight="1" x14ac:dyDescent="0.25">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ht="15.75" customHeight="1" x14ac:dyDescent="0.25">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ht="15.75" customHeight="1" x14ac:dyDescent="0.25">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ht="15.75" customHeight="1" x14ac:dyDescent="0.25">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ht="15.75" customHeight="1" x14ac:dyDescent="0.25">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ht="15.75" customHeight="1" x14ac:dyDescent="0.25">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ht="15.75" customHeight="1" x14ac:dyDescent="0.25">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ht="15.75" customHeight="1" x14ac:dyDescent="0.25">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ht="15.75" customHeight="1" x14ac:dyDescent="0.25">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ht="15.75" customHeight="1" x14ac:dyDescent="0.25">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ht="15.75" customHeight="1" x14ac:dyDescent="0.25">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ht="15.75" customHeight="1" x14ac:dyDescent="0.25">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ht="15.75" customHeight="1" x14ac:dyDescent="0.25">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ht="15.75" customHeight="1" x14ac:dyDescent="0.25">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ht="15.75" customHeight="1" x14ac:dyDescent="0.25">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ht="15.75" customHeight="1" x14ac:dyDescent="0.25">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ht="15.75" customHeight="1" x14ac:dyDescent="0.25">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ht="15.75" customHeight="1"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ht="15.75" customHeight="1" x14ac:dyDescent="0.25">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ht="15.75" customHeight="1" x14ac:dyDescent="0.25">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ht="15.75" customHeight="1" x14ac:dyDescent="0.25">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ht="15.75" customHeight="1" x14ac:dyDescent="0.25">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ht="15.75" customHeight="1"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ht="15.75" customHeight="1"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ht="15.75" customHeight="1"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ht="15.75" customHeight="1" x14ac:dyDescent="0.25">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ht="15.75" customHeight="1" x14ac:dyDescent="0.25">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ht="15.75" customHeight="1" x14ac:dyDescent="0.25">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ht="15.75" customHeight="1" x14ac:dyDescent="0.25">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ht="15.75" customHeight="1" x14ac:dyDescent="0.25">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ht="15.75" customHeight="1" x14ac:dyDescent="0.25">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ht="15.75" customHeight="1" x14ac:dyDescent="0.25">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ht="15.75" customHeight="1" x14ac:dyDescent="0.25">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ht="15.75" customHeight="1" x14ac:dyDescent="0.25">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ht="15.75" customHeight="1"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ht="15.75" customHeight="1"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ht="15.75" customHeight="1" x14ac:dyDescent="0.25">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ht="15.75" customHeight="1" x14ac:dyDescent="0.25">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ht="15.75" customHeight="1" x14ac:dyDescent="0.25">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ht="15.75" customHeight="1" x14ac:dyDescent="0.25">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ht="15.75" customHeight="1" x14ac:dyDescent="0.25">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ht="15.75" customHeight="1" x14ac:dyDescent="0.25">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ht="15.75" customHeight="1" x14ac:dyDescent="0.25">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ht="15.75" customHeight="1" x14ac:dyDescent="0.25">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ht="15.75" customHeight="1" x14ac:dyDescent="0.25">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ht="15.75" customHeight="1" x14ac:dyDescent="0.25">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ht="15.75" customHeight="1" x14ac:dyDescent="0.25">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ht="15.75" customHeight="1" x14ac:dyDescent="0.25">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ht="15.75" customHeight="1" x14ac:dyDescent="0.25">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ht="15.75" customHeight="1" x14ac:dyDescent="0.25">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ht="15.75" customHeight="1" x14ac:dyDescent="0.25">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ht="15.75" customHeight="1" x14ac:dyDescent="0.25">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ht="15.75" customHeight="1" x14ac:dyDescent="0.25">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ht="15.75" customHeight="1" x14ac:dyDescent="0.25">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ht="15.75" customHeight="1" x14ac:dyDescent="0.25">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ht="15.75" customHeight="1" x14ac:dyDescent="0.25">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ht="15.75" customHeight="1" x14ac:dyDescent="0.25">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ht="15.75" customHeight="1" x14ac:dyDescent="0.25">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ht="15.75" customHeight="1" x14ac:dyDescent="0.25">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ht="15.75" customHeight="1" x14ac:dyDescent="0.25">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ht="15.75" customHeight="1" x14ac:dyDescent="0.25">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ht="15.75" customHeight="1" x14ac:dyDescent="0.25">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ht="15.75" customHeight="1" x14ac:dyDescent="0.25">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ht="15.75" customHeight="1" x14ac:dyDescent="0.25">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ht="15.75" customHeight="1" x14ac:dyDescent="0.25">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ht="15.75" customHeight="1" x14ac:dyDescent="0.25">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ht="15.75" customHeight="1" x14ac:dyDescent="0.25">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ht="15.75" customHeight="1" x14ac:dyDescent="0.25">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ht="15.75" customHeight="1" x14ac:dyDescent="0.25">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ht="15.75" customHeight="1" x14ac:dyDescent="0.25">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ht="15.75" customHeight="1" x14ac:dyDescent="0.25">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ht="15.75" customHeight="1" x14ac:dyDescent="0.25">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ht="15.75" customHeight="1"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ht="15.75" customHeight="1" x14ac:dyDescent="0.25">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ht="15.75" customHeight="1" x14ac:dyDescent="0.25">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ht="15.75" customHeight="1" x14ac:dyDescent="0.25">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ht="15.75" customHeight="1" x14ac:dyDescent="0.25">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ht="15.75" customHeight="1" x14ac:dyDescent="0.25">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ht="15.75" customHeight="1" x14ac:dyDescent="0.25">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ht="15.75" customHeight="1" x14ac:dyDescent="0.25">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ht="15.75" customHeight="1"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ht="15.75" customHeight="1" x14ac:dyDescent="0.25">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ht="15.75" customHeight="1"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ht="15.75" customHeight="1" x14ac:dyDescent="0.25">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ht="15.75" customHeight="1" x14ac:dyDescent="0.25">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ht="15.75" customHeight="1" x14ac:dyDescent="0.25">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ht="15.75" customHeight="1" x14ac:dyDescent="0.25">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ht="15.75" customHeight="1" x14ac:dyDescent="0.25">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ht="15.75" customHeight="1" x14ac:dyDescent="0.25">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ht="15.75" customHeight="1" x14ac:dyDescent="0.25">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ht="15.75" customHeight="1" x14ac:dyDescent="0.25">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ht="15.75" customHeight="1" x14ac:dyDescent="0.25">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ht="15.75" customHeight="1" x14ac:dyDescent="0.25">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ht="15.75" customHeight="1" x14ac:dyDescent="0.25">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ht="15.75" customHeight="1" x14ac:dyDescent="0.25">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ht="15.75" customHeight="1" x14ac:dyDescent="0.25">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ht="15.75" customHeight="1"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ht="15.75" customHeight="1" x14ac:dyDescent="0.25">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ht="15.75" customHeight="1" x14ac:dyDescent="0.25">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ht="15.75" customHeight="1" x14ac:dyDescent="0.25">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ht="15.75" customHeight="1" x14ac:dyDescent="0.25">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ht="15.75" customHeight="1" x14ac:dyDescent="0.25">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ht="15.75" customHeight="1" x14ac:dyDescent="0.25">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ht="15.75" customHeight="1" x14ac:dyDescent="0.25">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ht="15.75" customHeight="1" x14ac:dyDescent="0.25">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ht="15.75" customHeight="1" x14ac:dyDescent="0.25">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ht="15.75" customHeight="1" x14ac:dyDescent="0.25">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ht="15.75" customHeight="1" x14ac:dyDescent="0.25">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ht="15.75" customHeight="1" x14ac:dyDescent="0.25">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ht="15.75" customHeight="1" x14ac:dyDescent="0.25">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ht="15.75" customHeight="1" x14ac:dyDescent="0.25">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ht="15.75" customHeight="1" x14ac:dyDescent="0.25">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ht="15.75" customHeight="1" x14ac:dyDescent="0.25">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ht="15.75" customHeight="1" x14ac:dyDescent="0.25">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ht="15.75" customHeight="1" x14ac:dyDescent="0.25">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ht="15.75" customHeight="1" x14ac:dyDescent="0.25">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ht="15.75" customHeight="1" x14ac:dyDescent="0.25">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ht="15.75" customHeight="1" x14ac:dyDescent="0.25">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ht="15.75" customHeight="1"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ht="15.75" customHeight="1" x14ac:dyDescent="0.25">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ht="15.75" customHeight="1" x14ac:dyDescent="0.25">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ht="15.75" customHeight="1" x14ac:dyDescent="0.25">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ht="15.75" customHeight="1" x14ac:dyDescent="0.25">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ht="15.75" customHeight="1" x14ac:dyDescent="0.25">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ht="15.75" customHeight="1" x14ac:dyDescent="0.25">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ht="15.75" customHeight="1" x14ac:dyDescent="0.25">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ht="15.75" customHeight="1" x14ac:dyDescent="0.25">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ht="15.75" customHeight="1" x14ac:dyDescent="0.25">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ht="15.75" customHeight="1" x14ac:dyDescent="0.25">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ht="15.75" customHeight="1" x14ac:dyDescent="0.25">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ht="15.75" customHeight="1" x14ac:dyDescent="0.25">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ht="15.75" customHeight="1"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ht="15.75" customHeight="1" x14ac:dyDescent="0.25">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ht="15.75" customHeight="1" x14ac:dyDescent="0.2"/>
    <row r="222" spans="1:26" ht="15.75" customHeight="1" x14ac:dyDescent="0.2"/>
    <row r="223" spans="1:26" ht="15.75" customHeight="1" x14ac:dyDescent="0.2"/>
    <row r="224" spans="1:26"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B4992-5B3A-4D7D-8DE8-02901B720DF0}">
  <dimension ref="A1:AF1231"/>
  <sheetViews>
    <sheetView workbookViewId="0"/>
  </sheetViews>
  <sheetFormatPr defaultColWidth="16.83203125" defaultRowHeight="11.25" x14ac:dyDescent="0.2"/>
  <cols>
    <col min="1" max="1" width="6.6640625" customWidth="1"/>
    <col min="2" max="2" width="53.6640625" customWidth="1"/>
    <col min="3" max="3" width="31.6640625" bestFit="1" customWidth="1"/>
    <col min="4" max="4" width="20.83203125" customWidth="1"/>
  </cols>
  <sheetData>
    <row r="1" spans="1:32" ht="15" x14ac:dyDescent="0.25">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row>
    <row r="2" spans="1:32" ht="15.75" x14ac:dyDescent="0.25">
      <c r="A2" s="3"/>
      <c r="B2" s="2355" t="s">
        <v>1609</v>
      </c>
      <c r="C2" s="2356"/>
      <c r="D2" s="2356"/>
      <c r="E2" s="2356"/>
      <c r="F2" s="2356"/>
      <c r="G2" s="2356"/>
      <c r="H2" s="2357"/>
      <c r="I2" s="3"/>
      <c r="J2" s="2391" t="s">
        <v>1</v>
      </c>
      <c r="K2" s="2392"/>
      <c r="L2" s="3"/>
      <c r="M2" s="3"/>
      <c r="N2" s="3"/>
      <c r="O2" s="3"/>
      <c r="P2" s="3"/>
      <c r="Q2" s="3"/>
      <c r="R2" s="3"/>
      <c r="S2" s="3"/>
      <c r="T2" s="3"/>
      <c r="U2" s="3"/>
      <c r="V2" s="3"/>
      <c r="W2" s="3"/>
      <c r="X2" s="3"/>
      <c r="Y2" s="3"/>
      <c r="Z2" s="3"/>
      <c r="AA2" s="3"/>
      <c r="AB2" s="3"/>
      <c r="AC2" s="3"/>
      <c r="AD2" s="3"/>
      <c r="AE2" s="3"/>
      <c r="AF2" s="3"/>
    </row>
    <row r="3" spans="1:32" ht="15" x14ac:dyDescent="0.25">
      <c r="A3" s="3"/>
      <c r="B3" s="3"/>
      <c r="C3" s="3"/>
      <c r="D3" s="3"/>
      <c r="E3" s="3"/>
      <c r="F3" s="3"/>
      <c r="G3" s="3"/>
      <c r="H3" s="3"/>
      <c r="I3" s="3"/>
      <c r="J3" s="2146"/>
      <c r="K3" s="2146" t="str">
        <f>Summary!E3</f>
        <v>AR6 100-yr GWP</v>
      </c>
      <c r="L3" s="3"/>
      <c r="M3" s="3"/>
      <c r="N3" s="3"/>
      <c r="O3" s="3"/>
      <c r="P3" s="3"/>
      <c r="Q3" s="3"/>
      <c r="R3" s="3"/>
      <c r="S3" s="3"/>
      <c r="T3" s="3"/>
      <c r="U3" s="3"/>
      <c r="V3" s="3"/>
      <c r="W3" s="3"/>
      <c r="X3" s="3"/>
      <c r="Y3" s="3"/>
      <c r="Z3" s="3"/>
      <c r="AA3" s="3"/>
      <c r="AB3" s="3"/>
      <c r="AC3" s="3"/>
      <c r="AD3" s="3"/>
      <c r="AE3" s="3"/>
      <c r="AF3" s="3"/>
    </row>
    <row r="4" spans="1:32" ht="15" x14ac:dyDescent="0.25">
      <c r="A4" s="3"/>
      <c r="B4" s="3"/>
      <c r="C4" s="3"/>
      <c r="D4" s="3"/>
      <c r="E4" s="3"/>
      <c r="F4" s="3"/>
      <c r="G4" s="3"/>
      <c r="H4" s="3"/>
      <c r="I4" s="3"/>
      <c r="J4" s="2146" t="str">
        <f>Summary!C4</f>
        <v>CO2</v>
      </c>
      <c r="K4" s="236">
        <f>Summary!E4</f>
        <v>1</v>
      </c>
      <c r="L4" s="3"/>
      <c r="M4" s="3"/>
      <c r="N4" s="3"/>
      <c r="O4" s="3"/>
      <c r="P4" s="3"/>
      <c r="Q4" s="3"/>
      <c r="R4" s="3"/>
      <c r="S4" s="3"/>
      <c r="T4" s="3"/>
      <c r="U4" s="3"/>
      <c r="V4" s="3"/>
      <c r="W4" s="3"/>
      <c r="X4" s="3"/>
      <c r="Y4" s="3"/>
      <c r="Z4" s="3"/>
      <c r="AA4" s="3"/>
      <c r="AB4" s="3"/>
      <c r="AC4" s="3"/>
      <c r="AD4" s="3"/>
      <c r="AE4" s="3"/>
      <c r="AF4" s="3"/>
    </row>
    <row r="5" spans="1:32" ht="15" x14ac:dyDescent="0.25">
      <c r="A5" s="3"/>
      <c r="B5" s="3"/>
      <c r="C5" s="3"/>
      <c r="D5" s="3"/>
      <c r="E5" s="3"/>
      <c r="F5" s="3"/>
      <c r="G5" s="3"/>
      <c r="H5" s="3"/>
      <c r="I5" s="3"/>
      <c r="J5" s="2146" t="str">
        <f>Summary!C5</f>
        <v>CH4</v>
      </c>
      <c r="K5" s="236">
        <f>Summary!E5</f>
        <v>27.9</v>
      </c>
      <c r="L5" s="3"/>
      <c r="M5" s="3"/>
      <c r="N5" s="3"/>
      <c r="O5" s="3"/>
      <c r="P5" s="3"/>
      <c r="Q5" s="3"/>
      <c r="R5" s="3"/>
      <c r="S5" s="3"/>
      <c r="T5" s="3"/>
      <c r="U5" s="3"/>
      <c r="V5" s="3"/>
      <c r="W5" s="3"/>
      <c r="X5" s="3"/>
      <c r="Y5" s="3"/>
      <c r="Z5" s="3"/>
      <c r="AA5" s="3"/>
      <c r="AB5" s="3"/>
      <c r="AC5" s="3"/>
      <c r="AD5" s="3"/>
      <c r="AE5" s="3"/>
      <c r="AF5" s="3"/>
    </row>
    <row r="6" spans="1:32" ht="15" x14ac:dyDescent="0.25">
      <c r="A6" s="3"/>
      <c r="C6" s="3"/>
      <c r="D6" s="3"/>
      <c r="E6" s="3"/>
      <c r="F6" s="3"/>
      <c r="G6" s="3"/>
      <c r="H6" s="3"/>
      <c r="I6" s="3"/>
      <c r="J6" s="2146" t="str">
        <f>Summary!C6</f>
        <v>N2O</v>
      </c>
      <c r="K6" s="236">
        <f>Summary!E6</f>
        <v>273</v>
      </c>
      <c r="L6" s="3"/>
      <c r="M6" s="3"/>
      <c r="N6" s="3"/>
      <c r="O6" s="3"/>
      <c r="P6" s="3"/>
      <c r="Q6" s="3"/>
      <c r="R6" s="3"/>
      <c r="S6" s="3"/>
      <c r="T6" s="3"/>
      <c r="U6" s="3"/>
      <c r="V6" s="3"/>
      <c r="W6" s="3"/>
      <c r="X6" s="3"/>
      <c r="Y6" s="3"/>
      <c r="Z6" s="3"/>
      <c r="AA6" s="3"/>
      <c r="AB6" s="3"/>
      <c r="AC6" s="3"/>
      <c r="AD6" s="3"/>
      <c r="AE6" s="3"/>
      <c r="AF6" s="3"/>
    </row>
    <row r="7" spans="1:32" ht="15" x14ac:dyDescent="0.25">
      <c r="A7" s="3"/>
      <c r="C7" s="3"/>
      <c r="D7" s="3"/>
      <c r="E7" s="3"/>
      <c r="F7" s="3"/>
      <c r="G7" s="3"/>
      <c r="H7" s="3"/>
      <c r="I7" s="3"/>
      <c r="J7" s="2146" t="str">
        <f>Summary!C7</f>
        <v>SF6</v>
      </c>
      <c r="K7" s="1972">
        <f>Summary!E7</f>
        <v>24300</v>
      </c>
      <c r="L7" s="3"/>
      <c r="M7" s="3"/>
      <c r="N7" s="3"/>
      <c r="O7" s="3"/>
      <c r="P7" s="3"/>
      <c r="Q7" s="3"/>
      <c r="R7" s="3"/>
      <c r="S7" s="3"/>
      <c r="T7" s="3"/>
      <c r="U7" s="3"/>
      <c r="V7" s="3"/>
      <c r="W7" s="3"/>
      <c r="X7" s="3"/>
      <c r="Y7" s="3"/>
      <c r="Z7" s="3"/>
      <c r="AA7" s="3"/>
      <c r="AB7" s="3"/>
      <c r="AC7" s="3"/>
      <c r="AD7" s="3"/>
      <c r="AE7" s="3"/>
      <c r="AF7" s="3"/>
    </row>
    <row r="8" spans="1:32" ht="15" x14ac:dyDescent="0.25">
      <c r="A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row>
    <row r="9" spans="1:32" ht="15" x14ac:dyDescent="0.25">
      <c r="A9" s="3"/>
      <c r="B9" s="2147" t="s">
        <v>545</v>
      </c>
      <c r="C9" s="2148"/>
      <c r="D9" s="2148"/>
      <c r="E9" s="2148"/>
      <c r="F9" s="2148"/>
      <c r="G9" s="2148"/>
      <c r="H9" s="2148"/>
      <c r="I9" s="2148"/>
      <c r="J9" s="2148"/>
      <c r="K9" s="2148"/>
      <c r="L9" s="2148"/>
      <c r="M9" s="2148"/>
      <c r="N9" s="2148"/>
      <c r="O9" s="2148"/>
      <c r="P9" s="2148"/>
      <c r="Q9" s="2148"/>
      <c r="R9" s="2148"/>
      <c r="S9" s="2148"/>
      <c r="T9" s="2149"/>
      <c r="U9" s="2149"/>
      <c r="V9" s="2149"/>
      <c r="W9" s="2149"/>
      <c r="X9" s="2149"/>
      <c r="Y9" s="2149"/>
      <c r="Z9" s="2149"/>
      <c r="AA9" s="2149"/>
      <c r="AB9" s="2149"/>
      <c r="AC9" s="2149"/>
      <c r="AD9" s="2149"/>
      <c r="AE9" s="2149"/>
      <c r="AF9" s="2149"/>
    </row>
    <row r="10" spans="1:32" ht="15" x14ac:dyDescent="0.25">
      <c r="A10" s="3"/>
      <c r="B10" s="3"/>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ht="15" x14ac:dyDescent="0.25">
      <c r="A11" s="3"/>
      <c r="B11" s="1904" t="s">
        <v>1629</v>
      </c>
      <c r="C11" s="2150"/>
      <c r="D11" s="2150"/>
      <c r="E11" s="2150"/>
      <c r="F11" s="2150"/>
      <c r="G11" s="3"/>
      <c r="H11" s="3"/>
      <c r="I11" s="3"/>
      <c r="J11" s="3"/>
      <c r="K11" s="3"/>
      <c r="L11" s="3"/>
      <c r="M11" s="3"/>
      <c r="N11" s="3"/>
      <c r="O11" s="3"/>
      <c r="P11" s="3"/>
      <c r="Q11" s="3"/>
      <c r="R11" s="3"/>
      <c r="S11" s="3"/>
      <c r="T11" s="3"/>
      <c r="U11" s="3"/>
      <c r="V11" s="3"/>
      <c r="W11" s="3"/>
      <c r="X11" s="3"/>
      <c r="Y11" s="3"/>
      <c r="Z11" s="3"/>
      <c r="AA11" s="3"/>
      <c r="AB11" s="3"/>
      <c r="AC11" s="3"/>
      <c r="AD11" s="3"/>
      <c r="AE11" s="3"/>
      <c r="AF11" s="3"/>
    </row>
    <row r="12" spans="1:32" ht="48.75" x14ac:dyDescent="0.25">
      <c r="A12" s="3"/>
      <c r="B12" s="2151" t="s">
        <v>835</v>
      </c>
      <c r="C12" s="2151" t="s">
        <v>1633</v>
      </c>
      <c r="D12" s="2151" t="s">
        <v>1635</v>
      </c>
      <c r="E12" s="2151" t="s">
        <v>1636</v>
      </c>
      <c r="F12" s="2151" t="s">
        <v>1637</v>
      </c>
      <c r="G12" s="2151" t="s">
        <v>1638</v>
      </c>
      <c r="H12" s="3"/>
      <c r="I12" s="3"/>
      <c r="J12" s="3"/>
      <c r="K12" s="3"/>
      <c r="L12" s="3"/>
      <c r="M12" s="3"/>
      <c r="N12" s="3"/>
      <c r="O12" s="3"/>
      <c r="P12" s="3"/>
      <c r="Q12" s="3"/>
      <c r="R12" s="3"/>
      <c r="S12" s="3"/>
      <c r="T12" s="3"/>
      <c r="U12" s="3"/>
      <c r="V12" s="3"/>
      <c r="W12" s="3"/>
      <c r="X12" s="3"/>
      <c r="Y12" s="3"/>
      <c r="Z12" s="3"/>
      <c r="AA12" s="3"/>
      <c r="AB12" s="3"/>
      <c r="AC12" s="3"/>
      <c r="AD12" s="3"/>
      <c r="AE12" s="3"/>
      <c r="AF12" s="3"/>
    </row>
    <row r="13" spans="1:32" ht="15" x14ac:dyDescent="0.25">
      <c r="A13" s="3"/>
      <c r="B13" s="2152">
        <v>1990</v>
      </c>
      <c r="C13" s="2152">
        <v>77.749999999999986</v>
      </c>
      <c r="D13" s="2152">
        <v>1.7749999999999999</v>
      </c>
      <c r="E13" s="2152">
        <v>2.17</v>
      </c>
      <c r="F13" s="2152">
        <v>-0.48599999999999999</v>
      </c>
      <c r="G13" s="2152">
        <v>9.0999999999999998E-2</v>
      </c>
      <c r="H13" s="3"/>
      <c r="I13" s="3"/>
      <c r="J13" s="3"/>
      <c r="K13" s="3"/>
      <c r="L13" s="3"/>
      <c r="M13" s="3"/>
      <c r="N13" s="3"/>
      <c r="O13" s="3"/>
      <c r="P13" s="3"/>
      <c r="Q13" s="3"/>
      <c r="R13" s="3"/>
      <c r="S13" s="3"/>
      <c r="T13" s="3"/>
      <c r="U13" s="3"/>
      <c r="V13" s="3"/>
      <c r="W13" s="3"/>
      <c r="X13" s="3"/>
      <c r="Y13" s="3"/>
      <c r="Z13" s="3"/>
      <c r="AA13" s="3"/>
      <c r="AB13" s="3"/>
      <c r="AC13" s="3"/>
      <c r="AD13" s="3"/>
      <c r="AE13" s="3"/>
      <c r="AF13" s="3"/>
    </row>
    <row r="14" spans="1:32" ht="15" x14ac:dyDescent="0.25">
      <c r="A14" s="3"/>
      <c r="B14" s="2152">
        <v>1991</v>
      </c>
      <c r="C14" s="2152">
        <v>77.325999999999979</v>
      </c>
      <c r="D14" s="2152">
        <v>-0.42399999999999999</v>
      </c>
      <c r="E14" s="2152">
        <v>0.13900000000000001</v>
      </c>
      <c r="F14" s="2152">
        <v>-0.629</v>
      </c>
      <c r="G14" s="2152">
        <v>6.6000000000000003E-2</v>
      </c>
      <c r="H14" s="3"/>
      <c r="I14" s="3"/>
      <c r="J14" s="3"/>
      <c r="K14" s="3"/>
      <c r="L14" s="3"/>
      <c r="M14" s="3"/>
      <c r="N14" s="3"/>
      <c r="O14" s="3"/>
      <c r="P14" s="3"/>
      <c r="Q14" s="3"/>
      <c r="R14" s="3"/>
      <c r="S14" s="3"/>
      <c r="T14" s="3"/>
      <c r="U14" s="3"/>
      <c r="V14" s="3"/>
      <c r="W14" s="3"/>
      <c r="X14" s="3"/>
      <c r="Y14" s="3"/>
      <c r="Z14" s="3"/>
      <c r="AA14" s="3"/>
      <c r="AB14" s="3"/>
      <c r="AC14" s="3"/>
      <c r="AD14" s="3"/>
      <c r="AE14" s="3"/>
      <c r="AF14" s="3"/>
    </row>
    <row r="15" spans="1:32" ht="15" x14ac:dyDescent="0.25">
      <c r="A15" s="3"/>
      <c r="B15" s="2152">
        <v>1992</v>
      </c>
      <c r="C15" s="2152">
        <v>78.787999999999982</v>
      </c>
      <c r="D15" s="2152">
        <v>1.462</v>
      </c>
      <c r="E15" s="2152">
        <v>1.992</v>
      </c>
      <c r="F15" s="2152">
        <v>-0.57499999999999996</v>
      </c>
      <c r="G15" s="2152">
        <v>4.4999999999999998E-2</v>
      </c>
      <c r="H15" s="3"/>
      <c r="I15" s="3"/>
      <c r="J15" s="3"/>
      <c r="K15" s="3"/>
      <c r="L15" s="3"/>
      <c r="M15" s="3"/>
      <c r="N15" s="3"/>
      <c r="O15" s="3"/>
      <c r="P15" s="3"/>
      <c r="Q15" s="3"/>
      <c r="R15" s="3"/>
      <c r="S15" s="3"/>
      <c r="T15" s="3"/>
      <c r="U15" s="3"/>
      <c r="V15" s="3"/>
      <c r="W15" s="3"/>
      <c r="X15" s="3"/>
      <c r="Y15" s="3"/>
      <c r="Z15" s="3"/>
      <c r="AA15" s="3"/>
      <c r="AB15" s="3"/>
      <c r="AC15" s="3"/>
      <c r="AD15" s="3"/>
      <c r="AE15" s="3"/>
      <c r="AF15" s="3"/>
    </row>
    <row r="16" spans="1:32" ht="15" x14ac:dyDescent="0.25">
      <c r="A16" s="3"/>
      <c r="B16" s="2152">
        <v>1993</v>
      </c>
      <c r="C16" s="2152">
        <v>79.950999999999979</v>
      </c>
      <c r="D16" s="2152">
        <v>1.163</v>
      </c>
      <c r="E16" s="2152">
        <v>1.665</v>
      </c>
      <c r="F16" s="2152">
        <v>-0.53500000000000003</v>
      </c>
      <c r="G16" s="2152">
        <v>3.3000000000000002E-2</v>
      </c>
      <c r="H16" s="3"/>
      <c r="I16" s="3"/>
      <c r="J16" s="3"/>
      <c r="K16" s="3"/>
      <c r="L16" s="3"/>
      <c r="M16" s="3"/>
      <c r="N16" s="3"/>
      <c r="O16" s="3"/>
      <c r="P16" s="3"/>
      <c r="Q16" s="3"/>
      <c r="R16" s="3"/>
      <c r="S16" s="3"/>
      <c r="T16" s="3"/>
      <c r="U16" s="3"/>
      <c r="V16" s="3"/>
      <c r="W16" s="3"/>
      <c r="X16" s="3"/>
      <c r="Y16" s="3"/>
      <c r="Z16" s="3"/>
      <c r="AA16" s="3"/>
      <c r="AB16" s="3"/>
      <c r="AC16" s="3"/>
      <c r="AD16" s="3"/>
      <c r="AE16" s="3"/>
      <c r="AF16" s="3"/>
    </row>
    <row r="17" spans="1:32" ht="15" x14ac:dyDescent="0.25">
      <c r="A17" s="3"/>
      <c r="B17" s="2152">
        <v>1994</v>
      </c>
      <c r="C17" s="2152">
        <v>81.604999999999976</v>
      </c>
      <c r="D17" s="2152">
        <v>1.6539999999999999</v>
      </c>
      <c r="E17" s="2152">
        <v>2.0619999999999998</v>
      </c>
      <c r="F17" s="2152">
        <v>-0.45500000000000002</v>
      </c>
      <c r="G17" s="2152">
        <v>4.7E-2</v>
      </c>
      <c r="H17" s="3"/>
      <c r="I17" s="3"/>
      <c r="J17" s="3"/>
      <c r="K17" s="3"/>
      <c r="L17" s="3"/>
      <c r="M17" s="3"/>
      <c r="N17" s="3"/>
      <c r="O17" s="3"/>
      <c r="P17" s="3"/>
      <c r="Q17" s="3"/>
      <c r="R17" s="3"/>
      <c r="S17" s="3"/>
      <c r="T17" s="3"/>
      <c r="U17" s="3"/>
      <c r="V17" s="3"/>
      <c r="W17" s="3"/>
      <c r="X17" s="3"/>
      <c r="Y17" s="3"/>
      <c r="Z17" s="3"/>
      <c r="AA17" s="3"/>
      <c r="AB17" s="3"/>
      <c r="AC17" s="3"/>
      <c r="AD17" s="3"/>
      <c r="AE17" s="3"/>
      <c r="AF17" s="3"/>
    </row>
    <row r="18" spans="1:32" ht="15" x14ac:dyDescent="0.25">
      <c r="A18" s="3"/>
      <c r="B18" s="2152">
        <v>1995</v>
      </c>
      <c r="C18" s="2152">
        <v>82.650999999999982</v>
      </c>
      <c r="D18" s="2152">
        <v>1.046</v>
      </c>
      <c r="E18" s="2152">
        <v>1.4339999999999999</v>
      </c>
      <c r="F18" s="2152">
        <v>-0.42299999999999999</v>
      </c>
      <c r="G18" s="2152">
        <v>3.5000000000000003E-2</v>
      </c>
      <c r="H18" s="3"/>
      <c r="I18" s="3"/>
      <c r="J18" s="3"/>
      <c r="K18" s="3"/>
      <c r="L18" s="3"/>
      <c r="M18" s="3"/>
      <c r="N18" s="3"/>
      <c r="O18" s="3"/>
      <c r="P18" s="3"/>
      <c r="Q18" s="3"/>
      <c r="R18" s="3"/>
      <c r="S18" s="3"/>
      <c r="T18" s="3"/>
      <c r="U18" s="3"/>
      <c r="V18" s="3"/>
      <c r="W18" s="3"/>
      <c r="X18" s="3"/>
      <c r="Y18" s="3"/>
      <c r="Z18" s="3"/>
      <c r="AA18" s="3"/>
      <c r="AB18" s="3"/>
      <c r="AC18" s="3"/>
      <c r="AD18" s="3"/>
      <c r="AE18" s="3"/>
      <c r="AF18" s="3"/>
    </row>
    <row r="19" spans="1:32" ht="15" x14ac:dyDescent="0.25">
      <c r="A19" s="3"/>
      <c r="B19" s="2152">
        <v>1996</v>
      </c>
      <c r="C19" s="2152">
        <v>84.711999999999989</v>
      </c>
      <c r="D19" s="2152">
        <v>2.0609999999999999</v>
      </c>
      <c r="E19" s="2152">
        <v>2.38</v>
      </c>
      <c r="F19" s="2152">
        <v>-0.38500000000000001</v>
      </c>
      <c r="G19" s="2152">
        <v>6.6000000000000003E-2</v>
      </c>
      <c r="H19" s="3"/>
      <c r="I19" s="3"/>
      <c r="J19" s="3"/>
      <c r="K19" s="3"/>
      <c r="L19" s="3"/>
      <c r="M19" s="3"/>
      <c r="N19" s="3"/>
      <c r="O19" s="3"/>
      <c r="P19" s="3"/>
      <c r="Q19" s="3"/>
      <c r="R19" s="3"/>
      <c r="S19" s="3"/>
      <c r="T19" s="3"/>
      <c r="U19" s="3"/>
      <c r="V19" s="3"/>
      <c r="W19" s="3"/>
      <c r="X19" s="3"/>
      <c r="Y19" s="3"/>
      <c r="Z19" s="3"/>
      <c r="AA19" s="3"/>
      <c r="AB19" s="3"/>
      <c r="AC19" s="3"/>
      <c r="AD19" s="3"/>
      <c r="AE19" s="3"/>
      <c r="AF19" s="3"/>
    </row>
    <row r="20" spans="1:32" ht="15" x14ac:dyDescent="0.25">
      <c r="A20" s="3"/>
      <c r="B20" s="2152">
        <v>1997</v>
      </c>
      <c r="C20" s="2152">
        <v>86.071999999999989</v>
      </c>
      <c r="D20" s="2152">
        <v>1.36</v>
      </c>
      <c r="E20" s="2152">
        <v>1.9039999999999999</v>
      </c>
      <c r="F20" s="2152">
        <v>-0.56299999999999994</v>
      </c>
      <c r="G20" s="2152">
        <v>1.9E-2</v>
      </c>
      <c r="H20" s="3"/>
      <c r="I20" s="3"/>
      <c r="J20" s="3"/>
      <c r="K20" s="3"/>
      <c r="L20" s="3"/>
      <c r="M20" s="3"/>
      <c r="N20" s="3"/>
      <c r="O20" s="3"/>
      <c r="P20" s="3"/>
      <c r="Q20" s="3"/>
      <c r="R20" s="3"/>
      <c r="S20" s="3"/>
      <c r="T20" s="3"/>
      <c r="U20" s="3"/>
      <c r="V20" s="3"/>
      <c r="W20" s="3"/>
      <c r="X20" s="3"/>
      <c r="Y20" s="3"/>
      <c r="Z20" s="3"/>
      <c r="AA20" s="3"/>
      <c r="AB20" s="3"/>
      <c r="AC20" s="3"/>
      <c r="AD20" s="3"/>
      <c r="AE20" s="3"/>
      <c r="AF20" s="3"/>
    </row>
    <row r="21" spans="1:32" ht="15" x14ac:dyDescent="0.25">
      <c r="A21" s="3"/>
      <c r="B21" s="2152">
        <v>1998</v>
      </c>
      <c r="C21" s="2152">
        <v>87.058999999999983</v>
      </c>
      <c r="D21" s="2152">
        <v>0.98699999999999999</v>
      </c>
      <c r="E21" s="2152">
        <v>1.6160000000000001</v>
      </c>
      <c r="F21" s="2152">
        <v>-0.64500000000000002</v>
      </c>
      <c r="G21" s="2152">
        <v>1.6E-2</v>
      </c>
      <c r="H21" s="3"/>
      <c r="I21" s="3"/>
      <c r="J21" s="3"/>
      <c r="K21" s="3"/>
      <c r="L21" s="3"/>
      <c r="M21" s="3"/>
      <c r="N21" s="3"/>
      <c r="O21" s="3"/>
      <c r="P21" s="3"/>
      <c r="Q21" s="3"/>
      <c r="R21" s="3"/>
      <c r="S21" s="3"/>
      <c r="T21" s="3"/>
      <c r="U21" s="3"/>
      <c r="V21" s="3"/>
      <c r="W21" s="3"/>
      <c r="X21" s="3"/>
      <c r="Y21" s="3"/>
      <c r="Z21" s="3"/>
      <c r="AA21" s="3"/>
      <c r="AB21" s="3"/>
      <c r="AC21" s="3"/>
      <c r="AD21" s="3"/>
      <c r="AE21" s="3"/>
      <c r="AF21" s="3"/>
    </row>
    <row r="22" spans="1:32" ht="15.75" thickBot="1" x14ac:dyDescent="0.3">
      <c r="A22" s="3"/>
      <c r="B22" s="2153">
        <v>1999</v>
      </c>
      <c r="C22" s="2153">
        <v>87.842999999999989</v>
      </c>
      <c r="D22" s="2153">
        <v>0.78400000000000003</v>
      </c>
      <c r="E22" s="2153">
        <v>1.2929999999999999</v>
      </c>
      <c r="F22" s="2153">
        <v>-0.52900000000000003</v>
      </c>
      <c r="G22" s="2153">
        <v>0.02</v>
      </c>
      <c r="H22" s="3"/>
      <c r="I22" s="3"/>
      <c r="J22" s="3"/>
      <c r="K22" s="3"/>
      <c r="L22" s="3"/>
      <c r="M22" s="3"/>
      <c r="N22" s="3"/>
      <c r="O22" s="3"/>
      <c r="P22" s="3"/>
      <c r="Q22" s="3"/>
      <c r="R22" s="3"/>
      <c r="S22" s="3"/>
      <c r="T22" s="3"/>
      <c r="U22" s="3"/>
      <c r="V22" s="3"/>
      <c r="W22" s="3"/>
      <c r="X22" s="3"/>
      <c r="Y22" s="3"/>
      <c r="Z22" s="3"/>
      <c r="AA22" s="3"/>
      <c r="AB22" s="3"/>
      <c r="AC22" s="3"/>
      <c r="AD22" s="3"/>
      <c r="AE22" s="3"/>
      <c r="AF22" s="3"/>
    </row>
    <row r="23" spans="1:32" ht="15.75" thickTop="1" x14ac:dyDescent="0.25">
      <c r="A23" s="3"/>
      <c r="B23" s="2154">
        <v>2000</v>
      </c>
      <c r="C23" s="2155">
        <v>87.000209999999996</v>
      </c>
      <c r="D23" s="2154"/>
      <c r="E23" s="2154"/>
      <c r="F23" s="2154"/>
      <c r="G23" s="2154"/>
      <c r="H23" s="3"/>
      <c r="I23" s="3"/>
      <c r="J23" s="3"/>
      <c r="K23" s="3"/>
      <c r="L23" s="3"/>
      <c r="M23" s="3"/>
      <c r="N23" s="3"/>
      <c r="O23" s="3"/>
      <c r="P23" s="3"/>
      <c r="Q23" s="3"/>
      <c r="R23" s="3"/>
      <c r="S23" s="3"/>
      <c r="T23" s="3"/>
      <c r="U23" s="3"/>
      <c r="V23" s="3"/>
      <c r="W23" s="3"/>
      <c r="X23" s="3"/>
      <c r="Y23" s="3"/>
      <c r="Z23" s="3"/>
      <c r="AA23" s="3"/>
      <c r="AB23" s="3"/>
      <c r="AC23" s="3"/>
      <c r="AD23" s="3"/>
      <c r="AE23" s="3"/>
      <c r="AF23" s="3"/>
    </row>
    <row r="24" spans="1:32" ht="15" x14ac:dyDescent="0.25">
      <c r="A24" s="3"/>
      <c r="B24" s="2152">
        <v>2001</v>
      </c>
      <c r="C24" s="2156">
        <v>89.291449999999998</v>
      </c>
      <c r="D24" s="2156">
        <v>2.2912368999999999</v>
      </c>
      <c r="E24" s="2152"/>
      <c r="F24" s="2152"/>
      <c r="G24" s="2152"/>
      <c r="H24" s="3"/>
      <c r="I24" s="3"/>
      <c r="J24" s="3"/>
      <c r="K24" s="3"/>
      <c r="L24" s="3"/>
      <c r="M24" s="3"/>
      <c r="N24" s="3"/>
      <c r="O24" s="3"/>
      <c r="P24" s="3"/>
      <c r="Q24" s="3"/>
      <c r="R24" s="3"/>
      <c r="S24" s="3"/>
      <c r="T24" s="3"/>
      <c r="U24" s="3"/>
      <c r="V24" s="3"/>
      <c r="W24" s="3"/>
      <c r="X24" s="3"/>
      <c r="Y24" s="3"/>
      <c r="Z24" s="3"/>
      <c r="AA24" s="3"/>
      <c r="AB24" s="3"/>
      <c r="AC24" s="3"/>
      <c r="AD24" s="3"/>
      <c r="AE24" s="3"/>
      <c r="AF24" s="3"/>
    </row>
    <row r="25" spans="1:32" ht="15" x14ac:dyDescent="0.25">
      <c r="A25" s="3"/>
      <c r="B25" s="2152">
        <v>2002</v>
      </c>
      <c r="C25" s="2156">
        <v>89.968770000000006</v>
      </c>
      <c r="D25" s="2156">
        <v>0.67732239999999999</v>
      </c>
      <c r="E25" s="2152"/>
      <c r="F25" s="2152"/>
      <c r="G25" s="2152"/>
      <c r="H25" s="3"/>
      <c r="I25" s="3"/>
      <c r="J25" s="3"/>
      <c r="K25" s="3"/>
      <c r="L25" s="3"/>
      <c r="M25" s="3"/>
      <c r="N25" s="3"/>
      <c r="O25" s="3"/>
      <c r="P25" s="3"/>
      <c r="Q25" s="3"/>
      <c r="R25" s="3"/>
      <c r="S25" s="3"/>
      <c r="T25" s="3"/>
      <c r="U25" s="3"/>
      <c r="V25" s="3"/>
      <c r="W25" s="3"/>
      <c r="X25" s="3"/>
      <c r="Y25" s="3"/>
      <c r="Z25" s="3"/>
      <c r="AA25" s="3"/>
      <c r="AB25" s="3"/>
      <c r="AC25" s="3"/>
      <c r="AD25" s="3"/>
      <c r="AE25" s="3"/>
      <c r="AF25" s="3"/>
    </row>
    <row r="26" spans="1:32" ht="15" x14ac:dyDescent="0.25">
      <c r="A26" s="3"/>
      <c r="B26" s="2152">
        <v>2003</v>
      </c>
      <c r="C26" s="2156">
        <v>92.303023999999994</v>
      </c>
      <c r="D26" s="2156">
        <v>2.3342513999999999</v>
      </c>
      <c r="E26" s="2152"/>
      <c r="F26" s="2152"/>
      <c r="G26" s="2152"/>
      <c r="H26" s="3"/>
      <c r="I26" s="3"/>
      <c r="J26" s="3"/>
      <c r="K26" s="3"/>
      <c r="L26" s="3"/>
      <c r="M26" s="3"/>
      <c r="N26" s="3"/>
      <c r="O26" s="3"/>
      <c r="P26" s="3"/>
      <c r="Q26" s="3"/>
      <c r="R26" s="3"/>
      <c r="S26" s="3"/>
      <c r="T26" s="3"/>
      <c r="U26" s="3"/>
      <c r="V26" s="3"/>
      <c r="W26" s="3"/>
      <c r="X26" s="3"/>
      <c r="Y26" s="3"/>
      <c r="Z26" s="3"/>
      <c r="AA26" s="3"/>
      <c r="AB26" s="3"/>
      <c r="AC26" s="3"/>
      <c r="AD26" s="3"/>
      <c r="AE26" s="3"/>
      <c r="AF26" s="3"/>
    </row>
    <row r="27" spans="1:32" ht="15" x14ac:dyDescent="0.25">
      <c r="A27" s="3"/>
      <c r="B27" s="2152">
        <v>2004</v>
      </c>
      <c r="C27" s="2156">
        <v>94.35575</v>
      </c>
      <c r="D27" s="2156">
        <v>2.0527267</v>
      </c>
      <c r="E27" s="2152"/>
      <c r="F27" s="2152"/>
      <c r="G27" s="2152"/>
      <c r="H27" s="3"/>
      <c r="I27" s="3"/>
      <c r="J27" s="3"/>
      <c r="K27" s="3"/>
      <c r="L27" s="3"/>
      <c r="M27" s="3"/>
      <c r="N27" s="3"/>
      <c r="O27" s="3"/>
      <c r="P27" s="3"/>
      <c r="Q27" s="3"/>
      <c r="R27" s="3"/>
      <c r="S27" s="3"/>
      <c r="T27" s="3"/>
      <c r="U27" s="3"/>
      <c r="V27" s="3"/>
      <c r="W27" s="3"/>
      <c r="X27" s="3"/>
      <c r="Y27" s="3"/>
      <c r="Z27" s="3"/>
      <c r="AA27" s="3"/>
      <c r="AB27" s="3"/>
      <c r="AC27" s="3"/>
      <c r="AD27" s="3"/>
      <c r="AE27" s="3"/>
      <c r="AF27" s="3"/>
    </row>
    <row r="28" spans="1:32" ht="15" x14ac:dyDescent="0.25">
      <c r="A28" s="3"/>
      <c r="B28" s="2152">
        <v>2005</v>
      </c>
      <c r="C28" s="2156">
        <v>95.916250000000005</v>
      </c>
      <c r="D28" s="2156">
        <v>1.5605011</v>
      </c>
      <c r="E28" s="2152"/>
      <c r="F28" s="2152"/>
      <c r="G28" s="2152"/>
      <c r="H28" s="3"/>
      <c r="I28" s="3"/>
      <c r="J28" s="3"/>
      <c r="K28" s="3"/>
      <c r="L28" s="3"/>
      <c r="M28" s="3"/>
      <c r="N28" s="3"/>
      <c r="O28" s="3"/>
      <c r="P28" s="3"/>
      <c r="Q28" s="3"/>
      <c r="R28" s="3"/>
      <c r="S28" s="3"/>
      <c r="T28" s="3"/>
      <c r="U28" s="3"/>
      <c r="V28" s="3"/>
      <c r="W28" s="3"/>
      <c r="X28" s="3"/>
      <c r="Y28" s="3"/>
      <c r="Z28" s="3"/>
      <c r="AA28" s="3"/>
      <c r="AB28" s="3"/>
      <c r="AC28" s="3"/>
      <c r="AD28" s="3"/>
      <c r="AE28" s="3"/>
      <c r="AF28" s="3"/>
    </row>
    <row r="29" spans="1:32" ht="15" x14ac:dyDescent="0.25">
      <c r="A29" s="3"/>
      <c r="B29" s="2152">
        <v>2006</v>
      </c>
      <c r="C29" s="2156">
        <v>97.513000000000005</v>
      </c>
      <c r="D29" s="2156">
        <v>1.5967484000000001</v>
      </c>
      <c r="E29" s="2152"/>
      <c r="F29" s="2152"/>
      <c r="G29" s="2152"/>
      <c r="H29" s="3"/>
      <c r="I29" s="3"/>
      <c r="J29" s="3"/>
      <c r="K29" s="3"/>
      <c r="L29" s="3"/>
      <c r="M29" s="3"/>
      <c r="N29" s="3"/>
      <c r="O29" s="3"/>
      <c r="P29" s="3"/>
      <c r="Q29" s="3"/>
      <c r="R29" s="3"/>
      <c r="S29" s="3"/>
      <c r="T29" s="3"/>
      <c r="U29" s="3"/>
      <c r="V29" s="3"/>
      <c r="W29" s="3"/>
      <c r="X29" s="3"/>
      <c r="Y29" s="3"/>
      <c r="Z29" s="3"/>
      <c r="AA29" s="3"/>
      <c r="AB29" s="3"/>
      <c r="AC29" s="3"/>
      <c r="AD29" s="3"/>
      <c r="AE29" s="3"/>
      <c r="AF29" s="3"/>
    </row>
    <row r="30" spans="1:32" ht="15" x14ac:dyDescent="0.25">
      <c r="A30" s="3"/>
      <c r="B30" s="2152">
        <v>2007</v>
      </c>
      <c r="C30" s="2156">
        <v>98.517129999999995</v>
      </c>
      <c r="D30" s="2156">
        <v>1.0041275000000001</v>
      </c>
      <c r="E30" s="2152"/>
      <c r="F30" s="2152"/>
      <c r="G30" s="2152"/>
      <c r="H30" s="3"/>
      <c r="I30" s="3"/>
      <c r="J30" s="3"/>
      <c r="K30" s="3"/>
      <c r="L30" s="3"/>
      <c r="M30" s="3"/>
      <c r="N30" s="3"/>
      <c r="O30" s="3"/>
      <c r="P30" s="3"/>
      <c r="Q30" s="3"/>
      <c r="R30" s="3"/>
      <c r="S30" s="3"/>
      <c r="T30" s="3"/>
      <c r="U30" s="3"/>
      <c r="V30" s="3"/>
      <c r="W30" s="3"/>
      <c r="X30" s="3"/>
      <c r="Y30" s="3"/>
      <c r="Z30" s="3"/>
      <c r="AA30" s="3"/>
      <c r="AB30" s="3"/>
      <c r="AC30" s="3"/>
      <c r="AD30" s="3"/>
      <c r="AE30" s="3"/>
      <c r="AF30" s="3"/>
    </row>
    <row r="31" spans="1:32" ht="15" x14ac:dyDescent="0.25">
      <c r="A31" s="3"/>
      <c r="B31" s="2152">
        <v>2008</v>
      </c>
      <c r="C31" s="2156">
        <v>100.57679</v>
      </c>
      <c r="D31" s="2156">
        <v>2.0596619</v>
      </c>
      <c r="E31" s="2152"/>
      <c r="F31" s="2152"/>
      <c r="G31" s="2152"/>
      <c r="H31" s="3"/>
      <c r="I31" s="3"/>
      <c r="J31" s="3"/>
      <c r="K31" s="3"/>
      <c r="L31" s="3"/>
      <c r="M31" s="3"/>
      <c r="N31" s="3"/>
      <c r="O31" s="3"/>
      <c r="P31" s="3"/>
      <c r="Q31" s="3"/>
      <c r="R31" s="3"/>
      <c r="S31" s="3"/>
      <c r="T31" s="3"/>
      <c r="U31" s="3"/>
      <c r="V31" s="3"/>
      <c r="W31" s="3"/>
      <c r="X31" s="3"/>
      <c r="Y31" s="3"/>
      <c r="Z31" s="3"/>
      <c r="AA31" s="3"/>
      <c r="AB31" s="3"/>
      <c r="AC31" s="3"/>
      <c r="AD31" s="3"/>
      <c r="AE31" s="3"/>
      <c r="AF31" s="3"/>
    </row>
    <row r="32" spans="1:32" ht="15" x14ac:dyDescent="0.25">
      <c r="A32" s="3"/>
      <c r="B32" s="2152">
        <v>2009</v>
      </c>
      <c r="C32" s="2156">
        <v>103.406685</v>
      </c>
      <c r="D32" s="2156">
        <v>2.829895</v>
      </c>
      <c r="E32" s="2152"/>
      <c r="F32" s="2152"/>
      <c r="G32" s="2152"/>
      <c r="H32" s="3"/>
      <c r="I32" s="3"/>
      <c r="J32" s="3"/>
      <c r="K32" s="3"/>
      <c r="L32" s="3"/>
      <c r="M32" s="3"/>
      <c r="N32" s="3"/>
      <c r="O32" s="3"/>
      <c r="P32" s="3"/>
      <c r="Q32" s="3"/>
      <c r="R32" s="3"/>
      <c r="S32" s="3"/>
      <c r="T32" s="3"/>
      <c r="U32" s="3"/>
      <c r="V32" s="3"/>
      <c r="W32" s="3"/>
      <c r="X32" s="3"/>
      <c r="Y32" s="3"/>
      <c r="Z32" s="3"/>
      <c r="AA32" s="3"/>
      <c r="AB32" s="3"/>
      <c r="AC32" s="3"/>
      <c r="AD32" s="3"/>
      <c r="AE32" s="3"/>
      <c r="AF32" s="3"/>
    </row>
    <row r="33" spans="1:32" ht="15" x14ac:dyDescent="0.25">
      <c r="A33" s="3"/>
      <c r="B33" s="2152">
        <v>2010</v>
      </c>
      <c r="C33" s="2156">
        <v>104.35123400000001</v>
      </c>
      <c r="D33" s="2156">
        <v>0.94454956000000001</v>
      </c>
      <c r="E33" s="2152"/>
      <c r="F33" s="2152"/>
      <c r="G33" s="2152"/>
      <c r="H33" s="3"/>
      <c r="I33" s="3"/>
      <c r="J33" s="3"/>
      <c r="K33" s="3"/>
      <c r="L33" s="3"/>
      <c r="M33" s="3"/>
      <c r="N33" s="3"/>
      <c r="O33" s="3"/>
      <c r="P33" s="3"/>
      <c r="Q33" s="3"/>
      <c r="R33" s="3"/>
      <c r="S33" s="3"/>
      <c r="T33" s="3"/>
      <c r="U33" s="3"/>
      <c r="V33" s="3"/>
      <c r="W33" s="3"/>
      <c r="X33" s="3"/>
      <c r="Y33" s="3"/>
      <c r="Z33" s="3"/>
      <c r="AA33" s="3"/>
      <c r="AB33" s="3"/>
      <c r="AC33" s="3"/>
      <c r="AD33" s="3"/>
      <c r="AE33" s="3"/>
      <c r="AF33" s="3"/>
    </row>
    <row r="34" spans="1:32" ht="15" x14ac:dyDescent="0.25">
      <c r="A34" s="3"/>
      <c r="B34" s="2152">
        <v>2011</v>
      </c>
      <c r="C34" s="2156">
        <v>105.90895</v>
      </c>
      <c r="D34" s="2156">
        <v>1.5577163999999999</v>
      </c>
      <c r="E34" s="2152"/>
      <c r="F34" s="2152"/>
      <c r="G34" s="2152"/>
      <c r="H34" s="3"/>
      <c r="I34" s="3"/>
      <c r="J34" s="3"/>
      <c r="K34" s="3"/>
      <c r="L34" s="3"/>
      <c r="M34" s="3"/>
      <c r="N34" s="3"/>
      <c r="O34" s="3"/>
      <c r="P34" s="3"/>
      <c r="Q34" s="3"/>
      <c r="R34" s="3"/>
      <c r="S34" s="3"/>
      <c r="T34" s="3"/>
      <c r="U34" s="3"/>
      <c r="V34" s="3"/>
      <c r="W34" s="3"/>
      <c r="X34" s="3"/>
      <c r="Y34" s="3"/>
      <c r="Z34" s="3"/>
      <c r="AA34" s="3"/>
      <c r="AB34" s="3"/>
      <c r="AC34" s="3"/>
      <c r="AD34" s="3"/>
      <c r="AE34" s="3"/>
      <c r="AF34" s="3"/>
    </row>
    <row r="35" spans="1:32" ht="15" x14ac:dyDescent="0.25">
      <c r="A35" s="3"/>
      <c r="B35" s="2152">
        <v>2012</v>
      </c>
      <c r="C35" s="2156">
        <v>107.932846</v>
      </c>
      <c r="D35" s="2156">
        <v>2.0238953</v>
      </c>
      <c r="E35" s="2152"/>
      <c r="F35" s="2152"/>
      <c r="G35" s="2152"/>
      <c r="H35" s="3"/>
      <c r="I35" s="3"/>
      <c r="J35" s="3"/>
      <c r="K35" s="3"/>
      <c r="L35" s="3"/>
      <c r="M35" s="3"/>
      <c r="N35" s="3"/>
      <c r="O35" s="3"/>
      <c r="P35" s="3"/>
      <c r="Q35" s="3"/>
      <c r="R35" s="3"/>
      <c r="S35" s="3"/>
      <c r="T35" s="3"/>
      <c r="U35" s="3"/>
      <c r="V35" s="3"/>
      <c r="W35" s="3"/>
      <c r="X35" s="3"/>
      <c r="Y35" s="3"/>
      <c r="Z35" s="3"/>
      <c r="AA35" s="3"/>
      <c r="AB35" s="3"/>
      <c r="AC35" s="3"/>
      <c r="AD35" s="3"/>
      <c r="AE35" s="3"/>
      <c r="AF35" s="3"/>
    </row>
    <row r="36" spans="1:32" ht="15" x14ac:dyDescent="0.25">
      <c r="A36" s="3"/>
      <c r="B36" s="2152">
        <v>2013</v>
      </c>
      <c r="C36" s="2156">
        <v>110.34440600000001</v>
      </c>
      <c r="D36" s="2156">
        <v>2.4115600000000001</v>
      </c>
      <c r="E36" s="2152"/>
      <c r="F36" s="2152"/>
      <c r="G36" s="2152"/>
      <c r="H36" s="3"/>
      <c r="I36" s="3"/>
      <c r="J36" s="3"/>
      <c r="K36" s="3"/>
      <c r="L36" s="3"/>
      <c r="M36" s="3"/>
      <c r="N36" s="3"/>
      <c r="O36" s="3"/>
      <c r="P36" s="3"/>
      <c r="Q36" s="3"/>
      <c r="R36" s="3"/>
      <c r="S36" s="3"/>
      <c r="T36" s="3"/>
      <c r="U36" s="3"/>
      <c r="V36" s="3"/>
      <c r="W36" s="3"/>
      <c r="X36" s="3"/>
      <c r="Y36" s="3"/>
      <c r="Z36" s="3"/>
      <c r="AA36" s="3"/>
      <c r="AB36" s="3"/>
      <c r="AC36" s="3"/>
      <c r="AD36" s="3"/>
      <c r="AE36" s="3"/>
      <c r="AF36" s="3"/>
    </row>
    <row r="37" spans="1:32" ht="15" x14ac:dyDescent="0.25">
      <c r="A37" s="3"/>
      <c r="B37" s="2152">
        <v>2014</v>
      </c>
      <c r="C37" s="2156">
        <v>112.5826</v>
      </c>
      <c r="D37" s="2156">
        <v>2.2381972999999999</v>
      </c>
      <c r="E37" s="2152"/>
      <c r="F37" s="2152"/>
      <c r="G37" s="2152"/>
      <c r="H37" s="3"/>
      <c r="I37" s="3"/>
      <c r="J37" s="3"/>
      <c r="K37" s="3"/>
      <c r="L37" s="3"/>
      <c r="M37" s="3"/>
      <c r="N37" s="3"/>
      <c r="O37" s="3"/>
      <c r="P37" s="3"/>
      <c r="Q37" s="3"/>
      <c r="R37" s="3"/>
      <c r="S37" s="3"/>
      <c r="T37" s="3"/>
      <c r="U37" s="3"/>
      <c r="V37" s="3"/>
      <c r="W37" s="3"/>
      <c r="X37" s="3"/>
      <c r="Y37" s="3"/>
      <c r="Z37" s="3"/>
      <c r="AA37" s="3"/>
      <c r="AB37" s="3"/>
      <c r="AC37" s="3"/>
      <c r="AD37" s="3"/>
      <c r="AE37" s="3"/>
      <c r="AF37" s="3"/>
    </row>
    <row r="38" spans="1:32" ht="15" x14ac:dyDescent="0.25">
      <c r="A38" s="3"/>
      <c r="B38" s="2152">
        <v>2015</v>
      </c>
      <c r="C38" s="2156">
        <v>115.124405</v>
      </c>
      <c r="D38" s="2156">
        <v>2.5418015</v>
      </c>
      <c r="E38" s="2152"/>
      <c r="F38" s="2152"/>
      <c r="G38" s="2152"/>
      <c r="H38" s="3"/>
      <c r="I38" s="3"/>
      <c r="J38" s="3"/>
      <c r="K38" s="3"/>
      <c r="L38" s="3"/>
      <c r="M38" s="3"/>
      <c r="N38" s="3"/>
      <c r="O38" s="3"/>
      <c r="P38" s="3"/>
      <c r="Q38" s="3"/>
      <c r="R38" s="3"/>
      <c r="S38" s="3"/>
      <c r="T38" s="3"/>
      <c r="U38" s="3"/>
      <c r="V38" s="3"/>
      <c r="W38" s="3"/>
      <c r="X38" s="3"/>
      <c r="Y38" s="3"/>
      <c r="Z38" s="3"/>
      <c r="AA38" s="3"/>
      <c r="AB38" s="3"/>
      <c r="AC38" s="3"/>
      <c r="AD38" s="3"/>
      <c r="AE38" s="3"/>
      <c r="AF38" s="3"/>
    </row>
    <row r="39" spans="1:32" ht="15" x14ac:dyDescent="0.25">
      <c r="A39" s="3"/>
      <c r="B39" s="2152">
        <v>2016</v>
      </c>
      <c r="C39" s="2156">
        <v>115.5119</v>
      </c>
      <c r="D39" s="2156">
        <v>0.38749695000000001</v>
      </c>
      <c r="E39" s="2152"/>
      <c r="F39" s="2152"/>
      <c r="G39" s="2152"/>
      <c r="H39" s="3"/>
      <c r="I39" s="3"/>
      <c r="J39" s="3"/>
      <c r="K39" s="3"/>
      <c r="L39" s="3"/>
      <c r="M39" s="3"/>
      <c r="N39" s="3"/>
      <c r="O39" s="3"/>
      <c r="P39" s="3"/>
      <c r="Q39" s="3"/>
      <c r="R39" s="3"/>
      <c r="S39" s="3"/>
      <c r="T39" s="3"/>
      <c r="U39" s="3"/>
      <c r="V39" s="3"/>
      <c r="W39" s="3"/>
      <c r="X39" s="3"/>
      <c r="Y39" s="3"/>
      <c r="Z39" s="3"/>
      <c r="AA39" s="3"/>
      <c r="AB39" s="3"/>
      <c r="AC39" s="3"/>
      <c r="AD39" s="3"/>
      <c r="AE39" s="3"/>
      <c r="AF39" s="3"/>
    </row>
    <row r="40" spans="1:32" ht="15" x14ac:dyDescent="0.25">
      <c r="A40" s="3"/>
      <c r="B40" s="2152">
        <v>2017</v>
      </c>
      <c r="C40" s="2156">
        <v>117.04738</v>
      </c>
      <c r="D40" s="2156">
        <v>1.5354767</v>
      </c>
      <c r="E40" s="2152"/>
      <c r="F40" s="2152"/>
      <c r="G40" s="2152"/>
      <c r="H40" s="3"/>
      <c r="I40" s="3"/>
      <c r="J40" s="3"/>
      <c r="K40" s="3"/>
      <c r="L40" s="3"/>
      <c r="M40" s="3"/>
      <c r="N40" s="3"/>
      <c r="O40" s="3"/>
      <c r="P40" s="3"/>
      <c r="Q40" s="3"/>
      <c r="R40" s="3"/>
      <c r="S40" s="3"/>
      <c r="T40" s="3"/>
      <c r="U40" s="3"/>
      <c r="V40" s="3"/>
      <c r="W40" s="3"/>
      <c r="X40" s="3"/>
      <c r="Y40" s="3"/>
      <c r="Z40" s="3"/>
      <c r="AA40" s="3"/>
      <c r="AB40" s="3"/>
      <c r="AC40" s="3"/>
      <c r="AD40" s="3"/>
      <c r="AE40" s="3"/>
      <c r="AF40" s="3"/>
    </row>
    <row r="41" spans="1:32" ht="15" x14ac:dyDescent="0.25">
      <c r="A41" s="3"/>
      <c r="B41" s="2152">
        <v>2018</v>
      </c>
      <c r="C41" s="2156">
        <v>117.97264</v>
      </c>
      <c r="D41" s="2156">
        <v>0.92526244999999996</v>
      </c>
      <c r="E41" s="2152"/>
      <c r="F41" s="2152"/>
      <c r="G41" s="2152"/>
      <c r="H41" s="3"/>
      <c r="I41" s="3"/>
      <c r="J41" s="3"/>
      <c r="K41" s="3"/>
      <c r="L41" s="3"/>
      <c r="M41" s="3"/>
      <c r="N41" s="3"/>
      <c r="O41" s="3"/>
      <c r="P41" s="3"/>
      <c r="Q41" s="3"/>
      <c r="R41" s="3"/>
      <c r="S41" s="3"/>
      <c r="T41" s="3"/>
      <c r="U41" s="3"/>
      <c r="V41" s="3"/>
      <c r="W41" s="3"/>
      <c r="X41" s="3"/>
      <c r="Y41" s="3"/>
      <c r="Z41" s="3"/>
      <c r="AA41" s="3"/>
      <c r="AB41" s="3"/>
      <c r="AC41" s="3"/>
      <c r="AD41" s="3"/>
      <c r="AE41" s="3"/>
      <c r="AF41" s="3"/>
    </row>
    <row r="42" spans="1:32" ht="15" x14ac:dyDescent="0.25">
      <c r="A42" s="3"/>
      <c r="B42" s="2152">
        <v>2019</v>
      </c>
      <c r="C42" s="2156">
        <v>118.91793</v>
      </c>
      <c r="D42" s="2156">
        <v>0.94528959999999995</v>
      </c>
      <c r="E42" s="2152"/>
      <c r="F42" s="2152"/>
      <c r="G42" s="2152"/>
      <c r="H42" s="3"/>
      <c r="I42" s="3"/>
      <c r="J42" s="3"/>
      <c r="K42" s="3"/>
      <c r="L42" s="3"/>
      <c r="M42" s="3"/>
      <c r="N42" s="3"/>
      <c r="O42" s="3"/>
      <c r="P42" s="3"/>
      <c r="Q42" s="3"/>
      <c r="R42" s="3"/>
      <c r="S42" s="3"/>
      <c r="T42" s="3"/>
      <c r="U42" s="3"/>
      <c r="V42" s="3"/>
      <c r="W42" s="3"/>
      <c r="X42" s="3"/>
      <c r="Y42" s="3"/>
      <c r="Z42" s="3"/>
      <c r="AA42" s="3"/>
      <c r="AB42" s="3"/>
      <c r="AC42" s="3"/>
      <c r="AD42" s="3"/>
      <c r="AE42" s="3"/>
      <c r="AF42" s="3"/>
    </row>
    <row r="43" spans="1:32" ht="15" x14ac:dyDescent="0.25">
      <c r="A43" s="3"/>
      <c r="B43" s="2152">
        <v>2020</v>
      </c>
      <c r="C43" s="2156">
        <v>120.864655</v>
      </c>
      <c r="D43" s="2156">
        <v>1.9467239000000001</v>
      </c>
      <c r="E43" s="2152"/>
      <c r="F43" s="2152"/>
      <c r="G43" s="2152"/>
      <c r="H43" s="3"/>
      <c r="I43" s="3"/>
      <c r="J43" s="3"/>
      <c r="K43" s="3"/>
      <c r="L43" s="3"/>
      <c r="M43" s="3"/>
      <c r="N43" s="3"/>
      <c r="O43" s="3"/>
      <c r="P43" s="3"/>
      <c r="Q43" s="3"/>
      <c r="R43" s="3"/>
      <c r="S43" s="3"/>
      <c r="T43" s="3"/>
      <c r="U43" s="3"/>
      <c r="V43" s="3"/>
      <c r="W43" s="3"/>
      <c r="X43" s="3"/>
      <c r="Y43" s="3"/>
      <c r="Z43" s="3"/>
      <c r="AA43" s="3"/>
      <c r="AB43" s="3"/>
      <c r="AC43" s="3"/>
      <c r="AD43" s="3"/>
      <c r="AE43" s="3"/>
      <c r="AF43" s="3"/>
    </row>
    <row r="44" spans="1:32" ht="15" x14ac:dyDescent="0.25">
      <c r="A44" s="3"/>
      <c r="B44" s="2152">
        <v>2021</v>
      </c>
      <c r="C44" s="2156">
        <v>122.49020400000001</v>
      </c>
      <c r="D44" s="2156">
        <v>1.6255493000000001</v>
      </c>
      <c r="E44" s="2152"/>
      <c r="F44" s="2152"/>
      <c r="G44" s="2152"/>
      <c r="H44" s="3"/>
      <c r="I44" s="3"/>
      <c r="J44" s="3"/>
      <c r="K44" s="3"/>
      <c r="L44" s="3"/>
      <c r="M44" s="3"/>
      <c r="N44" s="3"/>
      <c r="O44" s="3"/>
      <c r="P44" s="3"/>
      <c r="Q44" s="3"/>
      <c r="R44" s="3"/>
      <c r="S44" s="3"/>
      <c r="T44" s="3"/>
      <c r="U44" s="3"/>
      <c r="V44" s="3"/>
      <c r="W44" s="3"/>
      <c r="X44" s="3"/>
      <c r="Y44" s="3"/>
      <c r="Z44" s="3"/>
      <c r="AA44" s="3"/>
      <c r="AB44" s="3"/>
      <c r="AC44" s="3"/>
      <c r="AD44" s="3"/>
      <c r="AE44" s="3"/>
      <c r="AF44" s="3"/>
    </row>
    <row r="45" spans="1:32" ht="15" x14ac:dyDescent="0.25">
      <c r="A45" s="3"/>
      <c r="B45" s="2152">
        <v>2022</v>
      </c>
      <c r="C45" s="2156">
        <v>123.88503</v>
      </c>
      <c r="D45" s="2156">
        <v>1.3948288</v>
      </c>
      <c r="E45" s="2152"/>
      <c r="F45" s="2152"/>
      <c r="G45" s="2152"/>
      <c r="H45" s="3"/>
      <c r="I45" s="3"/>
      <c r="J45" s="3"/>
      <c r="K45" s="3"/>
      <c r="L45" s="3"/>
      <c r="M45" s="3"/>
      <c r="N45" s="3"/>
      <c r="O45" s="3"/>
      <c r="P45" s="3"/>
      <c r="Q45" s="3"/>
      <c r="R45" s="3"/>
      <c r="S45" s="3"/>
      <c r="T45" s="3"/>
      <c r="U45" s="3"/>
      <c r="V45" s="3"/>
      <c r="W45" s="3"/>
      <c r="X45" s="3"/>
      <c r="Y45" s="3"/>
      <c r="Z45" s="3"/>
      <c r="AA45" s="3"/>
      <c r="AB45" s="3"/>
      <c r="AC45" s="3"/>
      <c r="AD45" s="3"/>
      <c r="AE45" s="3"/>
      <c r="AF45" s="3"/>
    </row>
    <row r="46" spans="1:32" ht="15" x14ac:dyDescent="0.25">
      <c r="A46" s="3"/>
      <c r="B46" s="2152">
        <v>2023</v>
      </c>
      <c r="C46" s="2156">
        <v>125.73924</v>
      </c>
      <c r="D46" s="2156">
        <v>1.8542099000000001</v>
      </c>
      <c r="E46" s="2152"/>
      <c r="F46" s="2152"/>
      <c r="G46" s="2152"/>
      <c r="H46" s="3"/>
      <c r="I46" s="3"/>
      <c r="J46" s="3"/>
      <c r="K46" s="3"/>
      <c r="L46" s="3"/>
      <c r="M46" s="3"/>
      <c r="N46" s="3"/>
      <c r="O46" s="3"/>
      <c r="P46" s="3"/>
      <c r="Q46" s="3"/>
      <c r="R46" s="3"/>
      <c r="S46" s="3"/>
      <c r="T46" s="3"/>
      <c r="U46" s="3"/>
      <c r="V46" s="3"/>
      <c r="W46" s="3"/>
      <c r="X46" s="3"/>
      <c r="Y46" s="3"/>
      <c r="Z46" s="3"/>
      <c r="AA46" s="3"/>
      <c r="AB46" s="3"/>
      <c r="AC46" s="3"/>
      <c r="AD46" s="3"/>
      <c r="AE46" s="3"/>
      <c r="AF46" s="3"/>
    </row>
    <row r="47" spans="1:32" ht="15" x14ac:dyDescent="0.25">
      <c r="A47" s="3"/>
      <c r="B47" s="2152">
        <v>2024</v>
      </c>
      <c r="C47" s="2156">
        <v>126.98994</v>
      </c>
      <c r="D47" s="2156">
        <v>1.2506942999999999</v>
      </c>
      <c r="E47" s="2152"/>
      <c r="F47" s="2152"/>
      <c r="G47" s="2152"/>
      <c r="H47" s="3"/>
      <c r="I47" s="3"/>
      <c r="J47" s="3"/>
      <c r="K47" s="3"/>
      <c r="L47" s="3"/>
      <c r="M47" s="3"/>
      <c r="N47" s="3"/>
      <c r="O47" s="3"/>
      <c r="P47" s="3"/>
      <c r="Q47" s="3"/>
      <c r="R47" s="3"/>
      <c r="S47" s="3"/>
      <c r="T47" s="3"/>
      <c r="U47" s="3"/>
      <c r="V47" s="3"/>
      <c r="W47" s="3"/>
      <c r="X47" s="3"/>
      <c r="Y47" s="3"/>
      <c r="Z47" s="3"/>
      <c r="AA47" s="3"/>
      <c r="AB47" s="3"/>
      <c r="AC47" s="3"/>
      <c r="AD47" s="3"/>
      <c r="AE47" s="3"/>
      <c r="AF47" s="3"/>
    </row>
    <row r="48" spans="1:32" ht="15" x14ac:dyDescent="0.25">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row>
    <row r="49" spans="1:32" ht="15" x14ac:dyDescent="0.25">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row>
    <row r="50" spans="1:32" ht="15" x14ac:dyDescent="0.25">
      <c r="A50" s="3"/>
      <c r="B50" s="1904" t="s">
        <v>1664</v>
      </c>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row>
    <row r="51" spans="1:32" ht="15" x14ac:dyDescent="0.25">
      <c r="A51" s="3"/>
      <c r="B51" s="2157" t="s">
        <v>2142</v>
      </c>
      <c r="C51" s="2158"/>
      <c r="D51" s="2158"/>
      <c r="E51" s="2158"/>
      <c r="F51" s="3"/>
      <c r="G51" s="3"/>
      <c r="H51" s="3"/>
      <c r="I51" s="3"/>
      <c r="J51" s="3"/>
      <c r="K51" s="3"/>
      <c r="L51" s="3"/>
      <c r="M51" s="3"/>
      <c r="N51" s="3"/>
      <c r="O51" s="3"/>
      <c r="P51" s="3"/>
      <c r="Q51" s="3"/>
      <c r="R51" s="3"/>
      <c r="S51" s="3"/>
      <c r="T51" s="3"/>
      <c r="U51" s="3"/>
      <c r="V51" s="3"/>
      <c r="W51" s="3"/>
      <c r="X51" s="3"/>
      <c r="Y51" s="3"/>
      <c r="Z51" s="3"/>
      <c r="AA51" s="3"/>
      <c r="AB51" s="3"/>
      <c r="AC51" s="3"/>
      <c r="AD51" s="3"/>
      <c r="AE51" s="3"/>
      <c r="AF51" s="3"/>
    </row>
    <row r="52" spans="1:32" ht="15" x14ac:dyDescent="0.25">
      <c r="A52" s="3"/>
      <c r="B52" s="2157" t="s">
        <v>2143</v>
      </c>
      <c r="C52" s="2158"/>
      <c r="D52" s="2158"/>
      <c r="E52" s="2158"/>
      <c r="F52" s="3"/>
      <c r="H52" s="3"/>
      <c r="I52" s="3"/>
      <c r="J52" s="3"/>
      <c r="K52" s="3"/>
      <c r="L52" s="3"/>
      <c r="M52" s="3"/>
      <c r="N52" s="3"/>
      <c r="O52" s="3"/>
      <c r="P52" s="3"/>
      <c r="Q52" s="3"/>
      <c r="R52" s="3"/>
      <c r="S52" s="3"/>
      <c r="T52" s="3"/>
      <c r="U52" s="3"/>
      <c r="V52" s="3"/>
      <c r="W52" s="3"/>
      <c r="X52" s="3"/>
      <c r="Y52" s="3"/>
      <c r="Z52" s="3"/>
      <c r="AA52" s="3"/>
      <c r="AB52" s="3"/>
      <c r="AC52" s="3"/>
      <c r="AD52" s="3"/>
      <c r="AE52" s="3"/>
      <c r="AF52" s="3"/>
    </row>
    <row r="53" spans="1:32" ht="15" x14ac:dyDescent="0.25">
      <c r="A53" s="3"/>
      <c r="B53" s="2393" t="s">
        <v>2144</v>
      </c>
      <c r="C53" s="2317"/>
      <c r="D53" s="2317"/>
      <c r="E53" s="2317"/>
      <c r="F53" s="3"/>
      <c r="G53" s="3"/>
      <c r="H53" s="3"/>
      <c r="I53" s="3"/>
      <c r="J53" s="3"/>
      <c r="K53" s="3"/>
      <c r="L53" s="3"/>
      <c r="M53" s="3"/>
      <c r="N53" s="3"/>
      <c r="O53" s="3"/>
      <c r="P53" s="3"/>
      <c r="Q53" s="3"/>
      <c r="R53" s="3"/>
      <c r="S53" s="3"/>
      <c r="T53" s="3"/>
      <c r="U53" s="3"/>
      <c r="V53" s="3"/>
      <c r="W53" s="3"/>
      <c r="X53" s="3"/>
      <c r="Y53" s="3"/>
      <c r="Z53" s="3"/>
      <c r="AA53" s="3"/>
      <c r="AB53" s="3"/>
      <c r="AC53" s="3"/>
      <c r="AD53" s="3"/>
      <c r="AE53" s="3"/>
      <c r="AF53" s="3"/>
    </row>
    <row r="54" spans="1:32" ht="15" x14ac:dyDescent="0.25">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row>
    <row r="55" spans="1:32" ht="15" x14ac:dyDescent="0.25">
      <c r="A55" s="3"/>
      <c r="B55" s="2159" t="s">
        <v>1668</v>
      </c>
      <c r="C55" s="2159"/>
      <c r="D55" s="2159"/>
      <c r="E55" s="2159"/>
      <c r="F55" s="2159"/>
      <c r="G55" s="2159"/>
      <c r="H55" s="2159"/>
      <c r="I55" s="2159"/>
      <c r="J55" s="2160"/>
      <c r="K55" s="2161"/>
      <c r="L55" s="2161"/>
      <c r="M55" s="2161"/>
      <c r="N55" s="2161"/>
      <c r="O55" s="2161"/>
      <c r="P55" s="2161"/>
      <c r="Q55" s="2161"/>
      <c r="R55" s="2161"/>
      <c r="S55" s="2161"/>
      <c r="T55" s="2161"/>
      <c r="U55" s="2161"/>
      <c r="V55" s="2161"/>
      <c r="W55" s="2161"/>
      <c r="X55" s="2161"/>
      <c r="Y55" s="2161"/>
      <c r="Z55" s="2161"/>
      <c r="AA55" s="2161"/>
      <c r="AB55" s="2161"/>
      <c r="AC55" s="2161"/>
      <c r="AD55" s="2161"/>
      <c r="AE55" s="2161"/>
      <c r="AF55" s="2161"/>
    </row>
    <row r="56" spans="1:32" ht="15" x14ac:dyDescent="0.25">
      <c r="A56" s="3"/>
      <c r="B56" s="2162" t="s">
        <v>1670</v>
      </c>
      <c r="C56" s="2163"/>
      <c r="D56" s="2164">
        <v>2006</v>
      </c>
      <c r="E56" s="2164">
        <v>2011</v>
      </c>
      <c r="F56" s="2164">
        <v>2014</v>
      </c>
      <c r="G56" s="2164">
        <v>2017</v>
      </c>
      <c r="H56" s="2164">
        <v>2020</v>
      </c>
      <c r="I56" s="2164">
        <v>2023</v>
      </c>
      <c r="K56" s="2165"/>
      <c r="L56" s="2165"/>
      <c r="M56" s="2165"/>
      <c r="N56" s="2165"/>
      <c r="O56" s="2165"/>
      <c r="P56" s="2165"/>
      <c r="Q56" s="2165"/>
      <c r="R56" s="2165"/>
      <c r="S56" s="4"/>
      <c r="T56" s="2165"/>
      <c r="U56" s="2165"/>
      <c r="V56" s="2165"/>
      <c r="W56" s="4"/>
      <c r="X56" s="4"/>
      <c r="Y56" s="2165"/>
      <c r="Z56" s="2165"/>
      <c r="AA56" s="4"/>
      <c r="AB56" s="2165"/>
      <c r="AC56" s="4"/>
      <c r="AD56" s="4"/>
      <c r="AE56" s="2165"/>
    </row>
    <row r="57" spans="1:32" ht="15" x14ac:dyDescent="0.25">
      <c r="A57" s="3"/>
      <c r="B57" s="2166" t="s">
        <v>1673</v>
      </c>
      <c r="C57" s="2167"/>
      <c r="D57" s="6">
        <v>-0.8</v>
      </c>
      <c r="E57" s="6">
        <v>-0.82</v>
      </c>
      <c r="F57" s="6">
        <v>-0.84</v>
      </c>
      <c r="G57" s="6">
        <v>-0.86</v>
      </c>
      <c r="H57" s="6">
        <v>-0.9</v>
      </c>
      <c r="I57" s="6">
        <v>-0.93</v>
      </c>
      <c r="K57" s="9"/>
      <c r="L57" s="9"/>
      <c r="M57" s="9"/>
      <c r="N57" s="9"/>
      <c r="O57" s="9"/>
      <c r="P57" s="9"/>
      <c r="Q57" s="9"/>
      <c r="R57" s="9"/>
      <c r="S57" s="4"/>
      <c r="T57" s="9"/>
      <c r="U57" s="9"/>
      <c r="V57" s="9"/>
      <c r="W57" s="4"/>
      <c r="X57" s="4"/>
      <c r="Y57" s="9"/>
      <c r="Z57" s="9"/>
      <c r="AA57" s="4"/>
      <c r="AB57" s="9"/>
      <c r="AC57" s="4"/>
      <c r="AD57" s="4"/>
      <c r="AE57" s="9"/>
    </row>
    <row r="58" spans="1:32" ht="15" x14ac:dyDescent="0.25">
      <c r="A58" s="3"/>
      <c r="B58" s="2166" t="s">
        <v>1657</v>
      </c>
      <c r="C58" s="2167"/>
      <c r="D58" s="6">
        <v>-0.02</v>
      </c>
      <c r="E58" s="6">
        <v>-0.01</v>
      </c>
      <c r="F58" s="6">
        <v>-0.01</v>
      </c>
      <c r="G58" s="6">
        <v>0</v>
      </c>
      <c r="H58" s="6">
        <v>0.01</v>
      </c>
      <c r="I58" s="6">
        <v>0.01</v>
      </c>
      <c r="K58" s="9"/>
      <c r="L58" s="9"/>
      <c r="M58" s="9"/>
      <c r="N58" s="9"/>
      <c r="O58" s="9"/>
      <c r="P58" s="9"/>
      <c r="Q58" s="9"/>
      <c r="R58" s="9"/>
      <c r="S58" s="4"/>
      <c r="T58" s="9"/>
      <c r="U58" s="9"/>
      <c r="V58" s="9"/>
      <c r="W58" s="4"/>
      <c r="X58" s="4"/>
      <c r="Y58" s="9"/>
      <c r="Z58" s="9"/>
      <c r="AA58" s="4"/>
      <c r="AB58" s="9"/>
      <c r="AC58" s="4"/>
      <c r="AD58" s="4"/>
      <c r="AE58" s="9"/>
    </row>
    <row r="59" spans="1:32" ht="15" x14ac:dyDescent="0.25">
      <c r="A59" s="3"/>
      <c r="B59" s="2166" t="s">
        <v>1676</v>
      </c>
      <c r="C59" s="2167"/>
      <c r="D59" s="6">
        <v>0.1</v>
      </c>
      <c r="E59" s="6">
        <v>0.1</v>
      </c>
      <c r="F59" s="6">
        <v>0.09</v>
      </c>
      <c r="G59" s="6">
        <v>0.09</v>
      </c>
      <c r="H59" s="6">
        <v>0.08</v>
      </c>
      <c r="I59" s="6">
        <v>0.08</v>
      </c>
      <c r="K59" s="9"/>
      <c r="L59" s="9"/>
      <c r="M59" s="9"/>
      <c r="N59" s="9"/>
      <c r="O59" s="9"/>
      <c r="P59" s="9"/>
      <c r="Q59" s="9"/>
      <c r="R59" s="9"/>
      <c r="S59" s="4"/>
      <c r="T59" s="9"/>
      <c r="U59" s="9"/>
      <c r="V59" s="9"/>
      <c r="W59" s="4"/>
      <c r="X59" s="4"/>
      <c r="Y59" s="9"/>
      <c r="Z59" s="9"/>
      <c r="AA59" s="4"/>
      <c r="AB59" s="9"/>
      <c r="AC59" s="4"/>
      <c r="AD59" s="4"/>
      <c r="AE59" s="9"/>
    </row>
    <row r="60" spans="1:32" ht="15.75" thickBot="1" x14ac:dyDescent="0.3">
      <c r="A60" s="3"/>
      <c r="B60" s="2168" t="s">
        <v>1677</v>
      </c>
      <c r="C60" s="2169"/>
      <c r="D60" s="2170">
        <v>0</v>
      </c>
      <c r="E60" s="2170">
        <v>0</v>
      </c>
      <c r="F60" s="2170">
        <v>0</v>
      </c>
      <c r="G60" s="2170">
        <v>0</v>
      </c>
      <c r="H60" s="2170">
        <v>0</v>
      </c>
      <c r="I60" s="2170">
        <v>0</v>
      </c>
      <c r="K60" s="9"/>
      <c r="L60" s="9"/>
      <c r="M60" s="9"/>
      <c r="N60" s="9"/>
      <c r="O60" s="9"/>
      <c r="P60" s="9"/>
      <c r="Q60" s="9"/>
      <c r="R60" s="9"/>
      <c r="S60" s="4"/>
      <c r="T60" s="9"/>
      <c r="U60" s="9"/>
      <c r="V60" s="9"/>
      <c r="W60" s="4"/>
      <c r="X60" s="4"/>
      <c r="Y60" s="9"/>
      <c r="Z60" s="9"/>
      <c r="AA60" s="4"/>
      <c r="AB60" s="9"/>
      <c r="AC60" s="4"/>
      <c r="AD60" s="4"/>
      <c r="AE60" s="9"/>
    </row>
    <row r="61" spans="1:32" ht="15" x14ac:dyDescent="0.25">
      <c r="A61" s="3"/>
      <c r="B61" s="2171" t="s">
        <v>2145</v>
      </c>
      <c r="C61" s="2172"/>
      <c r="D61" s="2173">
        <v>-4.33</v>
      </c>
      <c r="E61" s="2173">
        <v>-4.22</v>
      </c>
      <c r="F61" s="2173">
        <v>-4.1100000000000003</v>
      </c>
      <c r="G61" s="2173">
        <v>-3.99</v>
      </c>
      <c r="H61" s="2173">
        <v>-3.84</v>
      </c>
      <c r="I61" s="2173">
        <v>-3.69</v>
      </c>
      <c r="K61" s="2161"/>
      <c r="L61" s="2161"/>
      <c r="M61" s="2161"/>
      <c r="N61" s="2161"/>
      <c r="O61" s="2161"/>
      <c r="P61" s="2161"/>
      <c r="Q61" s="2161"/>
      <c r="R61" s="2161"/>
      <c r="S61" s="4"/>
      <c r="T61" s="2161"/>
      <c r="U61" s="2161"/>
      <c r="V61" s="2161"/>
      <c r="W61" s="4"/>
      <c r="X61" s="4"/>
      <c r="Y61" s="2161"/>
      <c r="Z61" s="2161"/>
      <c r="AA61" s="4"/>
      <c r="AB61" s="2161"/>
      <c r="AC61" s="4"/>
      <c r="AD61" s="4"/>
      <c r="AE61" s="2161"/>
    </row>
    <row r="62" spans="1:32" ht="15" x14ac:dyDescent="0.25">
      <c r="A62" s="3"/>
      <c r="B62" s="2166" t="s">
        <v>2146</v>
      </c>
      <c r="C62" s="2167"/>
      <c r="D62" s="6">
        <v>-0.81</v>
      </c>
      <c r="E62" s="6">
        <v>-0.77</v>
      </c>
      <c r="F62" s="6">
        <v>-0.74</v>
      </c>
      <c r="G62" s="6">
        <v>-0.71</v>
      </c>
      <c r="H62" s="6">
        <v>-0.67</v>
      </c>
      <c r="I62" s="6">
        <v>-0.63</v>
      </c>
      <c r="K62" s="2161"/>
      <c r="L62" s="2161"/>
      <c r="M62" s="2161"/>
      <c r="N62" s="2161"/>
      <c r="O62" s="2161"/>
      <c r="P62" s="2161"/>
      <c r="Q62" s="2161"/>
      <c r="R62" s="2161"/>
      <c r="S62" s="4"/>
      <c r="T62" s="2161"/>
      <c r="U62" s="2161"/>
      <c r="V62" s="2161"/>
      <c r="W62" s="4"/>
      <c r="X62" s="4"/>
      <c r="Y62" s="2161"/>
      <c r="Z62" s="2161"/>
      <c r="AA62" s="4"/>
      <c r="AB62" s="2161"/>
      <c r="AC62" s="4"/>
      <c r="AD62" s="4"/>
      <c r="AE62" s="2161"/>
    </row>
    <row r="63" spans="1:32" ht="15" x14ac:dyDescent="0.25">
      <c r="A63" s="3"/>
      <c r="B63" s="2161"/>
      <c r="C63" s="2161"/>
      <c r="D63" s="2161"/>
      <c r="E63" s="1949"/>
      <c r="F63" s="1949"/>
      <c r="G63" s="1949"/>
      <c r="H63" s="1949"/>
      <c r="I63" s="1949"/>
      <c r="J63" s="2161"/>
      <c r="K63" s="2161"/>
      <c r="L63" s="2161"/>
      <c r="M63" s="2161"/>
      <c r="N63" s="2161"/>
      <c r="O63" s="2161"/>
      <c r="P63" s="2161"/>
      <c r="Q63" s="2161"/>
      <c r="R63" s="2161"/>
      <c r="S63" s="4"/>
      <c r="T63" s="2161"/>
      <c r="U63" s="2161"/>
      <c r="V63" s="2161"/>
      <c r="W63" s="4"/>
      <c r="X63" s="4"/>
      <c r="Y63" s="2161"/>
      <c r="Z63" s="2161"/>
      <c r="AA63" s="4"/>
      <c r="AB63" s="2161"/>
      <c r="AC63" s="4"/>
      <c r="AD63" s="4"/>
      <c r="AE63" s="2161"/>
    </row>
    <row r="64" spans="1:32" ht="15" x14ac:dyDescent="0.25">
      <c r="A64" s="3"/>
      <c r="B64" s="2159" t="s">
        <v>1678</v>
      </c>
      <c r="C64" s="2159"/>
      <c r="D64" s="2159"/>
      <c r="E64" s="2159"/>
      <c r="F64" s="2159"/>
      <c r="G64" s="2159"/>
      <c r="H64" s="2159"/>
      <c r="I64" s="2159"/>
      <c r="J64" s="2160"/>
      <c r="K64" s="2161"/>
      <c r="L64" s="2161"/>
      <c r="M64" s="2161"/>
      <c r="N64" s="2161"/>
      <c r="O64" s="2161"/>
      <c r="P64" s="2161"/>
      <c r="Q64" s="2161"/>
      <c r="R64" s="2161"/>
      <c r="S64" s="4"/>
      <c r="T64" s="2161"/>
      <c r="U64" s="2161"/>
      <c r="V64" s="2161"/>
      <c r="W64" s="4"/>
      <c r="X64" s="4"/>
      <c r="Y64" s="2161"/>
      <c r="Z64" s="2161"/>
      <c r="AA64" s="4"/>
      <c r="AB64" s="2161"/>
      <c r="AC64" s="4"/>
      <c r="AD64" s="4"/>
      <c r="AE64" s="2161"/>
    </row>
    <row r="65" spans="1:32" ht="15" x14ac:dyDescent="0.25">
      <c r="A65" s="3"/>
      <c r="B65" s="2174" t="s">
        <v>1681</v>
      </c>
      <c r="C65" s="2174" t="s">
        <v>1682</v>
      </c>
      <c r="D65" s="2164">
        <v>2006</v>
      </c>
      <c r="E65" s="2164">
        <v>2011</v>
      </c>
      <c r="F65" s="2164">
        <v>2014</v>
      </c>
      <c r="G65" s="2164">
        <v>2017</v>
      </c>
      <c r="H65" s="2164">
        <v>2020</v>
      </c>
      <c r="I65" s="2164">
        <v>2023</v>
      </c>
      <c r="K65" s="2165"/>
      <c r="L65" s="2165"/>
      <c r="M65" s="2165"/>
      <c r="N65" s="2165"/>
      <c r="O65" s="2165"/>
      <c r="P65" s="2165"/>
      <c r="Q65" s="2165"/>
      <c r="R65" s="2165"/>
      <c r="S65" s="4"/>
      <c r="T65" s="2165"/>
      <c r="U65" s="2165"/>
      <c r="V65" s="2165"/>
      <c r="W65" s="4"/>
      <c r="X65" s="4"/>
      <c r="Y65" s="2165"/>
      <c r="Z65" s="2165"/>
      <c r="AA65" s="4"/>
      <c r="AB65" s="2165"/>
      <c r="AC65" s="4"/>
      <c r="AD65" s="4"/>
      <c r="AE65" s="2165"/>
    </row>
    <row r="66" spans="1:32" ht="15" x14ac:dyDescent="0.25">
      <c r="A66" s="3"/>
      <c r="B66" s="2175" t="s">
        <v>1683</v>
      </c>
      <c r="C66" s="2175" t="s">
        <v>1684</v>
      </c>
      <c r="D66" s="6">
        <v>-0.06</v>
      </c>
      <c r="E66" s="6">
        <v>-0.06</v>
      </c>
      <c r="F66" s="6">
        <v>-0.06</v>
      </c>
      <c r="G66" s="6">
        <v>-0.06</v>
      </c>
      <c r="H66" s="6">
        <v>-0.06</v>
      </c>
      <c r="I66" s="6">
        <v>-0.06</v>
      </c>
      <c r="K66" s="9"/>
      <c r="L66" s="9"/>
      <c r="M66" s="9"/>
      <c r="N66" s="9"/>
      <c r="O66" s="9"/>
      <c r="P66" s="9"/>
      <c r="Q66" s="9"/>
      <c r="R66" s="9"/>
      <c r="S66" s="4"/>
      <c r="T66" s="9"/>
      <c r="U66" s="9"/>
      <c r="V66" s="9"/>
      <c r="W66" s="4"/>
      <c r="X66" s="4"/>
      <c r="Y66" s="9"/>
      <c r="Z66" s="9"/>
      <c r="AA66" s="4"/>
      <c r="AB66" s="9"/>
      <c r="AC66" s="4"/>
      <c r="AD66" s="4"/>
      <c r="AE66" s="9"/>
    </row>
    <row r="67" spans="1:32" ht="15" x14ac:dyDescent="0.25">
      <c r="A67" s="3"/>
      <c r="B67" s="2175" t="s">
        <v>1683</v>
      </c>
      <c r="C67" s="2175" t="s">
        <v>1685</v>
      </c>
      <c r="D67" s="6">
        <v>-0.08</v>
      </c>
      <c r="E67" s="6">
        <v>-0.08</v>
      </c>
      <c r="F67" s="6">
        <v>-0.08</v>
      </c>
      <c r="G67" s="6">
        <v>-0.08</v>
      </c>
      <c r="H67" s="6">
        <v>-0.08</v>
      </c>
      <c r="I67" s="6">
        <v>-0.08</v>
      </c>
      <c r="K67" s="9"/>
      <c r="L67" s="9"/>
      <c r="M67" s="9"/>
      <c r="N67" s="9"/>
      <c r="O67" s="9"/>
      <c r="P67" s="9"/>
      <c r="Q67" s="9"/>
      <c r="R67" s="9"/>
      <c r="S67" s="4"/>
      <c r="T67" s="9"/>
      <c r="U67" s="9"/>
      <c r="V67" s="9"/>
      <c r="W67" s="4"/>
      <c r="X67" s="4"/>
      <c r="Y67" s="9"/>
      <c r="Z67" s="9"/>
      <c r="AA67" s="4"/>
      <c r="AB67" s="9"/>
      <c r="AC67" s="4"/>
      <c r="AD67" s="4"/>
      <c r="AE67" s="9"/>
    </row>
    <row r="68" spans="1:32" ht="15.75" thickBot="1" x14ac:dyDescent="0.3">
      <c r="A68" s="3"/>
      <c r="B68" s="2175" t="s">
        <v>1683</v>
      </c>
      <c r="C68" s="2175" t="s">
        <v>1687</v>
      </c>
      <c r="D68" s="6">
        <v>0</v>
      </c>
      <c r="E68" s="6">
        <v>0</v>
      </c>
      <c r="F68" s="6">
        <v>0</v>
      </c>
      <c r="G68" s="6">
        <v>0</v>
      </c>
      <c r="H68" s="6">
        <v>0</v>
      </c>
      <c r="I68" s="6">
        <v>0</v>
      </c>
      <c r="K68" s="9"/>
      <c r="L68" s="9"/>
      <c r="M68" s="9"/>
      <c r="N68" s="9"/>
      <c r="O68" s="9"/>
      <c r="P68" s="9"/>
      <c r="Q68" s="9"/>
      <c r="R68" s="9"/>
      <c r="S68" s="4"/>
      <c r="T68" s="9"/>
      <c r="U68" s="9"/>
      <c r="V68" s="9"/>
      <c r="W68" s="4"/>
      <c r="X68" s="4"/>
      <c r="Y68" s="9"/>
      <c r="Z68" s="9"/>
      <c r="AA68" s="4"/>
      <c r="AB68" s="9"/>
      <c r="AC68" s="4"/>
      <c r="AD68" s="4"/>
      <c r="AE68" s="9"/>
    </row>
    <row r="69" spans="1:32" ht="15" x14ac:dyDescent="0.25">
      <c r="A69" s="3"/>
      <c r="B69" s="2171" t="s">
        <v>1683</v>
      </c>
      <c r="C69" s="2176" t="s">
        <v>2147</v>
      </c>
      <c r="D69" s="2173">
        <v>-0.27</v>
      </c>
      <c r="E69" s="2173">
        <v>-0.27</v>
      </c>
      <c r="F69" s="2173">
        <v>-0.27</v>
      </c>
      <c r="G69" s="2173">
        <v>-0.27</v>
      </c>
      <c r="H69" s="2173">
        <v>-0.26</v>
      </c>
      <c r="I69" s="2173">
        <v>-0.26</v>
      </c>
      <c r="K69" s="2161"/>
      <c r="L69" s="2161"/>
      <c r="M69" s="2161"/>
      <c r="N69" s="2161"/>
      <c r="O69" s="2161"/>
      <c r="P69" s="2161"/>
      <c r="Q69" s="2161"/>
      <c r="R69" s="2161"/>
      <c r="S69" s="4"/>
      <c r="T69" s="2161"/>
      <c r="U69" s="2161"/>
      <c r="V69" s="2161"/>
      <c r="W69" s="4"/>
      <c r="X69" s="4"/>
      <c r="Y69" s="2161"/>
      <c r="Z69" s="2161"/>
      <c r="AA69" s="4"/>
      <c r="AB69" s="2161"/>
      <c r="AC69" s="4"/>
      <c r="AD69" s="4"/>
      <c r="AE69" s="2161"/>
    </row>
    <row r="70" spans="1:32" ht="15" x14ac:dyDescent="0.25">
      <c r="A70" s="3"/>
      <c r="B70" s="2166" t="s">
        <v>1683</v>
      </c>
      <c r="C70" s="2175" t="s">
        <v>2148</v>
      </c>
      <c r="D70" s="6">
        <v>-0.04</v>
      </c>
      <c r="E70" s="6">
        <v>-0.04</v>
      </c>
      <c r="F70" s="6">
        <v>-0.04</v>
      </c>
      <c r="G70" s="6">
        <v>-0.04</v>
      </c>
      <c r="H70" s="6">
        <v>-0.04</v>
      </c>
      <c r="I70" s="6">
        <v>-0.04</v>
      </c>
      <c r="K70" s="2161"/>
      <c r="L70" s="2161"/>
      <c r="M70" s="2161"/>
      <c r="N70" s="2161"/>
      <c r="O70" s="2161"/>
      <c r="P70" s="2161"/>
      <c r="Q70" s="2161"/>
      <c r="R70" s="2161"/>
      <c r="S70" s="4"/>
      <c r="T70" s="2161"/>
      <c r="U70" s="2161"/>
      <c r="V70" s="2161"/>
      <c r="W70" s="4"/>
      <c r="X70" s="4"/>
      <c r="Y70" s="2161"/>
      <c r="Z70" s="2161"/>
      <c r="AA70" s="4"/>
      <c r="AB70" s="2161"/>
      <c r="AC70" s="4"/>
      <c r="AD70" s="4"/>
      <c r="AE70" s="2161"/>
    </row>
    <row r="71" spans="1:32" ht="15" x14ac:dyDescent="0.25">
      <c r="A71" s="3"/>
      <c r="B71" s="2161"/>
      <c r="C71" s="2161"/>
      <c r="D71" s="2161"/>
      <c r="E71" s="1949"/>
      <c r="F71" s="1949"/>
      <c r="G71" s="1949"/>
      <c r="H71" s="1949"/>
      <c r="I71" s="1949"/>
      <c r="J71" s="2161"/>
      <c r="K71" s="2161"/>
      <c r="L71" s="2161"/>
      <c r="M71" s="2161"/>
      <c r="N71" s="2161"/>
      <c r="O71" s="2161"/>
      <c r="P71" s="2161"/>
      <c r="Q71" s="2161"/>
      <c r="R71" s="2161"/>
      <c r="S71" s="4"/>
      <c r="T71" s="2161"/>
      <c r="U71" s="2161"/>
      <c r="V71" s="2161"/>
      <c r="W71" s="4"/>
      <c r="X71" s="4"/>
      <c r="Y71" s="2161"/>
      <c r="Z71" s="2161"/>
      <c r="AA71" s="4"/>
      <c r="AB71" s="2161"/>
      <c r="AC71" s="4"/>
      <c r="AD71" s="4"/>
      <c r="AE71" s="2161"/>
    </row>
    <row r="72" spans="1:32" ht="15" x14ac:dyDescent="0.25">
      <c r="A72" s="3"/>
      <c r="B72" s="2159" t="s">
        <v>1688</v>
      </c>
      <c r="C72" s="2159"/>
      <c r="D72" s="2159"/>
      <c r="E72" s="2159"/>
      <c r="F72" s="2159"/>
      <c r="G72" s="2159"/>
      <c r="H72" s="2159"/>
      <c r="I72" s="2159"/>
      <c r="J72" s="2160"/>
      <c r="K72" s="2161"/>
      <c r="L72" s="2161"/>
      <c r="M72" s="2161"/>
      <c r="N72" s="2161"/>
      <c r="O72" s="2161"/>
      <c r="P72" s="2161"/>
      <c r="Q72" s="2161"/>
      <c r="R72" s="2161"/>
      <c r="S72" s="4"/>
      <c r="T72" s="2161"/>
      <c r="U72" s="2161"/>
      <c r="V72" s="2161"/>
      <c r="W72" s="4"/>
      <c r="X72" s="4"/>
      <c r="Y72" s="2161"/>
      <c r="Z72" s="2161"/>
      <c r="AA72" s="4"/>
      <c r="AB72" s="2161"/>
      <c r="AC72" s="4"/>
      <c r="AD72" s="4"/>
      <c r="AE72" s="2161"/>
    </row>
    <row r="73" spans="1:32" ht="15" x14ac:dyDescent="0.25">
      <c r="A73" s="3"/>
      <c r="B73" s="2174" t="s">
        <v>1681</v>
      </c>
      <c r="C73" s="2174" t="s">
        <v>1682</v>
      </c>
      <c r="D73" s="2164">
        <v>2006</v>
      </c>
      <c r="E73" s="2164">
        <v>2011</v>
      </c>
      <c r="F73" s="2164">
        <v>2014</v>
      </c>
      <c r="G73" s="2164">
        <v>2017</v>
      </c>
      <c r="H73" s="2164">
        <v>2020</v>
      </c>
      <c r="I73" s="2164">
        <v>2023</v>
      </c>
      <c r="K73" s="2165"/>
      <c r="L73" s="2165"/>
      <c r="M73" s="2165"/>
      <c r="N73" s="2165"/>
      <c r="O73" s="2165"/>
      <c r="P73" s="2165"/>
      <c r="Q73" s="2165"/>
      <c r="R73" s="2165"/>
      <c r="S73" s="4"/>
      <c r="T73" s="2165"/>
      <c r="U73" s="2165"/>
      <c r="V73" s="2165"/>
      <c r="W73" s="4"/>
      <c r="X73" s="4"/>
      <c r="Y73" s="2165"/>
      <c r="Z73" s="2165"/>
      <c r="AA73" s="4"/>
      <c r="AB73" s="2165"/>
      <c r="AC73" s="4"/>
      <c r="AD73" s="4"/>
      <c r="AE73" s="2165"/>
    </row>
    <row r="74" spans="1:32" ht="15" x14ac:dyDescent="0.25">
      <c r="A74" s="3"/>
      <c r="B74" s="2175" t="s">
        <v>1683</v>
      </c>
      <c r="C74" s="2175" t="s">
        <v>1684</v>
      </c>
      <c r="D74" s="6">
        <v>0.11</v>
      </c>
      <c r="E74" s="6">
        <v>0.12</v>
      </c>
      <c r="F74" s="6">
        <v>0.12</v>
      </c>
      <c r="G74" s="6">
        <v>0.12</v>
      </c>
      <c r="H74" s="6">
        <v>0.12</v>
      </c>
      <c r="I74" s="6">
        <v>0.12</v>
      </c>
      <c r="K74" s="9"/>
      <c r="L74" s="9"/>
      <c r="M74" s="9"/>
      <c r="N74" s="9"/>
      <c r="O74" s="9"/>
      <c r="P74" s="9"/>
      <c r="Q74" s="9"/>
      <c r="R74" s="9"/>
      <c r="S74" s="4"/>
      <c r="T74" s="9"/>
      <c r="U74" s="9"/>
      <c r="V74" s="9"/>
      <c r="W74" s="4"/>
      <c r="X74" s="4"/>
      <c r="Y74" s="9"/>
      <c r="Z74" s="9"/>
      <c r="AA74" s="4"/>
      <c r="AB74" s="9"/>
      <c r="AC74" s="4"/>
      <c r="AD74" s="4"/>
      <c r="AE74" s="9"/>
    </row>
    <row r="75" spans="1:32" ht="15" x14ac:dyDescent="0.25">
      <c r="A75" s="3"/>
      <c r="B75" s="2175" t="s">
        <v>1683</v>
      </c>
      <c r="C75" s="2175" t="s">
        <v>1685</v>
      </c>
      <c r="D75" s="6">
        <v>0.21</v>
      </c>
      <c r="E75" s="6">
        <v>0.21</v>
      </c>
      <c r="F75" s="6">
        <v>0.21</v>
      </c>
      <c r="G75" s="6">
        <v>0.22</v>
      </c>
      <c r="H75" s="6">
        <v>0.22</v>
      </c>
      <c r="I75" s="6">
        <v>0.22</v>
      </c>
      <c r="K75" s="9"/>
      <c r="L75" s="9"/>
      <c r="M75" s="9"/>
      <c r="N75" s="9"/>
      <c r="O75" s="9"/>
      <c r="P75" s="9"/>
      <c r="Q75" s="9"/>
      <c r="R75" s="9"/>
      <c r="S75" s="4"/>
      <c r="T75" s="9"/>
      <c r="U75" s="9"/>
      <c r="V75" s="9"/>
      <c r="W75" s="4"/>
      <c r="X75" s="4"/>
      <c r="Y75" s="9"/>
      <c r="Z75" s="9"/>
      <c r="AA75" s="4"/>
      <c r="AB75" s="9"/>
      <c r="AC75" s="4"/>
      <c r="AD75" s="4"/>
      <c r="AE75" s="9"/>
    </row>
    <row r="76" spans="1:32" ht="15.75" thickBot="1" x14ac:dyDescent="0.3">
      <c r="A76" s="3"/>
      <c r="B76" s="2175" t="s">
        <v>1683</v>
      </c>
      <c r="C76" s="2175" t="s">
        <v>1687</v>
      </c>
      <c r="D76" s="6">
        <v>0.01</v>
      </c>
      <c r="E76" s="6">
        <v>0.01</v>
      </c>
      <c r="F76" s="6">
        <v>0.02</v>
      </c>
      <c r="G76" s="6">
        <v>0.01</v>
      </c>
      <c r="H76" s="6">
        <v>0.01</v>
      </c>
      <c r="I76" s="6">
        <v>0.01</v>
      </c>
      <c r="K76" s="9"/>
      <c r="L76" s="9"/>
      <c r="M76" s="9"/>
      <c r="N76" s="9"/>
      <c r="O76" s="9"/>
      <c r="P76" s="9"/>
      <c r="Q76" s="9"/>
      <c r="R76" s="9"/>
      <c r="S76" s="4"/>
      <c r="T76" s="9"/>
      <c r="U76" s="9"/>
      <c r="V76" s="9"/>
      <c r="W76" s="4"/>
      <c r="X76" s="4"/>
      <c r="Y76" s="9"/>
      <c r="Z76" s="9"/>
      <c r="AA76" s="4"/>
      <c r="AB76" s="9"/>
      <c r="AC76" s="4"/>
      <c r="AD76" s="4"/>
      <c r="AE76" s="9"/>
    </row>
    <row r="77" spans="1:32" ht="15" x14ac:dyDescent="0.25">
      <c r="A77" s="3"/>
      <c r="B77" s="2171" t="s">
        <v>1683</v>
      </c>
      <c r="C77" s="2176" t="s">
        <v>2147</v>
      </c>
      <c r="D77" s="2173">
        <v>0.91</v>
      </c>
      <c r="E77" s="2173">
        <v>0.92</v>
      </c>
      <c r="F77" s="2173">
        <v>0.94</v>
      </c>
      <c r="G77" s="2173">
        <v>0.95</v>
      </c>
      <c r="H77" s="2173">
        <v>0.96</v>
      </c>
      <c r="I77" s="2173">
        <v>0.96</v>
      </c>
      <c r="K77" s="3"/>
      <c r="L77" s="3"/>
      <c r="M77" s="3"/>
      <c r="N77" s="3"/>
      <c r="O77" s="3"/>
      <c r="P77" s="3"/>
      <c r="Q77" s="3"/>
      <c r="R77" s="3"/>
      <c r="S77" s="3"/>
      <c r="T77" s="3"/>
      <c r="U77" s="3"/>
      <c r="V77" s="3"/>
      <c r="W77" s="3"/>
      <c r="X77" s="3"/>
      <c r="Y77" s="3"/>
      <c r="Z77" s="3"/>
      <c r="AA77" s="3"/>
      <c r="AB77" s="3"/>
      <c r="AC77" s="3"/>
      <c r="AD77" s="3"/>
      <c r="AE77" s="3"/>
      <c r="AF77" s="3"/>
    </row>
    <row r="78" spans="1:32" ht="15" x14ac:dyDescent="0.25">
      <c r="A78" s="3"/>
      <c r="B78" s="2166" t="s">
        <v>1683</v>
      </c>
      <c r="C78" s="2175" t="s">
        <v>2148</v>
      </c>
      <c r="D78" s="6">
        <v>0.15</v>
      </c>
      <c r="E78" s="6">
        <v>0.15</v>
      </c>
      <c r="F78" s="6">
        <v>0.15</v>
      </c>
      <c r="G78" s="6">
        <v>0.16</v>
      </c>
      <c r="H78" s="6">
        <v>0.16</v>
      </c>
      <c r="I78" s="6">
        <v>0.16</v>
      </c>
      <c r="K78" s="3"/>
      <c r="L78" s="3"/>
      <c r="M78" s="3"/>
      <c r="N78" s="3"/>
      <c r="O78" s="3"/>
      <c r="P78" s="3"/>
      <c r="Q78" s="3"/>
      <c r="R78" s="3"/>
      <c r="S78" s="3"/>
      <c r="T78" s="3"/>
      <c r="U78" s="3"/>
      <c r="V78" s="3"/>
      <c r="W78" s="3"/>
      <c r="X78" s="3"/>
      <c r="Y78" s="3"/>
      <c r="Z78" s="3"/>
      <c r="AA78" s="3"/>
      <c r="AB78" s="3"/>
      <c r="AC78" s="3"/>
      <c r="AD78" s="3"/>
      <c r="AE78" s="3"/>
      <c r="AF78" s="3"/>
    </row>
    <row r="79" spans="1:32" ht="15" x14ac:dyDescent="0.25">
      <c r="A79" s="3"/>
      <c r="B79" s="4"/>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row>
    <row r="80" spans="1:32" ht="15" x14ac:dyDescent="0.25">
      <c r="A80" s="3"/>
      <c r="B80" s="2159" t="s">
        <v>2149</v>
      </c>
      <c r="C80" s="2159"/>
      <c r="D80" s="2159"/>
      <c r="E80" s="2159"/>
      <c r="F80" s="2159"/>
      <c r="G80" s="2159"/>
      <c r="H80" s="2159"/>
      <c r="I80" s="2159"/>
      <c r="J80" s="3"/>
      <c r="K80" s="3"/>
      <c r="L80" s="3"/>
      <c r="M80" s="3"/>
      <c r="N80" s="3"/>
      <c r="O80" s="3"/>
      <c r="P80" s="3"/>
      <c r="Q80" s="3"/>
      <c r="R80" s="3"/>
      <c r="S80" s="3"/>
      <c r="T80" s="3"/>
      <c r="U80" s="3"/>
      <c r="V80" s="3"/>
      <c r="W80" s="3"/>
      <c r="X80" s="3"/>
      <c r="Y80" s="3"/>
      <c r="Z80" s="3"/>
      <c r="AA80" s="3"/>
      <c r="AB80" s="3"/>
      <c r="AC80" s="3"/>
      <c r="AD80" s="3"/>
      <c r="AE80" s="3"/>
      <c r="AF80" s="3"/>
    </row>
    <row r="81" spans="1:32" ht="15" x14ac:dyDescent="0.25">
      <c r="A81" s="3"/>
      <c r="B81" s="4"/>
      <c r="C81" s="3"/>
      <c r="D81" s="2164">
        <v>2006</v>
      </c>
      <c r="E81" s="2164">
        <v>2011</v>
      </c>
      <c r="F81" s="2164">
        <v>2014</v>
      </c>
      <c r="G81" s="2164">
        <v>2017</v>
      </c>
      <c r="H81" s="2164">
        <v>2020</v>
      </c>
      <c r="I81" s="2164">
        <v>2023</v>
      </c>
      <c r="J81" s="3"/>
      <c r="K81" s="3"/>
      <c r="L81" s="3"/>
      <c r="M81" s="3"/>
      <c r="N81" s="3"/>
      <c r="O81" s="3"/>
      <c r="P81" s="3"/>
      <c r="Q81" s="3"/>
      <c r="R81" s="3"/>
      <c r="S81" s="3"/>
      <c r="T81" s="3"/>
      <c r="U81" s="3"/>
      <c r="V81" s="3"/>
      <c r="W81" s="3"/>
      <c r="X81" s="3"/>
      <c r="Y81" s="3"/>
      <c r="Z81" s="3"/>
      <c r="AA81" s="3"/>
      <c r="AB81" s="3"/>
      <c r="AC81" s="3"/>
      <c r="AD81" s="3"/>
      <c r="AE81" s="3"/>
      <c r="AF81" s="3"/>
    </row>
    <row r="82" spans="1:32" ht="15" x14ac:dyDescent="0.25">
      <c r="A82" s="3"/>
      <c r="B82" s="2166" t="s">
        <v>2150</v>
      </c>
      <c r="C82" s="2167"/>
      <c r="D82" s="2177">
        <f t="shared" ref="D82:I82" si="0">(D62+D70+D78)/(D61+D69+D77)</f>
        <v>0.18970189701897022</v>
      </c>
      <c r="E82" s="2177">
        <f t="shared" si="0"/>
        <v>0.18487394957983191</v>
      </c>
      <c r="F82" s="2177">
        <f t="shared" si="0"/>
        <v>0.18313953488372089</v>
      </c>
      <c r="G82" s="2177">
        <f t="shared" si="0"/>
        <v>0.17824773413897282</v>
      </c>
      <c r="H82" s="2177">
        <f t="shared" si="0"/>
        <v>0.17515923566878985</v>
      </c>
      <c r="I82" s="2177">
        <f t="shared" si="0"/>
        <v>0.1705685618729097</v>
      </c>
      <c r="J82" s="3"/>
      <c r="K82" s="3"/>
      <c r="L82" s="3"/>
      <c r="M82" s="3"/>
      <c r="N82" s="3"/>
      <c r="O82" s="3"/>
      <c r="P82" s="3"/>
      <c r="Q82" s="3"/>
      <c r="R82" s="3"/>
      <c r="S82" s="3"/>
      <c r="T82" s="3"/>
      <c r="U82" s="3"/>
      <c r="V82" s="3"/>
      <c r="W82" s="3"/>
      <c r="X82" s="3"/>
      <c r="Y82" s="3"/>
      <c r="Z82" s="3"/>
      <c r="AA82" s="3"/>
      <c r="AB82" s="3"/>
      <c r="AC82" s="3"/>
      <c r="AD82" s="3"/>
      <c r="AE82" s="3"/>
      <c r="AF82" s="3"/>
    </row>
    <row r="83" spans="1:32" ht="15" x14ac:dyDescent="0.25">
      <c r="A83" s="3"/>
      <c r="B83" s="1904"/>
      <c r="C83" s="2178"/>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row>
    <row r="84" spans="1:32" ht="15" x14ac:dyDescent="0.25">
      <c r="A84" s="3"/>
      <c r="B84" s="1904" t="s">
        <v>1692</v>
      </c>
      <c r="C84" s="2178"/>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row>
    <row r="85" spans="1:32" ht="15" x14ac:dyDescent="0.25">
      <c r="A85" s="3"/>
      <c r="B85" s="2174" t="s">
        <v>1693</v>
      </c>
      <c r="C85" s="2179">
        <v>2011</v>
      </c>
      <c r="D85" s="3"/>
      <c r="E85" s="41"/>
      <c r="F85" s="41"/>
      <c r="G85" s="41"/>
      <c r="H85" s="41"/>
      <c r="I85" s="41"/>
      <c r="J85" s="41"/>
      <c r="K85" s="3"/>
      <c r="L85" s="3"/>
      <c r="M85" s="3"/>
      <c r="N85" s="3"/>
      <c r="O85" s="3"/>
      <c r="P85" s="3"/>
      <c r="Q85" s="3"/>
      <c r="R85" s="3"/>
      <c r="S85" s="3"/>
      <c r="T85" s="3"/>
      <c r="U85" s="3"/>
      <c r="V85" s="3"/>
      <c r="W85" s="3"/>
      <c r="X85" s="3"/>
      <c r="Y85" s="3"/>
      <c r="Z85" s="3"/>
      <c r="AA85" s="3"/>
      <c r="AB85" s="3"/>
      <c r="AC85" s="3"/>
      <c r="AD85" s="3"/>
      <c r="AE85" s="3"/>
      <c r="AF85" s="3"/>
    </row>
    <row r="86" spans="1:32" ht="15" x14ac:dyDescent="0.25">
      <c r="A86" s="3"/>
      <c r="B86" s="2175" t="s">
        <v>1694</v>
      </c>
      <c r="C86" s="2180">
        <f>-D34*(44/12)</f>
        <v>-5.7116267999999994</v>
      </c>
      <c r="D86" s="3"/>
      <c r="E86" s="41"/>
      <c r="F86" s="41"/>
      <c r="G86" s="41"/>
      <c r="H86" s="41"/>
      <c r="I86" s="41"/>
      <c r="J86" s="41"/>
      <c r="K86" s="3"/>
      <c r="L86" s="3"/>
      <c r="M86" s="3"/>
      <c r="N86" s="3"/>
      <c r="O86" s="3"/>
      <c r="P86" s="3"/>
      <c r="Q86" s="3"/>
      <c r="R86" s="3"/>
      <c r="S86" s="3"/>
      <c r="T86" s="3"/>
      <c r="U86" s="3"/>
      <c r="V86" s="3"/>
      <c r="W86" s="3"/>
      <c r="X86" s="3"/>
      <c r="Y86" s="3"/>
      <c r="Z86" s="3"/>
      <c r="AA86" s="3"/>
      <c r="AB86" s="3"/>
      <c r="AC86" s="3"/>
      <c r="AD86" s="3"/>
      <c r="AE86" s="3"/>
      <c r="AF86" s="3"/>
    </row>
    <row r="87" spans="1:32" ht="15" x14ac:dyDescent="0.25">
      <c r="A87" s="3"/>
      <c r="B87" s="2175" t="s">
        <v>1696</v>
      </c>
      <c r="C87" s="2180">
        <f>C86*E82</f>
        <v>-1.0559310050420165</v>
      </c>
      <c r="D87" s="3"/>
      <c r="E87" s="2181"/>
      <c r="F87" s="2181"/>
      <c r="G87" s="2181"/>
      <c r="H87" s="2181"/>
      <c r="I87" s="2181"/>
      <c r="J87" s="2181"/>
      <c r="K87" s="3"/>
      <c r="L87" s="3"/>
      <c r="M87" s="3"/>
      <c r="N87" s="3"/>
      <c r="O87" s="3"/>
      <c r="P87" s="3"/>
      <c r="Q87" s="3"/>
      <c r="R87" s="3"/>
      <c r="S87" s="3"/>
      <c r="T87" s="3"/>
      <c r="U87" s="3"/>
      <c r="V87" s="3"/>
      <c r="W87" s="3"/>
      <c r="X87" s="3"/>
      <c r="Y87" s="3"/>
      <c r="Z87" s="3"/>
      <c r="AA87" s="3"/>
      <c r="AB87" s="3"/>
      <c r="AC87" s="3"/>
      <c r="AD87" s="3"/>
      <c r="AE87" s="3"/>
      <c r="AF87" s="3"/>
    </row>
    <row r="88" spans="1:32" ht="15" x14ac:dyDescent="0.25">
      <c r="A88" s="3"/>
      <c r="B88" s="2175" t="s">
        <v>1697</v>
      </c>
      <c r="C88" s="2180">
        <f>E57+E66+E74</f>
        <v>-0.7599999999999999</v>
      </c>
      <c r="D88" s="3"/>
      <c r="E88" s="41"/>
      <c r="F88" s="41"/>
      <c r="G88" s="41"/>
      <c r="H88" s="41"/>
      <c r="I88" s="41"/>
      <c r="J88" s="41"/>
      <c r="K88" s="3"/>
      <c r="L88" s="3"/>
      <c r="M88" s="3"/>
      <c r="N88" s="3"/>
      <c r="O88" s="3"/>
      <c r="P88" s="3"/>
      <c r="Q88" s="3"/>
      <c r="R88" s="3"/>
      <c r="S88" s="3"/>
      <c r="T88" s="3"/>
      <c r="U88" s="3"/>
      <c r="V88" s="3"/>
      <c r="W88" s="3"/>
      <c r="X88" s="3"/>
      <c r="Y88" s="3"/>
      <c r="Z88" s="3"/>
      <c r="AA88" s="3"/>
      <c r="AB88" s="3"/>
      <c r="AC88" s="3"/>
      <c r="AD88" s="3"/>
      <c r="AE88" s="3"/>
      <c r="AF88" s="3"/>
    </row>
    <row r="89" spans="1:32" ht="15" x14ac:dyDescent="0.25">
      <c r="A89" s="3"/>
      <c r="B89" s="2175" t="s">
        <v>1699</v>
      </c>
      <c r="C89" s="2180">
        <f>E58+E67+E75</f>
        <v>0.12</v>
      </c>
      <c r="D89" s="3"/>
      <c r="E89" s="41"/>
      <c r="F89" s="41"/>
      <c r="G89" s="41"/>
      <c r="H89" s="41"/>
      <c r="I89" s="41"/>
      <c r="J89" s="41"/>
      <c r="K89" s="3"/>
      <c r="L89" s="3"/>
      <c r="M89" s="3"/>
      <c r="N89" s="3"/>
      <c r="O89" s="3"/>
      <c r="P89" s="3"/>
      <c r="Q89" s="3"/>
      <c r="R89" s="3"/>
      <c r="S89" s="3"/>
      <c r="T89" s="3"/>
      <c r="U89" s="3"/>
      <c r="V89" s="3"/>
      <c r="W89" s="3"/>
      <c r="X89" s="3"/>
      <c r="Y89" s="3"/>
      <c r="Z89" s="3"/>
      <c r="AA89" s="3"/>
      <c r="AB89" s="3"/>
      <c r="AC89" s="3"/>
      <c r="AD89" s="3"/>
      <c r="AE89" s="3"/>
      <c r="AF89" s="3"/>
    </row>
    <row r="90" spans="1:32" ht="15" x14ac:dyDescent="0.25">
      <c r="A90" s="3"/>
      <c r="B90" s="2175" t="s">
        <v>1701</v>
      </c>
      <c r="C90" s="2180">
        <f>E59+E68+E76</f>
        <v>0.11</v>
      </c>
      <c r="D90" s="3"/>
      <c r="E90" s="41"/>
      <c r="F90" s="41"/>
      <c r="G90" s="41"/>
      <c r="H90" s="41"/>
      <c r="I90" s="41"/>
      <c r="J90" s="41"/>
      <c r="K90" s="3"/>
      <c r="L90" s="3"/>
      <c r="M90" s="3"/>
      <c r="N90" s="3"/>
      <c r="O90" s="3"/>
      <c r="P90" s="3"/>
      <c r="Q90" s="3"/>
      <c r="R90" s="3"/>
      <c r="S90" s="3"/>
      <c r="T90" s="3"/>
      <c r="U90" s="3"/>
      <c r="V90" s="3"/>
      <c r="W90" s="3"/>
      <c r="X90" s="3"/>
      <c r="Y90" s="3"/>
      <c r="Z90" s="3"/>
      <c r="AA90" s="3"/>
      <c r="AB90" s="3"/>
      <c r="AC90" s="3"/>
      <c r="AD90" s="3"/>
      <c r="AE90" s="3"/>
      <c r="AF90" s="3"/>
    </row>
    <row r="91" spans="1:32" ht="15" x14ac:dyDescent="0.25">
      <c r="A91" s="3"/>
      <c r="B91" s="2175" t="s">
        <v>1702</v>
      </c>
      <c r="C91" s="2180">
        <f>E60</f>
        <v>0</v>
      </c>
      <c r="D91" s="3"/>
      <c r="E91" s="41"/>
      <c r="F91" s="41"/>
      <c r="G91" s="41"/>
      <c r="H91" s="41"/>
      <c r="I91" s="41"/>
      <c r="J91" s="41"/>
      <c r="K91" s="3"/>
      <c r="L91" s="3"/>
      <c r="M91" s="3"/>
      <c r="N91" s="3"/>
      <c r="O91" s="3"/>
      <c r="P91" s="3"/>
      <c r="Q91" s="3"/>
      <c r="R91" s="3"/>
      <c r="S91" s="3"/>
      <c r="T91" s="3"/>
      <c r="U91" s="3"/>
      <c r="V91" s="3"/>
      <c r="W91" s="3"/>
      <c r="X91" s="3"/>
      <c r="Y91" s="3"/>
      <c r="Z91" s="3"/>
      <c r="AA91" s="3"/>
      <c r="AB91" s="3"/>
      <c r="AC91" s="3"/>
      <c r="AD91" s="3"/>
      <c r="AE91" s="3"/>
      <c r="AF91" s="3"/>
    </row>
    <row r="92" spans="1:32" ht="15" x14ac:dyDescent="0.25">
      <c r="A92" s="3"/>
      <c r="B92" s="2182" t="s">
        <v>205</v>
      </c>
      <c r="C92" s="2183">
        <f>SUM(C86:C91)</f>
        <v>-7.2975578050420156</v>
      </c>
      <c r="D92" s="3"/>
      <c r="E92" s="41"/>
      <c r="F92" s="41"/>
      <c r="G92" s="41"/>
      <c r="H92" s="41"/>
      <c r="I92" s="41"/>
      <c r="J92" s="41"/>
      <c r="K92" s="3"/>
      <c r="L92" s="3"/>
      <c r="M92" s="3"/>
      <c r="N92" s="3"/>
      <c r="O92" s="3"/>
      <c r="P92" s="3"/>
      <c r="Q92" s="3"/>
      <c r="R92" s="3"/>
      <c r="S92" s="3"/>
      <c r="T92" s="3"/>
      <c r="U92" s="3"/>
      <c r="V92" s="3"/>
      <c r="W92" s="3"/>
      <c r="X92" s="3"/>
      <c r="Y92" s="3"/>
      <c r="Z92" s="3"/>
      <c r="AA92" s="3"/>
      <c r="AB92" s="3"/>
      <c r="AC92" s="3"/>
      <c r="AD92" s="3"/>
      <c r="AE92" s="3"/>
      <c r="AF92" s="3"/>
    </row>
    <row r="93" spans="1:32" ht="15" x14ac:dyDescent="0.25">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row>
    <row r="94" spans="1:32" ht="15" x14ac:dyDescent="0.25">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row>
    <row r="95" spans="1:32" ht="15" x14ac:dyDescent="0.25">
      <c r="A95" s="3"/>
      <c r="B95" s="2147" t="s">
        <v>546</v>
      </c>
      <c r="C95" s="2148"/>
      <c r="D95" s="2148"/>
      <c r="E95" s="2148"/>
      <c r="F95" s="2148"/>
      <c r="G95" s="2148"/>
      <c r="H95" s="3"/>
      <c r="I95" s="3"/>
      <c r="J95" s="3"/>
      <c r="K95" s="3"/>
      <c r="L95" s="3"/>
      <c r="M95" s="3"/>
      <c r="N95" s="3"/>
      <c r="O95" s="3"/>
      <c r="P95" s="3"/>
      <c r="Q95" s="3"/>
      <c r="R95" s="3"/>
      <c r="S95" s="3"/>
      <c r="T95" s="3"/>
      <c r="U95" s="3"/>
      <c r="V95" s="3"/>
      <c r="W95" s="3"/>
      <c r="X95" s="3"/>
      <c r="Y95" s="3"/>
      <c r="Z95" s="3"/>
      <c r="AA95" s="3"/>
      <c r="AB95" s="3"/>
      <c r="AC95" s="3"/>
      <c r="AD95" s="3"/>
      <c r="AE95" s="3"/>
      <c r="AF95" s="3"/>
    </row>
    <row r="96" spans="1:32" ht="15" x14ac:dyDescent="0.25">
      <c r="A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row>
    <row r="97" spans="1:32" ht="15" x14ac:dyDescent="0.25">
      <c r="A97" s="3"/>
      <c r="B97" s="1904" t="s">
        <v>1705</v>
      </c>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row>
    <row r="98" spans="1:32" ht="15" x14ac:dyDescent="0.25">
      <c r="A98" s="3"/>
      <c r="B98" s="2174" t="s">
        <v>1693</v>
      </c>
      <c r="C98" s="2164">
        <v>2006</v>
      </c>
      <c r="D98" s="2164">
        <v>2011</v>
      </c>
      <c r="E98" s="2164">
        <v>2014</v>
      </c>
      <c r="F98" s="2164">
        <v>2017</v>
      </c>
      <c r="G98" s="2164">
        <v>2020</v>
      </c>
      <c r="H98" s="2164">
        <v>2023</v>
      </c>
      <c r="I98" s="3"/>
      <c r="J98" s="3"/>
      <c r="K98" s="3"/>
      <c r="L98" s="3"/>
      <c r="M98" s="3"/>
      <c r="N98" s="3"/>
      <c r="O98" s="3"/>
      <c r="P98" s="3"/>
      <c r="Q98" s="3"/>
      <c r="R98" s="3"/>
      <c r="S98" s="3"/>
      <c r="T98" s="3"/>
      <c r="U98" s="3"/>
      <c r="V98" s="3"/>
      <c r="W98" s="3"/>
      <c r="X98" s="3"/>
      <c r="Y98" s="3"/>
      <c r="Z98" s="3"/>
      <c r="AA98" s="3"/>
      <c r="AB98" s="3"/>
      <c r="AC98" s="3"/>
      <c r="AD98" s="3"/>
      <c r="AE98" s="3"/>
      <c r="AF98" s="3"/>
    </row>
    <row r="99" spans="1:32" ht="15" x14ac:dyDescent="0.25">
      <c r="A99" s="3"/>
      <c r="B99" s="2184" t="s">
        <v>1708</v>
      </c>
      <c r="C99" s="2180">
        <v>-8.4802520728281365E-3</v>
      </c>
      <c r="D99" s="2180">
        <v>-1.2684842167839765E-2</v>
      </c>
      <c r="E99" s="2180">
        <v>-1.061836128E-2</v>
      </c>
      <c r="F99" s="2180">
        <v>-9.5545989087629721E-3</v>
      </c>
      <c r="G99" s="2180">
        <v>-0.04</v>
      </c>
      <c r="H99" s="2180">
        <v>-1.2999999999999999E-3</v>
      </c>
      <c r="I99" s="3"/>
      <c r="J99" s="3"/>
      <c r="K99" s="3"/>
      <c r="L99" s="3"/>
      <c r="M99" s="3"/>
      <c r="N99" s="3"/>
      <c r="O99" s="3"/>
      <c r="P99" s="3"/>
      <c r="Q99" s="3"/>
      <c r="R99" s="3"/>
      <c r="S99" s="3"/>
      <c r="T99" s="3"/>
      <c r="U99" s="3"/>
      <c r="V99" s="3"/>
      <c r="W99" s="3"/>
      <c r="X99" s="3"/>
      <c r="Y99" s="3"/>
      <c r="Z99" s="3"/>
      <c r="AA99" s="3"/>
      <c r="AB99" s="3"/>
      <c r="AC99" s="3"/>
      <c r="AD99" s="3"/>
      <c r="AE99" s="3"/>
      <c r="AF99" s="3"/>
    </row>
    <row r="100" spans="1:32" ht="15" x14ac:dyDescent="0.25">
      <c r="A100" s="3"/>
      <c r="B100" s="2184" t="s">
        <v>1710</v>
      </c>
      <c r="C100" s="2180">
        <v>-6.1942198859260007E-2</v>
      </c>
      <c r="D100" s="2180">
        <v>-7.0873721137987705E-2</v>
      </c>
      <c r="E100" s="2180">
        <v>-5.6721999869999998E-2</v>
      </c>
      <c r="F100" s="2180">
        <v>-4.900786961971372E-2</v>
      </c>
      <c r="G100" s="2180">
        <v>-0.2</v>
      </c>
      <c r="H100" s="2180">
        <v>-5.62E-3</v>
      </c>
      <c r="I100" s="3"/>
      <c r="J100" s="3"/>
      <c r="K100" s="3"/>
      <c r="L100" s="3"/>
      <c r="M100" s="3"/>
      <c r="N100" s="3"/>
      <c r="O100" s="3"/>
      <c r="P100" s="3"/>
      <c r="Q100" s="3"/>
      <c r="R100" s="3"/>
      <c r="S100" s="3"/>
      <c r="T100" s="3"/>
      <c r="U100" s="3"/>
      <c r="V100" s="3"/>
      <c r="W100" s="3"/>
      <c r="X100" s="3"/>
      <c r="Y100" s="3"/>
      <c r="Z100" s="3"/>
      <c r="AA100" s="3"/>
      <c r="AB100" s="3"/>
      <c r="AC100" s="3"/>
      <c r="AD100" s="3"/>
      <c r="AE100" s="3"/>
      <c r="AF100" s="3"/>
    </row>
    <row r="101" spans="1:32" ht="15" x14ac:dyDescent="0.25">
      <c r="A101" s="3"/>
      <c r="B101" s="2184" t="s">
        <v>1711</v>
      </c>
      <c r="C101" s="2180">
        <v>-5.6039595623909609E-2</v>
      </c>
      <c r="D101" s="2180">
        <v>-6.4577261430635649E-2</v>
      </c>
      <c r="E101" s="2180">
        <v>-5.1412480519999998E-2</v>
      </c>
      <c r="F101" s="2180">
        <v>-4.4283838656574669E-2</v>
      </c>
      <c r="G101" s="2180">
        <v>-0.19</v>
      </c>
      <c r="H101" s="2180">
        <v>-3.7499999999999999E-3</v>
      </c>
      <c r="I101" s="3"/>
      <c r="J101" s="3"/>
      <c r="K101" s="3"/>
      <c r="L101" s="3"/>
      <c r="M101" s="3"/>
      <c r="N101" s="3"/>
      <c r="O101" s="3"/>
      <c r="P101" s="3"/>
      <c r="Q101" s="3"/>
      <c r="R101" s="3"/>
      <c r="S101" s="3"/>
      <c r="T101" s="3"/>
      <c r="U101" s="3"/>
      <c r="V101" s="3"/>
      <c r="W101" s="3"/>
      <c r="X101" s="3"/>
      <c r="Y101" s="3"/>
      <c r="Z101" s="3"/>
      <c r="AA101" s="3"/>
      <c r="AB101" s="3"/>
      <c r="AC101" s="3"/>
      <c r="AD101" s="3"/>
      <c r="AE101" s="3"/>
      <c r="AF101" s="3"/>
    </row>
    <row r="102" spans="1:32" ht="15" x14ac:dyDescent="0.25">
      <c r="A102" s="3"/>
      <c r="B102" s="2184" t="s">
        <v>1713</v>
      </c>
      <c r="C102" s="2180">
        <v>-5.821479238412712E-2</v>
      </c>
      <c r="D102" s="2180">
        <v>-7.0092372707812392E-2</v>
      </c>
      <c r="E102" s="2180">
        <v>-6.7201258309999998E-2</v>
      </c>
      <c r="F102" s="2180">
        <v>-6.5793765350723746E-2</v>
      </c>
      <c r="G102" s="2180">
        <v>-0.06</v>
      </c>
      <c r="H102" s="2180">
        <v>-7.5620000000000007E-2</v>
      </c>
      <c r="I102" s="3"/>
      <c r="J102" s="3"/>
      <c r="K102" s="3"/>
      <c r="L102" s="3"/>
      <c r="M102" s="3"/>
      <c r="N102" s="3"/>
      <c r="O102" s="3"/>
      <c r="P102" s="3"/>
      <c r="Q102" s="3"/>
      <c r="R102" s="3"/>
      <c r="S102" s="3"/>
      <c r="T102" s="3"/>
      <c r="U102" s="3"/>
      <c r="V102" s="3"/>
      <c r="W102" s="3"/>
      <c r="X102" s="3"/>
      <c r="Y102" s="3"/>
      <c r="Z102" s="3"/>
      <c r="AA102" s="3"/>
      <c r="AB102" s="3"/>
      <c r="AC102" s="3"/>
      <c r="AD102" s="3"/>
      <c r="AE102" s="3"/>
      <c r="AF102" s="3"/>
    </row>
    <row r="103" spans="1:32" ht="15" x14ac:dyDescent="0.25">
      <c r="A103" s="3"/>
      <c r="B103" s="2182" t="s">
        <v>205</v>
      </c>
      <c r="C103" s="2183">
        <f t="shared" ref="C103:H103" si="1">SUM(C99:C102)</f>
        <v>-0.18467683894012488</v>
      </c>
      <c r="D103" s="2183">
        <f t="shared" si="1"/>
        <v>-0.21822819744427552</v>
      </c>
      <c r="E103" s="2183">
        <f t="shared" si="1"/>
        <v>-0.18595409998000001</v>
      </c>
      <c r="F103" s="2183">
        <f t="shared" si="1"/>
        <v>-0.16864007253577512</v>
      </c>
      <c r="G103" s="2183">
        <f t="shared" si="1"/>
        <v>-0.49000000000000005</v>
      </c>
      <c r="H103" s="2183">
        <f t="shared" si="1"/>
        <v>-8.6290000000000006E-2</v>
      </c>
      <c r="I103" s="3"/>
      <c r="J103" s="3"/>
      <c r="K103" s="3"/>
      <c r="L103" s="3"/>
      <c r="M103" s="3"/>
      <c r="N103" s="3"/>
      <c r="O103" s="3"/>
      <c r="P103" s="3"/>
      <c r="Q103" s="3"/>
      <c r="R103" s="3"/>
      <c r="S103" s="3"/>
      <c r="T103" s="3"/>
      <c r="U103" s="3"/>
      <c r="V103" s="3"/>
      <c r="W103" s="3"/>
      <c r="X103" s="3"/>
      <c r="Y103" s="3"/>
      <c r="Z103" s="3"/>
      <c r="AA103" s="3"/>
      <c r="AB103" s="3"/>
      <c r="AC103" s="3"/>
      <c r="AD103" s="3"/>
      <c r="AE103" s="3"/>
      <c r="AF103" s="3"/>
    </row>
    <row r="104" spans="1:32" ht="15" x14ac:dyDescent="0.25">
      <c r="A104" s="3"/>
      <c r="B104" s="2185"/>
      <c r="C104" s="2186"/>
      <c r="D104" s="2186"/>
      <c r="E104" s="2186"/>
      <c r="F104" s="2186"/>
      <c r="G104" s="2186"/>
      <c r="H104" s="2186"/>
      <c r="I104" s="3"/>
      <c r="J104" s="3"/>
      <c r="K104" s="3"/>
      <c r="L104" s="3"/>
      <c r="M104" s="3"/>
      <c r="N104" s="3"/>
      <c r="O104" s="3"/>
      <c r="P104" s="3"/>
      <c r="Q104" s="3"/>
      <c r="R104" s="3"/>
      <c r="S104" s="3"/>
      <c r="T104" s="3"/>
      <c r="U104" s="3"/>
      <c r="V104" s="3"/>
      <c r="W104" s="3"/>
      <c r="X104" s="3"/>
      <c r="Y104" s="3"/>
      <c r="Z104" s="3"/>
      <c r="AA104" s="3"/>
      <c r="AB104" s="3"/>
      <c r="AC104" s="3"/>
      <c r="AD104" s="3"/>
      <c r="AE104" s="3"/>
      <c r="AF104" s="3"/>
    </row>
    <row r="105" spans="1:32" ht="15" x14ac:dyDescent="0.25">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row>
    <row r="106" spans="1:32" ht="15" x14ac:dyDescent="0.25">
      <c r="A106" s="3"/>
      <c r="B106" s="1904" t="s">
        <v>1714</v>
      </c>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row>
    <row r="107" spans="1:32" ht="15" x14ac:dyDescent="0.25">
      <c r="A107" s="3"/>
      <c r="B107" s="2187"/>
      <c r="C107" s="2187"/>
      <c r="D107" s="2187"/>
      <c r="E107" s="2187"/>
      <c r="F107" s="2188"/>
      <c r="G107" s="2188"/>
      <c r="H107" s="2161"/>
      <c r="I107" s="3"/>
      <c r="J107" s="3"/>
      <c r="K107" s="3"/>
      <c r="L107" s="3"/>
      <c r="M107" s="3"/>
      <c r="N107" s="3"/>
      <c r="O107" s="3"/>
      <c r="P107" s="3"/>
      <c r="Q107" s="3"/>
      <c r="R107" s="3"/>
      <c r="S107" s="3"/>
      <c r="T107" s="3"/>
      <c r="U107" s="3"/>
      <c r="V107" s="3"/>
      <c r="W107" s="3"/>
      <c r="X107" s="3"/>
      <c r="Y107" s="3"/>
      <c r="Z107" s="3"/>
      <c r="AA107" s="3"/>
      <c r="AB107" s="3"/>
      <c r="AC107" s="3"/>
      <c r="AD107" s="3"/>
      <c r="AE107" s="3"/>
      <c r="AF107" s="3"/>
    </row>
    <row r="108" spans="1:32" ht="15" x14ac:dyDescent="0.25">
      <c r="A108" s="3"/>
      <c r="B108" s="2174" t="s">
        <v>1693</v>
      </c>
      <c r="C108" s="2164">
        <v>2006</v>
      </c>
      <c r="D108" s="2164">
        <v>2011</v>
      </c>
      <c r="E108" s="2164">
        <v>2014</v>
      </c>
      <c r="F108" s="2164">
        <v>2017</v>
      </c>
      <c r="G108" s="2164">
        <v>2020</v>
      </c>
      <c r="H108" s="2164">
        <v>2023</v>
      </c>
      <c r="J108" s="3"/>
      <c r="K108" s="3"/>
      <c r="L108" s="3"/>
      <c r="M108" s="3"/>
      <c r="N108" s="3"/>
      <c r="O108" s="3"/>
      <c r="P108" s="3"/>
      <c r="Q108" s="3"/>
      <c r="R108" s="3"/>
      <c r="S108" s="3"/>
      <c r="T108" s="3"/>
      <c r="U108" s="3"/>
      <c r="V108" s="3"/>
      <c r="W108" s="3"/>
      <c r="X108" s="3"/>
      <c r="Y108" s="3"/>
      <c r="Z108" s="3"/>
      <c r="AA108" s="3"/>
      <c r="AB108" s="3"/>
      <c r="AC108" s="3"/>
      <c r="AD108" s="3"/>
      <c r="AE108" s="3"/>
      <c r="AF108" s="3"/>
    </row>
    <row r="109" spans="1:32" ht="15" x14ac:dyDescent="0.25">
      <c r="A109" s="3"/>
      <c r="B109" s="2189" t="s">
        <v>1716</v>
      </c>
      <c r="C109" s="2190">
        <v>-0.72</v>
      </c>
      <c r="D109" s="2190">
        <v>-0.72</v>
      </c>
      <c r="E109" s="2190">
        <v>-0.72</v>
      </c>
      <c r="F109" s="2190">
        <v>-0.72</v>
      </c>
      <c r="G109" s="2191">
        <v>-0.72</v>
      </c>
      <c r="H109" s="2191">
        <v>-0.72</v>
      </c>
      <c r="J109" s="3"/>
      <c r="K109" s="3"/>
      <c r="L109" s="3"/>
      <c r="M109" s="3"/>
      <c r="N109" s="3"/>
      <c r="O109" s="3"/>
      <c r="P109" s="3"/>
      <c r="Q109" s="3"/>
      <c r="R109" s="3"/>
      <c r="S109" s="3"/>
      <c r="T109" s="3"/>
      <c r="U109" s="3"/>
      <c r="V109" s="3"/>
      <c r="W109" s="3"/>
      <c r="X109" s="3"/>
      <c r="Y109" s="3"/>
      <c r="Z109" s="3"/>
      <c r="AA109" s="3"/>
      <c r="AB109" s="3"/>
      <c r="AC109" s="3"/>
      <c r="AD109" s="3"/>
      <c r="AE109" s="3"/>
      <c r="AF109" s="3"/>
    </row>
    <row r="110" spans="1:32" ht="15" x14ac:dyDescent="0.25">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row>
    <row r="111" spans="1:32" ht="15" x14ac:dyDescent="0.25">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row>
    <row r="112" spans="1:32" ht="15" x14ac:dyDescent="0.25">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row>
    <row r="113" spans="1:32" ht="15" x14ac:dyDescent="0.25">
      <c r="A113" s="3"/>
      <c r="B113" s="2147" t="s">
        <v>548</v>
      </c>
      <c r="C113" s="2148"/>
      <c r="D113" s="2148"/>
      <c r="E113" s="2148"/>
      <c r="F113" s="2148"/>
      <c r="G113" s="2148"/>
      <c r="H113" s="2148"/>
      <c r="I113" s="3"/>
      <c r="J113" s="3"/>
      <c r="K113" s="3"/>
      <c r="L113" s="3"/>
      <c r="M113" s="3"/>
      <c r="N113" s="3"/>
      <c r="O113" s="3"/>
      <c r="P113" s="3"/>
      <c r="Q113" s="3"/>
      <c r="R113" s="3"/>
      <c r="S113" s="3"/>
      <c r="T113" s="3"/>
      <c r="U113" s="3"/>
      <c r="V113" s="3"/>
      <c r="W113" s="3"/>
      <c r="X113" s="3"/>
      <c r="Y113" s="3"/>
      <c r="Z113" s="3"/>
      <c r="AA113" s="3"/>
      <c r="AB113" s="3"/>
      <c r="AC113" s="3"/>
      <c r="AD113" s="3"/>
      <c r="AE113" s="3"/>
      <c r="AF113" s="3"/>
    </row>
    <row r="114" spans="1:32" ht="15" x14ac:dyDescent="0.25">
      <c r="A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row>
    <row r="115" spans="1:32" ht="36.75" x14ac:dyDescent="0.25">
      <c r="A115" s="3"/>
      <c r="B115" s="2192" t="s">
        <v>835</v>
      </c>
      <c r="C115" s="2193" t="s">
        <v>2151</v>
      </c>
      <c r="D115" s="2193" t="s">
        <v>1718</v>
      </c>
      <c r="E115" s="2193" t="s">
        <v>2152</v>
      </c>
      <c r="F115" s="2193" t="s">
        <v>2153</v>
      </c>
      <c r="G115" s="2193" t="s">
        <v>2154</v>
      </c>
      <c r="I115" s="3"/>
      <c r="J115" s="3"/>
      <c r="K115" s="3"/>
      <c r="L115" s="3"/>
      <c r="M115" s="3"/>
      <c r="N115" s="3"/>
      <c r="O115" s="3"/>
      <c r="P115" s="3"/>
      <c r="Q115" s="3"/>
      <c r="R115" s="3"/>
      <c r="S115" s="3"/>
      <c r="T115" s="3"/>
      <c r="U115" s="3"/>
      <c r="V115" s="3"/>
      <c r="W115" s="3"/>
      <c r="X115" s="3"/>
      <c r="Y115" s="3"/>
      <c r="Z115" s="3"/>
      <c r="AA115" s="3"/>
      <c r="AB115" s="3"/>
      <c r="AC115" s="3"/>
      <c r="AD115" s="3"/>
      <c r="AE115" s="3"/>
      <c r="AF115" s="3"/>
    </row>
    <row r="116" spans="1:32" ht="15" x14ac:dyDescent="0.25">
      <c r="A116" s="3"/>
      <c r="B116" s="2194">
        <v>2023</v>
      </c>
      <c r="C116" s="2195">
        <v>4022</v>
      </c>
      <c r="D116" s="2196">
        <v>0.01</v>
      </c>
      <c r="E116" s="2197">
        <f t="shared" ref="E116:E121" si="2">44/28</f>
        <v>1.5714285714285714</v>
      </c>
      <c r="F116" s="2197">
        <f t="shared" ref="F116:F121" si="3">C116*D116*E116</f>
        <v>63.202857142857141</v>
      </c>
      <c r="G116" s="2198">
        <f t="shared" ref="G116:G121" si="4">F116*K$6/1000000</f>
        <v>1.725438E-2</v>
      </c>
      <c r="I116" s="3"/>
      <c r="J116" s="3"/>
      <c r="K116" s="3"/>
      <c r="L116" s="3"/>
      <c r="M116" s="3"/>
      <c r="N116" s="3"/>
      <c r="O116" s="3"/>
      <c r="P116" s="3"/>
      <c r="Q116" s="3"/>
      <c r="R116" s="3"/>
      <c r="S116" s="3"/>
      <c r="T116" s="3"/>
      <c r="U116" s="3"/>
      <c r="V116" s="3"/>
      <c r="W116" s="3"/>
      <c r="X116" s="3"/>
      <c r="Y116" s="3"/>
      <c r="Z116" s="3"/>
      <c r="AA116" s="3"/>
      <c r="AB116" s="3"/>
      <c r="AC116" s="3"/>
      <c r="AD116" s="3"/>
      <c r="AE116" s="3"/>
      <c r="AF116" s="3"/>
    </row>
    <row r="117" spans="1:32" ht="15" x14ac:dyDescent="0.25">
      <c r="A117" s="3"/>
      <c r="B117" s="2194">
        <v>2020</v>
      </c>
      <c r="C117" s="2195">
        <v>4022</v>
      </c>
      <c r="D117" s="2196">
        <v>0.01</v>
      </c>
      <c r="E117" s="2197">
        <f t="shared" si="2"/>
        <v>1.5714285714285714</v>
      </c>
      <c r="F117" s="2197">
        <f t="shared" si="3"/>
        <v>63.202857142857141</v>
      </c>
      <c r="G117" s="2198">
        <f t="shared" si="4"/>
        <v>1.725438E-2</v>
      </c>
      <c r="I117" s="3"/>
      <c r="J117" s="3"/>
      <c r="K117" s="3"/>
      <c r="L117" s="3"/>
      <c r="M117" s="3"/>
      <c r="N117" s="3"/>
      <c r="O117" s="3"/>
      <c r="P117" s="3"/>
      <c r="Q117" s="3"/>
      <c r="R117" s="3"/>
      <c r="S117" s="3"/>
      <c r="T117" s="3"/>
      <c r="U117" s="3"/>
      <c r="V117" s="3"/>
      <c r="W117" s="3"/>
      <c r="X117" s="3"/>
      <c r="Y117" s="3"/>
      <c r="Z117" s="3"/>
      <c r="AA117" s="3"/>
      <c r="AB117" s="3"/>
      <c r="AC117" s="3"/>
      <c r="AD117" s="3"/>
      <c r="AE117" s="3"/>
      <c r="AF117" s="3"/>
    </row>
    <row r="118" spans="1:32" ht="15" x14ac:dyDescent="0.25">
      <c r="A118" s="3"/>
      <c r="B118" s="2194">
        <v>2017</v>
      </c>
      <c r="C118" s="2199">
        <v>4022</v>
      </c>
      <c r="D118" s="2200">
        <v>0.01</v>
      </c>
      <c r="E118" s="2197">
        <f t="shared" si="2"/>
        <v>1.5714285714285714</v>
      </c>
      <c r="F118" s="2197">
        <f t="shared" si="3"/>
        <v>63.202857142857141</v>
      </c>
      <c r="G118" s="2198">
        <f t="shared" si="4"/>
        <v>1.725438E-2</v>
      </c>
      <c r="I118" s="3"/>
      <c r="J118" s="3"/>
      <c r="K118" s="3"/>
      <c r="L118" s="3"/>
      <c r="M118" s="3"/>
      <c r="N118" s="3"/>
      <c r="O118" s="3"/>
      <c r="P118" s="3"/>
      <c r="Q118" s="3"/>
      <c r="R118" s="3"/>
      <c r="S118" s="3"/>
      <c r="T118" s="3"/>
      <c r="U118" s="3"/>
      <c r="V118" s="3"/>
      <c r="W118" s="3"/>
      <c r="X118" s="3"/>
      <c r="Y118" s="3"/>
      <c r="Z118" s="3"/>
      <c r="AA118" s="3"/>
      <c r="AB118" s="3"/>
      <c r="AC118" s="3"/>
      <c r="AD118" s="3"/>
      <c r="AE118" s="3"/>
      <c r="AF118" s="3"/>
    </row>
    <row r="119" spans="1:32" ht="15" x14ac:dyDescent="0.25">
      <c r="A119" s="3"/>
      <c r="B119" s="2194">
        <v>2014</v>
      </c>
      <c r="C119" s="2199">
        <v>4022</v>
      </c>
      <c r="D119" s="2200">
        <v>0.01</v>
      </c>
      <c r="E119" s="2197">
        <f t="shared" si="2"/>
        <v>1.5714285714285714</v>
      </c>
      <c r="F119" s="2197">
        <f t="shared" si="3"/>
        <v>63.202857142857141</v>
      </c>
      <c r="G119" s="2198">
        <f t="shared" si="4"/>
        <v>1.725438E-2</v>
      </c>
      <c r="I119" s="3"/>
      <c r="J119" s="3"/>
      <c r="K119" s="3"/>
      <c r="L119" s="3"/>
      <c r="M119" s="3"/>
      <c r="N119" s="3"/>
      <c r="O119" s="3"/>
      <c r="P119" s="3"/>
      <c r="Q119" s="3"/>
      <c r="R119" s="3"/>
      <c r="S119" s="3"/>
      <c r="T119" s="3"/>
      <c r="U119" s="3"/>
      <c r="V119" s="3"/>
      <c r="W119" s="3"/>
      <c r="X119" s="3"/>
      <c r="Y119" s="3"/>
      <c r="Z119" s="3"/>
      <c r="AA119" s="3"/>
      <c r="AB119" s="3"/>
      <c r="AC119" s="3"/>
      <c r="AD119" s="3"/>
      <c r="AE119" s="3"/>
      <c r="AF119" s="3"/>
    </row>
    <row r="120" spans="1:32" ht="15" x14ac:dyDescent="0.25">
      <c r="A120" s="3"/>
      <c r="B120" s="2194">
        <v>2011</v>
      </c>
      <c r="C120" s="2199">
        <v>3993</v>
      </c>
      <c r="D120" s="2200">
        <v>0.01</v>
      </c>
      <c r="E120" s="2197">
        <f t="shared" si="2"/>
        <v>1.5714285714285714</v>
      </c>
      <c r="F120" s="2197">
        <f t="shared" si="3"/>
        <v>62.747142857142855</v>
      </c>
      <c r="G120" s="2198">
        <f t="shared" si="4"/>
        <v>1.7129969999999998E-2</v>
      </c>
      <c r="I120" s="3"/>
      <c r="J120" s="3"/>
      <c r="K120" s="3"/>
      <c r="L120" s="3"/>
      <c r="M120" s="3"/>
      <c r="N120" s="3"/>
      <c r="O120" s="3"/>
      <c r="P120" s="3"/>
      <c r="Q120" s="3"/>
      <c r="R120" s="3"/>
      <c r="S120" s="3"/>
      <c r="T120" s="3"/>
      <c r="U120" s="3"/>
      <c r="V120" s="3"/>
      <c r="W120" s="3"/>
      <c r="X120" s="3"/>
      <c r="Y120" s="3"/>
      <c r="Z120" s="3"/>
      <c r="AA120" s="3"/>
      <c r="AB120" s="3"/>
      <c r="AC120" s="3"/>
      <c r="AD120" s="3"/>
      <c r="AE120" s="3"/>
      <c r="AF120" s="3"/>
    </row>
    <row r="121" spans="1:32" ht="15" x14ac:dyDescent="0.25">
      <c r="A121" s="3"/>
      <c r="B121" s="2194">
        <v>2006</v>
      </c>
      <c r="C121" s="2199">
        <v>4686</v>
      </c>
      <c r="D121" s="2200">
        <v>0.01</v>
      </c>
      <c r="E121" s="2197">
        <f t="shared" si="2"/>
        <v>1.5714285714285714</v>
      </c>
      <c r="F121" s="2197">
        <f t="shared" si="3"/>
        <v>73.637142857142848</v>
      </c>
      <c r="G121" s="2198">
        <f t="shared" si="4"/>
        <v>2.010294E-2</v>
      </c>
      <c r="I121" s="3"/>
      <c r="J121" s="3"/>
      <c r="K121" s="3"/>
      <c r="L121" s="3"/>
      <c r="M121" s="3"/>
      <c r="N121" s="3"/>
      <c r="O121" s="3"/>
      <c r="P121" s="3"/>
      <c r="Q121" s="3"/>
      <c r="R121" s="3"/>
      <c r="S121" s="3"/>
      <c r="T121" s="3"/>
      <c r="U121" s="3"/>
      <c r="V121" s="3"/>
      <c r="W121" s="3"/>
      <c r="X121" s="3"/>
      <c r="Y121" s="3"/>
      <c r="Z121" s="3"/>
      <c r="AA121" s="3"/>
      <c r="AB121" s="3"/>
      <c r="AC121" s="3"/>
      <c r="AD121" s="3"/>
      <c r="AE121" s="3"/>
      <c r="AF121" s="3"/>
    </row>
    <row r="122" spans="1:32" ht="15" x14ac:dyDescent="0.25">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row>
    <row r="123" spans="1:32" ht="15" x14ac:dyDescent="0.25">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row>
    <row r="124" spans="1:32" ht="15" x14ac:dyDescent="0.25">
      <c r="A124" s="3"/>
      <c r="B124" s="2147" t="s">
        <v>554</v>
      </c>
      <c r="C124" s="2148"/>
      <c r="D124" s="2148"/>
      <c r="E124" s="2148"/>
      <c r="F124" s="2148"/>
      <c r="G124" s="2148"/>
      <c r="H124" s="2148"/>
      <c r="I124" s="3"/>
      <c r="J124" s="3"/>
      <c r="K124" s="3"/>
      <c r="L124" s="3"/>
      <c r="M124" s="3"/>
      <c r="N124" s="3"/>
      <c r="O124" s="3"/>
      <c r="P124" s="3"/>
      <c r="Q124" s="3"/>
      <c r="R124" s="3"/>
      <c r="S124" s="3"/>
      <c r="T124" s="3"/>
      <c r="U124" s="3"/>
      <c r="V124" s="3"/>
      <c r="W124" s="3"/>
      <c r="X124" s="3"/>
      <c r="Y124" s="3"/>
      <c r="Z124" s="3"/>
      <c r="AA124" s="3"/>
      <c r="AB124" s="3"/>
      <c r="AC124" s="3"/>
      <c r="AD124" s="3"/>
      <c r="AE124" s="3"/>
      <c r="AF124" s="3"/>
    </row>
    <row r="125" spans="1:32" ht="15" x14ac:dyDescent="0.25">
      <c r="A125" s="3"/>
      <c r="B125" s="2161" t="s">
        <v>2155</v>
      </c>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row>
    <row r="126" spans="1:32" ht="15" x14ac:dyDescent="0.25">
      <c r="A126" s="3"/>
      <c r="B126" s="2157" t="s">
        <v>2156</v>
      </c>
      <c r="C126" s="1947"/>
      <c r="D126" s="1947"/>
      <c r="E126" s="1947"/>
      <c r="F126" s="1947"/>
      <c r="G126" s="1947"/>
      <c r="H126" s="2161"/>
      <c r="I126" s="3"/>
      <c r="J126" s="3"/>
      <c r="K126" s="3"/>
      <c r="L126" s="3"/>
      <c r="M126" s="3"/>
      <c r="N126" s="3"/>
      <c r="O126" s="3"/>
      <c r="P126" s="3"/>
      <c r="Q126" s="3"/>
      <c r="R126" s="3"/>
      <c r="S126" s="3"/>
      <c r="T126" s="3"/>
      <c r="U126" s="3"/>
      <c r="V126" s="3"/>
      <c r="W126" s="3"/>
      <c r="X126" s="3"/>
      <c r="Y126" s="3"/>
      <c r="Z126" s="3"/>
      <c r="AA126" s="3"/>
      <c r="AB126" s="3"/>
      <c r="AC126" s="3"/>
      <c r="AD126" s="3"/>
      <c r="AE126" s="3"/>
      <c r="AF126" s="3"/>
    </row>
    <row r="127" spans="1:32" ht="15" x14ac:dyDescent="0.25">
      <c r="A127" s="3"/>
      <c r="B127" s="3"/>
      <c r="C127" s="1947"/>
      <c r="D127" s="1947"/>
      <c r="E127" s="1947"/>
      <c r="F127" s="1947"/>
      <c r="G127" s="1947"/>
      <c r="H127" s="2161"/>
      <c r="I127" s="3"/>
      <c r="J127" s="3"/>
      <c r="L127" s="3"/>
      <c r="M127" s="3"/>
      <c r="N127" s="3"/>
      <c r="O127" s="3"/>
      <c r="P127" s="3"/>
      <c r="Q127" s="3"/>
      <c r="R127" s="3"/>
      <c r="S127" s="3"/>
      <c r="T127" s="3"/>
      <c r="U127" s="3"/>
      <c r="V127" s="3"/>
      <c r="W127" s="3"/>
      <c r="X127" s="3"/>
      <c r="Y127" s="3"/>
      <c r="Z127" s="3"/>
      <c r="AA127" s="3"/>
      <c r="AB127" s="3"/>
      <c r="AC127" s="3"/>
      <c r="AD127" s="3"/>
      <c r="AE127" s="3"/>
      <c r="AF127" s="3"/>
    </row>
    <row r="128" spans="1:32" ht="15" x14ac:dyDescent="0.25">
      <c r="A128" s="3"/>
      <c r="B128" s="1904" t="s">
        <v>2157</v>
      </c>
      <c r="C128" s="1947"/>
      <c r="D128" s="1947"/>
      <c r="E128" s="1947"/>
      <c r="F128" s="1947"/>
      <c r="G128" s="1947"/>
      <c r="H128" s="2161"/>
      <c r="I128" s="3"/>
      <c r="J128" s="3"/>
      <c r="K128" s="3"/>
      <c r="L128" s="3"/>
      <c r="M128" s="3"/>
      <c r="N128" s="3"/>
      <c r="O128" s="3"/>
      <c r="P128" s="3"/>
      <c r="Q128" s="3"/>
      <c r="R128" s="3"/>
      <c r="S128" s="3"/>
      <c r="T128" s="3"/>
      <c r="U128" s="3"/>
      <c r="V128" s="3"/>
      <c r="W128" s="3"/>
      <c r="X128" s="3"/>
      <c r="Y128" s="3"/>
      <c r="Z128" s="3"/>
      <c r="AA128" s="3"/>
      <c r="AB128" s="3"/>
      <c r="AC128" s="3"/>
      <c r="AD128" s="3"/>
      <c r="AE128" s="3"/>
      <c r="AF128" s="3"/>
    </row>
    <row r="129" spans="1:32" ht="15" x14ac:dyDescent="0.25">
      <c r="A129" s="3"/>
      <c r="B129" s="2161"/>
      <c r="C129" s="2164">
        <v>2006</v>
      </c>
      <c r="D129" s="2164">
        <v>2011</v>
      </c>
      <c r="E129" s="2164">
        <v>2014</v>
      </c>
      <c r="F129" s="2164">
        <v>2017</v>
      </c>
      <c r="G129" s="2164">
        <v>2020</v>
      </c>
      <c r="H129" s="2164">
        <v>2023</v>
      </c>
      <c r="I129" s="3"/>
      <c r="J129" s="3"/>
      <c r="K129" s="3"/>
      <c r="L129" s="3"/>
      <c r="M129" s="3"/>
      <c r="N129" s="3"/>
      <c r="O129" s="3"/>
      <c r="P129" s="3"/>
      <c r="Q129" s="3"/>
      <c r="R129" s="3"/>
      <c r="S129" s="3"/>
      <c r="T129" s="3"/>
      <c r="U129" s="3"/>
      <c r="V129" s="3"/>
      <c r="W129" s="3"/>
      <c r="X129" s="3"/>
      <c r="Y129" s="3"/>
      <c r="Z129" s="3"/>
      <c r="AA129" s="3"/>
      <c r="AB129" s="3"/>
      <c r="AC129" s="3"/>
      <c r="AD129" s="3"/>
      <c r="AE129" s="3"/>
      <c r="AF129" s="3"/>
    </row>
    <row r="130" spans="1:32" ht="15" x14ac:dyDescent="0.25">
      <c r="A130" s="3"/>
      <c r="B130" s="2175" t="s">
        <v>2158</v>
      </c>
      <c r="C130" s="2201"/>
      <c r="D130" s="2201"/>
      <c r="E130" s="2201"/>
      <c r="F130" s="2201"/>
      <c r="G130" s="2201"/>
      <c r="H130" s="2201">
        <v>4482.8</v>
      </c>
      <c r="I130" s="3"/>
      <c r="J130" s="3"/>
      <c r="L130" s="3"/>
      <c r="M130" s="3"/>
      <c r="N130" s="3"/>
      <c r="O130" s="3"/>
      <c r="P130" s="3"/>
      <c r="Q130" s="3"/>
      <c r="R130" s="3"/>
      <c r="S130" s="3"/>
      <c r="T130" s="3"/>
      <c r="U130" s="3"/>
      <c r="V130" s="3"/>
      <c r="W130" s="3"/>
      <c r="X130" s="3"/>
      <c r="Y130" s="3"/>
      <c r="Z130" s="3"/>
      <c r="AA130" s="3"/>
      <c r="AB130" s="3"/>
      <c r="AC130" s="3"/>
      <c r="AD130" s="3"/>
      <c r="AE130" s="3"/>
      <c r="AF130" s="3"/>
    </row>
    <row r="131" spans="1:32" ht="15" x14ac:dyDescent="0.25">
      <c r="A131" s="3"/>
      <c r="B131" s="2175" t="s">
        <v>2159</v>
      </c>
      <c r="C131" s="2201">
        <v>2458</v>
      </c>
      <c r="D131" s="2201">
        <v>3363</v>
      </c>
      <c r="E131" s="2201">
        <v>696</v>
      </c>
      <c r="F131" s="2201">
        <v>880</v>
      </c>
      <c r="G131" s="2201">
        <v>575.29999999999995</v>
      </c>
      <c r="H131" s="2201">
        <f>H130/2.47105</f>
        <v>1814.1275975799763</v>
      </c>
      <c r="I131" s="3"/>
      <c r="J131" s="2202"/>
      <c r="L131" s="3"/>
      <c r="M131" s="3"/>
      <c r="N131" s="3"/>
      <c r="O131" s="3"/>
      <c r="P131" s="3"/>
      <c r="Q131" s="3"/>
      <c r="R131" s="3"/>
      <c r="S131" s="3"/>
      <c r="T131" s="3"/>
      <c r="U131" s="3"/>
      <c r="V131" s="3"/>
      <c r="W131" s="3"/>
      <c r="X131" s="3"/>
      <c r="Y131" s="3"/>
      <c r="Z131" s="3"/>
      <c r="AA131" s="3"/>
      <c r="AB131" s="3"/>
      <c r="AC131" s="3"/>
      <c r="AD131" s="3"/>
      <c r="AE131" s="3"/>
      <c r="AF131" s="3"/>
    </row>
    <row r="132" spans="1:32" ht="15" x14ac:dyDescent="0.25">
      <c r="A132" s="3"/>
      <c r="B132" s="2175" t="s">
        <v>2160</v>
      </c>
      <c r="C132" s="2201">
        <v>152440</v>
      </c>
      <c r="D132" s="2201">
        <v>152440</v>
      </c>
      <c r="E132" s="2201">
        <v>152440</v>
      </c>
      <c r="F132" s="2201">
        <v>152440</v>
      </c>
      <c r="G132" s="2201">
        <v>152440</v>
      </c>
      <c r="H132" s="2201">
        <v>152440</v>
      </c>
      <c r="I132" s="3"/>
      <c r="J132" s="3"/>
      <c r="M132" s="3"/>
      <c r="N132" s="3"/>
      <c r="O132" s="3"/>
      <c r="P132" s="3"/>
      <c r="Q132" s="3"/>
      <c r="R132" s="3"/>
      <c r="S132" s="3"/>
      <c r="T132" s="3"/>
      <c r="U132" s="3"/>
      <c r="V132" s="3"/>
      <c r="W132" s="3"/>
      <c r="X132" s="3"/>
      <c r="Y132" s="3"/>
      <c r="Z132" s="3"/>
      <c r="AA132" s="3"/>
      <c r="AB132" s="3"/>
      <c r="AC132" s="3"/>
      <c r="AD132" s="3"/>
      <c r="AE132" s="3"/>
      <c r="AF132" s="3"/>
    </row>
    <row r="133" spans="1:32" ht="15.75" thickBot="1" x14ac:dyDescent="0.3">
      <c r="A133" s="3"/>
      <c r="B133" s="2203" t="s">
        <v>2161</v>
      </c>
      <c r="C133" s="2204">
        <v>0.45</v>
      </c>
      <c r="D133" s="2204">
        <v>0.45</v>
      </c>
      <c r="E133" s="2204">
        <v>0.45</v>
      </c>
      <c r="F133" s="2204">
        <v>0.45</v>
      </c>
      <c r="G133" s="2204">
        <v>0.45</v>
      </c>
      <c r="H133" s="2204">
        <v>0.45</v>
      </c>
      <c r="I133" s="3"/>
      <c r="J133" s="3"/>
      <c r="K133" s="3"/>
      <c r="L133" s="3"/>
      <c r="M133" s="3"/>
      <c r="N133" s="3"/>
      <c r="O133" s="3"/>
      <c r="P133" s="3"/>
      <c r="Q133" s="3"/>
      <c r="R133" s="3"/>
      <c r="S133" s="3"/>
      <c r="T133" s="3"/>
      <c r="U133" s="3"/>
      <c r="V133" s="3"/>
      <c r="W133" s="3"/>
      <c r="X133" s="3"/>
      <c r="Y133" s="3"/>
      <c r="Z133" s="3"/>
      <c r="AA133" s="3"/>
      <c r="AB133" s="3"/>
      <c r="AC133" s="3"/>
      <c r="AD133" s="3"/>
      <c r="AE133" s="3"/>
      <c r="AF133" s="3"/>
    </row>
    <row r="134" spans="1:32" ht="15" x14ac:dyDescent="0.25">
      <c r="A134" s="3"/>
      <c r="B134" s="2175" t="s">
        <v>2162</v>
      </c>
      <c r="C134" s="2205">
        <v>6.8</v>
      </c>
      <c r="D134" s="2205">
        <v>6.8</v>
      </c>
      <c r="E134" s="2205">
        <v>6.8</v>
      </c>
      <c r="F134" s="2205">
        <v>6.8</v>
      </c>
      <c r="G134" s="2205">
        <v>6.8</v>
      </c>
      <c r="H134" s="2205">
        <v>6.8</v>
      </c>
      <c r="I134" s="41"/>
      <c r="J134" s="41"/>
      <c r="K134" s="3"/>
      <c r="L134" s="3"/>
      <c r="M134" s="3"/>
      <c r="N134" s="3"/>
      <c r="O134" s="3"/>
      <c r="P134" s="3"/>
      <c r="Q134" s="3"/>
      <c r="R134" s="3"/>
      <c r="S134" s="3"/>
      <c r="T134" s="3"/>
      <c r="U134" s="3"/>
      <c r="V134" s="3"/>
      <c r="W134" s="3"/>
      <c r="X134" s="3"/>
      <c r="Y134" s="3"/>
      <c r="Z134" s="3"/>
      <c r="AA134" s="3"/>
      <c r="AB134" s="3"/>
      <c r="AC134" s="3"/>
      <c r="AD134" s="3"/>
      <c r="AE134" s="3"/>
      <c r="AF134" s="3"/>
    </row>
    <row r="135" spans="1:32" ht="15" x14ac:dyDescent="0.25">
      <c r="A135" s="3"/>
      <c r="B135" s="2175" t="s">
        <v>2163</v>
      </c>
      <c r="C135" s="2201">
        <f t="shared" ref="C135:H135" si="5">(C131*C132*C133*C134)/1000/1000</f>
        <v>1146.5744112</v>
      </c>
      <c r="D135" s="2201">
        <f t="shared" si="5"/>
        <v>1568.7265032000003</v>
      </c>
      <c r="E135" s="2201">
        <f t="shared" si="5"/>
        <v>324.66061439999999</v>
      </c>
      <c r="F135" s="2201">
        <f t="shared" si="5"/>
        <v>410.490432</v>
      </c>
      <c r="G135" s="2201">
        <f t="shared" si="5"/>
        <v>268.35811991999998</v>
      </c>
      <c r="H135" s="2201">
        <f t="shared" si="5"/>
        <v>846.22956958378029</v>
      </c>
      <c r="I135" s="3"/>
      <c r="J135" s="3"/>
      <c r="K135" s="3"/>
      <c r="L135" s="3"/>
      <c r="M135" s="3"/>
      <c r="N135" s="3"/>
      <c r="O135" s="3"/>
      <c r="P135" s="3"/>
      <c r="Q135" s="3"/>
      <c r="R135" s="3"/>
      <c r="S135" s="3"/>
      <c r="T135" s="3"/>
      <c r="U135" s="3"/>
      <c r="V135" s="3"/>
      <c r="W135" s="3"/>
      <c r="X135" s="3"/>
      <c r="Y135" s="3"/>
      <c r="Z135" s="3"/>
      <c r="AA135" s="3"/>
      <c r="AB135" s="3"/>
      <c r="AC135" s="3"/>
      <c r="AD135" s="3"/>
      <c r="AE135" s="3"/>
      <c r="AF135" s="3"/>
    </row>
    <row r="136" spans="1:32" ht="15.75" thickBot="1" x14ac:dyDescent="0.3">
      <c r="A136" s="3"/>
      <c r="B136" s="2203" t="s">
        <v>2164</v>
      </c>
      <c r="C136" s="2206">
        <f t="shared" ref="C136:H136" si="6">C135*$K$5/1000000</f>
        <v>3.1989426072479996E-2</v>
      </c>
      <c r="D136" s="2206">
        <f t="shared" si="6"/>
        <v>4.3767469439280011E-2</v>
      </c>
      <c r="E136" s="2206">
        <f t="shared" si="6"/>
        <v>9.0580311417599989E-3</v>
      </c>
      <c r="F136" s="2206">
        <f t="shared" si="6"/>
        <v>1.1452683052799999E-2</v>
      </c>
      <c r="G136" s="2206">
        <f t="shared" si="6"/>
        <v>7.4871915457679992E-3</v>
      </c>
      <c r="H136" s="2206">
        <f t="shared" si="6"/>
        <v>2.3609804991387467E-2</v>
      </c>
      <c r="I136" s="3"/>
      <c r="J136" s="3"/>
      <c r="K136" s="3"/>
      <c r="L136" s="3"/>
      <c r="M136" s="3"/>
      <c r="N136" s="3"/>
      <c r="O136" s="3"/>
      <c r="P136" s="3"/>
      <c r="Q136" s="3"/>
      <c r="R136" s="3"/>
      <c r="S136" s="3"/>
      <c r="T136" s="3"/>
      <c r="U136" s="3"/>
      <c r="V136" s="3"/>
      <c r="W136" s="3"/>
      <c r="X136" s="3"/>
      <c r="Y136" s="3"/>
      <c r="Z136" s="3"/>
      <c r="AA136" s="3"/>
      <c r="AB136" s="3"/>
      <c r="AC136" s="3"/>
      <c r="AD136" s="3"/>
      <c r="AE136" s="3"/>
      <c r="AF136" s="3"/>
    </row>
    <row r="137" spans="1:32" ht="15" x14ac:dyDescent="0.25">
      <c r="A137" s="3"/>
      <c r="B137" s="2184" t="s">
        <v>2165</v>
      </c>
      <c r="C137" s="2205">
        <v>0.2</v>
      </c>
      <c r="D137" s="2205">
        <v>0.2</v>
      </c>
      <c r="E137" s="2205">
        <v>0.2</v>
      </c>
      <c r="F137" s="2205">
        <v>0.2</v>
      </c>
      <c r="G137" s="2205">
        <v>0.2</v>
      </c>
      <c r="H137" s="2205">
        <v>0.2</v>
      </c>
      <c r="I137" s="41"/>
      <c r="J137" s="41"/>
      <c r="K137" s="3"/>
      <c r="L137" s="3"/>
      <c r="M137" s="3"/>
      <c r="N137" s="3"/>
      <c r="O137" s="3"/>
      <c r="P137" s="3"/>
      <c r="Q137" s="3"/>
      <c r="R137" s="3"/>
      <c r="S137" s="3"/>
      <c r="T137" s="3"/>
      <c r="U137" s="3"/>
      <c r="V137" s="3"/>
      <c r="W137" s="3"/>
      <c r="X137" s="3"/>
      <c r="Y137" s="3"/>
      <c r="Z137" s="3"/>
      <c r="AA137" s="3"/>
      <c r="AB137" s="3"/>
      <c r="AC137" s="3"/>
      <c r="AD137" s="3"/>
      <c r="AE137" s="3"/>
      <c r="AF137" s="3"/>
    </row>
    <row r="138" spans="1:32" ht="15" x14ac:dyDescent="0.25">
      <c r="A138" s="3"/>
      <c r="B138" s="2175" t="s">
        <v>2166</v>
      </c>
      <c r="C138" s="2201">
        <f t="shared" ref="C138:H138" si="7">(C131*C132*C133*C137)/1000/1000</f>
        <v>33.722776800000005</v>
      </c>
      <c r="D138" s="2201">
        <f t="shared" si="7"/>
        <v>46.139014800000005</v>
      </c>
      <c r="E138" s="2201">
        <f t="shared" si="7"/>
        <v>9.5488415999999994</v>
      </c>
      <c r="F138" s="2201">
        <f t="shared" si="7"/>
        <v>12.073248</v>
      </c>
      <c r="G138" s="2201">
        <f t="shared" si="7"/>
        <v>7.8928858799999997</v>
      </c>
      <c r="H138" s="2201">
        <f t="shared" si="7"/>
        <v>24.889104987758245</v>
      </c>
      <c r="I138" s="3"/>
      <c r="J138" s="3"/>
      <c r="K138" s="3"/>
      <c r="L138" s="3"/>
      <c r="M138" s="3"/>
      <c r="N138" s="3"/>
      <c r="O138" s="3"/>
      <c r="P138" s="3"/>
      <c r="Q138" s="3"/>
      <c r="R138" s="3"/>
      <c r="S138" s="3"/>
      <c r="T138" s="3"/>
      <c r="U138" s="3"/>
      <c r="V138" s="3"/>
      <c r="W138" s="3"/>
      <c r="X138" s="3"/>
      <c r="Y138" s="3"/>
      <c r="Z138" s="3"/>
      <c r="AA138" s="3"/>
      <c r="AB138" s="3"/>
      <c r="AC138" s="3"/>
      <c r="AD138" s="3"/>
      <c r="AE138" s="3"/>
      <c r="AF138" s="3"/>
    </row>
    <row r="139" spans="1:32" ht="15.75" thickBot="1" x14ac:dyDescent="0.3">
      <c r="A139" s="3"/>
      <c r="B139" s="2203" t="s">
        <v>2167</v>
      </c>
      <c r="C139" s="2206">
        <f t="shared" ref="C139:H139" si="8">C138*$K$6/1000000</f>
        <v>9.2063180664000016E-3</v>
      </c>
      <c r="D139" s="2206">
        <f t="shared" si="8"/>
        <v>1.25959510404E-2</v>
      </c>
      <c r="E139" s="2206">
        <f t="shared" si="8"/>
        <v>2.6068337567999996E-3</v>
      </c>
      <c r="F139" s="2206">
        <f t="shared" si="8"/>
        <v>3.2959967039999996E-3</v>
      </c>
      <c r="G139" s="2206">
        <f t="shared" si="8"/>
        <v>2.1547578452399997E-3</v>
      </c>
      <c r="H139" s="2206">
        <f t="shared" si="8"/>
        <v>6.7947256616580007E-3</v>
      </c>
      <c r="I139" s="3"/>
      <c r="J139" s="3"/>
      <c r="K139" s="3"/>
      <c r="L139" s="3"/>
      <c r="M139" s="3"/>
      <c r="N139" s="3"/>
      <c r="O139" s="3"/>
      <c r="P139" s="3"/>
      <c r="Q139" s="3"/>
      <c r="R139" s="3"/>
      <c r="S139" s="3"/>
      <c r="T139" s="3"/>
      <c r="U139" s="3"/>
      <c r="V139" s="3"/>
      <c r="W139" s="3"/>
      <c r="X139" s="3"/>
      <c r="Y139" s="3"/>
      <c r="Z139" s="3"/>
      <c r="AA139" s="3"/>
      <c r="AB139" s="3"/>
      <c r="AC139" s="3"/>
      <c r="AD139" s="3"/>
      <c r="AE139" s="3"/>
      <c r="AF139" s="3"/>
    </row>
    <row r="140" spans="1:32" ht="15" x14ac:dyDescent="0.25">
      <c r="A140" s="3"/>
      <c r="I140" s="3"/>
      <c r="J140" s="3"/>
      <c r="K140" s="3"/>
      <c r="L140" s="3"/>
      <c r="M140" s="3"/>
      <c r="N140" s="3"/>
      <c r="O140" s="3"/>
      <c r="P140" s="3"/>
      <c r="Q140" s="3"/>
      <c r="R140" s="3"/>
      <c r="S140" s="3"/>
      <c r="T140" s="3"/>
      <c r="U140" s="3"/>
      <c r="V140" s="3"/>
      <c r="W140" s="3"/>
      <c r="X140" s="3"/>
      <c r="Y140" s="3"/>
      <c r="Z140" s="3"/>
      <c r="AA140" s="3"/>
      <c r="AB140" s="3"/>
      <c r="AC140" s="3"/>
      <c r="AD140" s="3"/>
      <c r="AE140" s="3"/>
      <c r="AF140" s="3"/>
    </row>
    <row r="141" spans="1:32" ht="15" x14ac:dyDescent="0.25">
      <c r="A141" s="3"/>
      <c r="B141" s="1904" t="s">
        <v>2168</v>
      </c>
      <c r="C141" s="1947"/>
      <c r="D141" s="1947"/>
      <c r="E141" s="1947"/>
      <c r="F141" s="1947"/>
      <c r="G141" s="1947"/>
      <c r="H141" s="2161"/>
      <c r="I141" s="3"/>
      <c r="J141" s="3"/>
      <c r="K141" s="3"/>
      <c r="L141" s="3"/>
      <c r="M141" s="3"/>
      <c r="N141" s="3"/>
      <c r="O141" s="3"/>
      <c r="P141" s="3"/>
      <c r="Q141" s="3"/>
      <c r="R141" s="3"/>
      <c r="S141" s="3"/>
      <c r="T141" s="3"/>
      <c r="U141" s="3"/>
      <c r="V141" s="3"/>
      <c r="W141" s="3"/>
      <c r="X141" s="3"/>
      <c r="Y141" s="3"/>
      <c r="Z141" s="3"/>
      <c r="AA141" s="3"/>
      <c r="AB141" s="3"/>
      <c r="AC141" s="3"/>
      <c r="AD141" s="3"/>
      <c r="AE141" s="3"/>
      <c r="AF141" s="3"/>
    </row>
    <row r="142" spans="1:32" ht="15" x14ac:dyDescent="0.25">
      <c r="A142" s="3"/>
      <c r="B142" s="2161"/>
      <c r="C142" s="2164">
        <v>2006</v>
      </c>
      <c r="D142" s="2164">
        <v>2011</v>
      </c>
      <c r="E142" s="2164">
        <v>2014</v>
      </c>
      <c r="F142" s="2164">
        <v>2017</v>
      </c>
      <c r="G142" s="2164">
        <v>2020</v>
      </c>
      <c r="H142" s="2164">
        <v>2023</v>
      </c>
      <c r="I142" s="3"/>
      <c r="J142" s="3"/>
      <c r="K142" s="3"/>
      <c r="L142" s="3"/>
      <c r="M142" s="3"/>
      <c r="N142" s="3"/>
      <c r="O142" s="3"/>
      <c r="P142" s="3"/>
      <c r="Q142" s="3"/>
      <c r="R142" s="3"/>
      <c r="S142" s="3"/>
      <c r="T142" s="3"/>
      <c r="U142" s="3"/>
      <c r="V142" s="3"/>
      <c r="W142" s="3"/>
      <c r="X142" s="3"/>
      <c r="Y142" s="3"/>
      <c r="Z142" s="3"/>
      <c r="AA142" s="3"/>
      <c r="AB142" s="3"/>
      <c r="AC142" s="3"/>
      <c r="AD142" s="3"/>
      <c r="AE142" s="3"/>
      <c r="AF142" s="3"/>
    </row>
    <row r="143" spans="1:32" ht="15" x14ac:dyDescent="0.25">
      <c r="A143" s="3"/>
      <c r="B143" s="2175" t="s">
        <v>2158</v>
      </c>
      <c r="C143" s="2201"/>
      <c r="D143" s="2201"/>
      <c r="E143" s="2201"/>
      <c r="F143" s="2201"/>
      <c r="G143" s="2201"/>
      <c r="H143" s="2201">
        <v>9188</v>
      </c>
      <c r="I143" s="3"/>
      <c r="J143" s="3"/>
      <c r="K143" s="3"/>
      <c r="L143" s="3"/>
      <c r="M143" s="3"/>
      <c r="N143" s="3"/>
      <c r="O143" s="3"/>
      <c r="P143" s="3"/>
      <c r="Q143" s="3"/>
      <c r="R143" s="3"/>
      <c r="S143" s="3"/>
      <c r="T143" s="3"/>
      <c r="U143" s="3"/>
      <c r="V143" s="3"/>
      <c r="W143" s="3"/>
      <c r="X143" s="3"/>
      <c r="Y143" s="3"/>
      <c r="Z143" s="3"/>
      <c r="AA143" s="3"/>
      <c r="AB143" s="3"/>
      <c r="AC143" s="3"/>
      <c r="AD143" s="3"/>
      <c r="AE143" s="3"/>
      <c r="AF143" s="3"/>
    </row>
    <row r="144" spans="1:32" ht="15" x14ac:dyDescent="0.25">
      <c r="A144" s="3"/>
      <c r="B144" s="2175" t="s">
        <v>2159</v>
      </c>
      <c r="C144" s="2201">
        <v>202.7</v>
      </c>
      <c r="D144" s="2201">
        <v>295.2</v>
      </c>
      <c r="E144" s="2201">
        <v>440.5</v>
      </c>
      <c r="F144" s="2201">
        <v>604.9</v>
      </c>
      <c r="G144" s="2201">
        <v>181.3</v>
      </c>
      <c r="H144" s="2201">
        <f>H143/2.47105</f>
        <v>3718.2574209344207</v>
      </c>
      <c r="I144" s="3"/>
      <c r="J144" s="3"/>
      <c r="K144" s="3"/>
      <c r="L144" s="3"/>
      <c r="M144" s="3"/>
      <c r="N144" s="3"/>
      <c r="O144" s="3"/>
      <c r="P144" s="3"/>
      <c r="Q144" s="3"/>
      <c r="R144" s="3"/>
      <c r="S144" s="3"/>
      <c r="T144" s="3"/>
      <c r="U144" s="3"/>
      <c r="V144" s="3"/>
      <c r="W144" s="3"/>
      <c r="X144" s="3"/>
      <c r="Y144" s="3"/>
      <c r="Z144" s="3"/>
      <c r="AA144" s="3"/>
      <c r="AB144" s="3"/>
      <c r="AC144" s="3"/>
      <c r="AD144" s="3"/>
      <c r="AE144" s="3"/>
      <c r="AF144" s="3"/>
    </row>
    <row r="145" spans="1:32" ht="15" x14ac:dyDescent="0.25">
      <c r="A145" s="3"/>
      <c r="B145" s="2175" t="s">
        <v>2160</v>
      </c>
      <c r="C145" s="2201">
        <v>152440</v>
      </c>
      <c r="D145" s="2201">
        <v>152440</v>
      </c>
      <c r="E145" s="2201">
        <v>152440</v>
      </c>
      <c r="F145" s="2201">
        <v>152440</v>
      </c>
      <c r="G145" s="2201">
        <v>152440</v>
      </c>
      <c r="H145" s="2201">
        <v>152440</v>
      </c>
      <c r="I145" s="3"/>
      <c r="J145" s="3"/>
      <c r="K145" s="3"/>
      <c r="L145" s="3"/>
      <c r="M145" s="3"/>
      <c r="N145" s="3"/>
      <c r="O145" s="3"/>
      <c r="P145" s="3"/>
      <c r="Q145" s="3"/>
      <c r="R145" s="3"/>
      <c r="S145" s="3"/>
      <c r="T145" s="3"/>
      <c r="U145" s="3"/>
      <c r="V145" s="3"/>
      <c r="W145" s="3"/>
      <c r="X145" s="3"/>
      <c r="Y145" s="3"/>
      <c r="Z145" s="3"/>
      <c r="AA145" s="3"/>
      <c r="AB145" s="3"/>
      <c r="AC145" s="3"/>
      <c r="AD145" s="3"/>
      <c r="AE145" s="3"/>
      <c r="AF145" s="3"/>
    </row>
    <row r="146" spans="1:32" ht="15.75" thickBot="1" x14ac:dyDescent="0.3">
      <c r="A146" s="3"/>
      <c r="B146" s="2203" t="s">
        <v>2169</v>
      </c>
      <c r="C146" s="2204">
        <v>0.72</v>
      </c>
      <c r="D146" s="2204">
        <v>0.72</v>
      </c>
      <c r="E146" s="2204">
        <v>0.72</v>
      </c>
      <c r="F146" s="2204">
        <v>0.72</v>
      </c>
      <c r="G146" s="2204">
        <v>0.72</v>
      </c>
      <c r="H146" s="2204">
        <v>0.72</v>
      </c>
      <c r="I146" s="3"/>
      <c r="J146" s="3"/>
      <c r="K146" s="3"/>
      <c r="L146" s="3"/>
      <c r="M146" s="3"/>
      <c r="N146" s="3"/>
      <c r="O146" s="3"/>
      <c r="P146" s="3"/>
      <c r="Q146" s="3"/>
      <c r="R146" s="3"/>
      <c r="S146" s="3"/>
      <c r="T146" s="3"/>
      <c r="U146" s="3"/>
      <c r="V146" s="3"/>
      <c r="W146" s="3"/>
      <c r="X146" s="3"/>
      <c r="Y146" s="3"/>
      <c r="Z146" s="3"/>
      <c r="AA146" s="3"/>
      <c r="AB146" s="3"/>
      <c r="AC146" s="3"/>
      <c r="AD146" s="3"/>
      <c r="AE146" s="3"/>
      <c r="AF146" s="3"/>
    </row>
    <row r="147" spans="1:32" ht="15" x14ac:dyDescent="0.25">
      <c r="A147" s="3"/>
      <c r="B147" s="2175" t="s">
        <v>2162</v>
      </c>
      <c r="C147" s="2205">
        <v>6.8</v>
      </c>
      <c r="D147" s="2205">
        <v>6.8</v>
      </c>
      <c r="E147" s="2205">
        <v>6.8</v>
      </c>
      <c r="F147" s="2205">
        <v>6.8</v>
      </c>
      <c r="G147" s="2205">
        <v>6.8</v>
      </c>
      <c r="H147" s="2205">
        <v>6.8</v>
      </c>
      <c r="I147" s="41"/>
      <c r="J147" s="3"/>
      <c r="K147" s="3"/>
      <c r="L147" s="3"/>
      <c r="M147" s="3"/>
      <c r="N147" s="3"/>
      <c r="O147" s="3"/>
      <c r="P147" s="3"/>
      <c r="Q147" s="3"/>
      <c r="R147" s="3"/>
      <c r="S147" s="3"/>
      <c r="T147" s="3"/>
      <c r="U147" s="3"/>
      <c r="V147" s="3"/>
      <c r="W147" s="3"/>
      <c r="X147" s="3"/>
      <c r="Y147" s="3"/>
      <c r="Z147" s="3"/>
      <c r="AA147" s="3"/>
      <c r="AB147" s="3"/>
      <c r="AC147" s="3"/>
      <c r="AD147" s="3"/>
      <c r="AE147" s="3"/>
      <c r="AF147" s="3"/>
    </row>
    <row r="148" spans="1:32" ht="15" x14ac:dyDescent="0.25">
      <c r="A148" s="3"/>
      <c r="B148" s="2175" t="s">
        <v>2163</v>
      </c>
      <c r="C148" s="2201">
        <f t="shared" ref="C148:H148" si="9">(C144*C145*C146*C147)/1000/1000</f>
        <v>151.28438284799998</v>
      </c>
      <c r="D148" s="2201">
        <f t="shared" si="9"/>
        <v>220.32141004799999</v>
      </c>
      <c r="E148" s="2201">
        <f t="shared" si="9"/>
        <v>328.76551871999999</v>
      </c>
      <c r="F148" s="2201">
        <f t="shared" si="9"/>
        <v>451.46484057599997</v>
      </c>
      <c r="G148" s="2201">
        <f t="shared" si="9"/>
        <v>135.31257331199998</v>
      </c>
      <c r="H148" s="2201">
        <f t="shared" si="9"/>
        <v>2775.1074454665018</v>
      </c>
      <c r="I148" s="3"/>
      <c r="J148" s="3"/>
      <c r="K148" s="3"/>
      <c r="L148" s="3"/>
      <c r="M148" s="3"/>
      <c r="N148" s="3"/>
      <c r="O148" s="3"/>
      <c r="P148" s="3"/>
      <c r="Q148" s="3"/>
      <c r="R148" s="3"/>
      <c r="S148" s="3"/>
      <c r="T148" s="3"/>
      <c r="U148" s="3"/>
      <c r="V148" s="3"/>
      <c r="W148" s="3"/>
      <c r="X148" s="3"/>
      <c r="Y148" s="3"/>
      <c r="Z148" s="3"/>
      <c r="AA148" s="3"/>
      <c r="AB148" s="3"/>
      <c r="AC148" s="3"/>
      <c r="AD148" s="3"/>
      <c r="AE148" s="3"/>
      <c r="AF148" s="3"/>
    </row>
    <row r="149" spans="1:32" ht="15.75" thickBot="1" x14ac:dyDescent="0.3">
      <c r="A149" s="3"/>
      <c r="B149" s="2203" t="s">
        <v>2164</v>
      </c>
      <c r="C149" s="2206">
        <f t="shared" ref="C149:H149" si="10">C148*$K$5/1000000</f>
        <v>4.2208342814591985E-3</v>
      </c>
      <c r="D149" s="2206">
        <f t="shared" si="10"/>
        <v>6.1469673403392001E-3</v>
      </c>
      <c r="E149" s="2206">
        <f t="shared" si="10"/>
        <v>9.1725579722879997E-3</v>
      </c>
      <c r="F149" s="2206">
        <f t="shared" si="10"/>
        <v>1.2595869052070399E-2</v>
      </c>
      <c r="G149" s="2206">
        <f t="shared" si="10"/>
        <v>3.7752207954047995E-3</v>
      </c>
      <c r="H149" s="2206">
        <f t="shared" si="10"/>
        <v>7.7425497728515397E-2</v>
      </c>
      <c r="I149" s="3"/>
      <c r="J149" s="3"/>
      <c r="K149" s="3"/>
      <c r="L149" s="3"/>
      <c r="M149" s="3"/>
      <c r="N149" s="3"/>
      <c r="O149" s="3"/>
      <c r="P149" s="3"/>
      <c r="Q149" s="3"/>
      <c r="R149" s="3"/>
      <c r="S149" s="3"/>
      <c r="T149" s="3"/>
      <c r="U149" s="3"/>
      <c r="V149" s="3"/>
      <c r="W149" s="3"/>
      <c r="X149" s="3"/>
      <c r="Y149" s="3"/>
      <c r="Z149" s="3"/>
      <c r="AA149" s="3"/>
      <c r="AB149" s="3"/>
      <c r="AC149" s="3"/>
      <c r="AD149" s="3"/>
      <c r="AE149" s="3"/>
      <c r="AF149" s="3"/>
    </row>
    <row r="150" spans="1:32" ht="15" x14ac:dyDescent="0.25">
      <c r="A150" s="3"/>
      <c r="B150" s="2184" t="s">
        <v>2165</v>
      </c>
      <c r="C150" s="2205">
        <v>0.2</v>
      </c>
      <c r="D150" s="2205">
        <v>0.2</v>
      </c>
      <c r="E150" s="2205">
        <v>0.2</v>
      </c>
      <c r="F150" s="2205">
        <v>0.2</v>
      </c>
      <c r="G150" s="2205">
        <v>0.2</v>
      </c>
      <c r="H150" s="2205">
        <v>0.2</v>
      </c>
      <c r="I150" s="41"/>
      <c r="J150" s="3"/>
      <c r="K150" s="3"/>
      <c r="L150" s="3"/>
      <c r="M150" s="3"/>
      <c r="N150" s="3"/>
      <c r="O150" s="3"/>
      <c r="P150" s="3"/>
      <c r="Q150" s="3"/>
      <c r="R150" s="3"/>
      <c r="S150" s="3"/>
      <c r="T150" s="3"/>
      <c r="U150" s="3"/>
      <c r="V150" s="3"/>
      <c r="W150" s="3"/>
      <c r="X150" s="3"/>
      <c r="Y150" s="3"/>
      <c r="Z150" s="3"/>
      <c r="AA150" s="3"/>
      <c r="AB150" s="3"/>
      <c r="AC150" s="3"/>
      <c r="AD150" s="3"/>
      <c r="AE150" s="3"/>
      <c r="AF150" s="3"/>
    </row>
    <row r="151" spans="1:32" ht="15" x14ac:dyDescent="0.25">
      <c r="A151" s="3"/>
      <c r="B151" s="2175" t="s">
        <v>2166</v>
      </c>
      <c r="C151" s="2201">
        <f t="shared" ref="C151:H151" si="11">(C144*C145*C146*C150)/1000/1000</f>
        <v>4.4495406720000004</v>
      </c>
      <c r="D151" s="2201">
        <f t="shared" si="11"/>
        <v>6.4800414719999999</v>
      </c>
      <c r="E151" s="2201">
        <f t="shared" si="11"/>
        <v>9.6695740800000003</v>
      </c>
      <c r="F151" s="2201">
        <f t="shared" si="11"/>
        <v>13.278377664000001</v>
      </c>
      <c r="G151" s="2201">
        <f t="shared" si="11"/>
        <v>3.9797815679999999</v>
      </c>
      <c r="H151" s="2201">
        <f t="shared" si="11"/>
        <v>81.620807219602995</v>
      </c>
      <c r="I151" s="3"/>
      <c r="J151" s="3"/>
      <c r="K151" s="3"/>
      <c r="L151" s="3"/>
      <c r="M151" s="3"/>
      <c r="N151" s="3"/>
      <c r="O151" s="3"/>
      <c r="P151" s="3"/>
      <c r="Q151" s="3"/>
      <c r="R151" s="3"/>
      <c r="S151" s="3"/>
      <c r="T151" s="3"/>
      <c r="U151" s="3"/>
      <c r="V151" s="3"/>
      <c r="W151" s="3"/>
      <c r="X151" s="3"/>
      <c r="Y151" s="3"/>
      <c r="Z151" s="3"/>
      <c r="AA151" s="3"/>
      <c r="AB151" s="3"/>
      <c r="AC151" s="3"/>
      <c r="AD151" s="3"/>
      <c r="AE151" s="3"/>
      <c r="AF151" s="3"/>
    </row>
    <row r="152" spans="1:32" ht="15.75" thickBot="1" x14ac:dyDescent="0.3">
      <c r="A152" s="3"/>
      <c r="B152" s="2203" t="s">
        <v>2167</v>
      </c>
      <c r="C152" s="2206">
        <f t="shared" ref="C152:H152" si="12">C151*$K$6/1000000</f>
        <v>1.2147246034560002E-3</v>
      </c>
      <c r="D152" s="2206">
        <f t="shared" si="12"/>
        <v>1.769051321856E-3</v>
      </c>
      <c r="E152" s="2206">
        <f t="shared" si="12"/>
        <v>2.6397937238400002E-3</v>
      </c>
      <c r="F152" s="2206">
        <f t="shared" si="12"/>
        <v>3.6249971022719999E-3</v>
      </c>
      <c r="G152" s="2206">
        <f t="shared" si="12"/>
        <v>1.086480368064E-3</v>
      </c>
      <c r="H152" s="2206">
        <f t="shared" si="12"/>
        <v>2.2282480370951617E-2</v>
      </c>
      <c r="I152" s="3"/>
      <c r="J152" s="3"/>
      <c r="K152" s="3"/>
      <c r="L152" s="3"/>
      <c r="M152" s="3"/>
      <c r="N152" s="3"/>
      <c r="O152" s="3"/>
      <c r="P152" s="3"/>
      <c r="Q152" s="3"/>
      <c r="R152" s="3"/>
      <c r="S152" s="3"/>
      <c r="T152" s="3"/>
      <c r="U152" s="3"/>
      <c r="V152" s="3"/>
      <c r="W152" s="3"/>
      <c r="X152" s="3"/>
      <c r="Y152" s="3"/>
      <c r="Z152" s="3"/>
      <c r="AA152" s="3"/>
      <c r="AB152" s="3"/>
      <c r="AC152" s="3"/>
      <c r="AD152" s="3"/>
      <c r="AE152" s="3"/>
      <c r="AF152" s="3"/>
    </row>
    <row r="153" spans="1:32" ht="15" x14ac:dyDescent="0.25">
      <c r="A153" s="3"/>
      <c r="I153" s="3"/>
      <c r="J153" s="3"/>
      <c r="K153" s="3"/>
      <c r="L153" s="3"/>
      <c r="M153" s="3"/>
      <c r="N153" s="3"/>
      <c r="O153" s="3"/>
      <c r="P153" s="3"/>
      <c r="Q153" s="3"/>
      <c r="R153" s="3"/>
      <c r="S153" s="3"/>
      <c r="T153" s="3"/>
      <c r="U153" s="3"/>
      <c r="V153" s="3"/>
      <c r="W153" s="3"/>
      <c r="X153" s="3"/>
      <c r="Y153" s="3"/>
      <c r="Z153" s="3"/>
      <c r="AA153" s="3"/>
      <c r="AB153" s="3"/>
      <c r="AC153" s="3"/>
      <c r="AD153" s="3"/>
      <c r="AE153" s="3"/>
      <c r="AF153" s="3"/>
    </row>
    <row r="154" spans="1:32" ht="15" x14ac:dyDescent="0.25">
      <c r="A154" s="3"/>
      <c r="B154" s="1904" t="s">
        <v>2170</v>
      </c>
      <c r="I154" s="3"/>
      <c r="J154" s="3"/>
      <c r="K154" s="3"/>
      <c r="L154" s="3"/>
      <c r="M154" s="3"/>
      <c r="N154" s="3"/>
      <c r="O154" s="3"/>
      <c r="P154" s="3"/>
      <c r="Q154" s="3"/>
      <c r="R154" s="3"/>
      <c r="S154" s="3"/>
      <c r="T154" s="3"/>
      <c r="U154" s="3"/>
      <c r="V154" s="3"/>
      <c r="W154" s="3"/>
      <c r="X154" s="3"/>
      <c r="Y154" s="3"/>
      <c r="Z154" s="3"/>
      <c r="AA154" s="3"/>
      <c r="AB154" s="3"/>
      <c r="AC154" s="3"/>
      <c r="AD154" s="3"/>
      <c r="AE154" s="3"/>
      <c r="AF154" s="3"/>
    </row>
    <row r="155" spans="1:32" ht="15" x14ac:dyDescent="0.25">
      <c r="A155" s="3"/>
      <c r="B155" s="2161"/>
      <c r="C155" s="2164">
        <v>2006</v>
      </c>
      <c r="D155" s="2207">
        <v>2011</v>
      </c>
      <c r="E155" s="2207">
        <v>2014</v>
      </c>
      <c r="F155" s="2207">
        <v>2017</v>
      </c>
      <c r="G155" s="2207">
        <v>2020</v>
      </c>
      <c r="H155" s="2164">
        <v>2023</v>
      </c>
      <c r="I155" s="3"/>
      <c r="J155" s="3"/>
      <c r="K155" s="3"/>
      <c r="L155" s="3"/>
      <c r="M155" s="3"/>
      <c r="N155" s="3"/>
      <c r="O155" s="3"/>
      <c r="P155" s="3"/>
      <c r="Q155" s="3"/>
      <c r="R155" s="3"/>
      <c r="S155" s="3"/>
      <c r="T155" s="3"/>
      <c r="U155" s="3"/>
      <c r="V155" s="3"/>
      <c r="W155" s="3"/>
      <c r="X155" s="3"/>
      <c r="Y155" s="3"/>
      <c r="Z155" s="3"/>
      <c r="AA155" s="3"/>
      <c r="AB155" s="3"/>
      <c r="AC155" s="3"/>
      <c r="AD155" s="3"/>
      <c r="AE155" s="3"/>
      <c r="AF155" s="3"/>
    </row>
    <row r="156" spans="1:32" ht="15" x14ac:dyDescent="0.25">
      <c r="A156" s="3"/>
      <c r="B156" s="2175" t="s">
        <v>2164</v>
      </c>
      <c r="C156" s="2208">
        <f t="shared" ref="C156:H156" si="13">C136+C149</f>
        <v>3.6210260353939192E-2</v>
      </c>
      <c r="D156" s="2208">
        <f t="shared" si="13"/>
        <v>4.9914436779619209E-2</v>
      </c>
      <c r="E156" s="2208">
        <f t="shared" si="13"/>
        <v>1.8230589114047999E-2</v>
      </c>
      <c r="F156" s="2208">
        <f t="shared" si="13"/>
        <v>2.4048552104870398E-2</v>
      </c>
      <c r="G156" s="2208">
        <f t="shared" si="13"/>
        <v>1.1262412341172798E-2</v>
      </c>
      <c r="H156" s="2208">
        <f t="shared" si="13"/>
        <v>0.10103530271990287</v>
      </c>
      <c r="I156" s="3"/>
      <c r="J156" s="3"/>
      <c r="K156" s="3"/>
      <c r="L156" s="3"/>
      <c r="M156" s="3"/>
      <c r="N156" s="3"/>
      <c r="O156" s="3"/>
      <c r="P156" s="3"/>
      <c r="Q156" s="3"/>
      <c r="R156" s="3"/>
      <c r="S156" s="3"/>
      <c r="T156" s="3"/>
      <c r="U156" s="3"/>
      <c r="V156" s="3"/>
      <c r="W156" s="3"/>
      <c r="X156" s="3"/>
      <c r="Y156" s="3"/>
      <c r="Z156" s="3"/>
      <c r="AA156" s="3"/>
      <c r="AB156" s="3"/>
      <c r="AC156" s="3"/>
      <c r="AD156" s="3"/>
      <c r="AE156" s="3"/>
      <c r="AF156" s="3"/>
    </row>
    <row r="157" spans="1:32" ht="15" x14ac:dyDescent="0.25">
      <c r="A157" s="3"/>
      <c r="B157" s="2175" t="s">
        <v>2167</v>
      </c>
      <c r="C157" s="2208">
        <f t="shared" ref="C157:H157" si="14">C139+C152</f>
        <v>1.0421042669856002E-2</v>
      </c>
      <c r="D157" s="2208">
        <f t="shared" si="14"/>
        <v>1.4365002362256001E-2</v>
      </c>
      <c r="E157" s="2208">
        <f t="shared" si="14"/>
        <v>5.2466274806400003E-3</v>
      </c>
      <c r="F157" s="2208">
        <f t="shared" si="14"/>
        <v>6.9209938062719991E-3</v>
      </c>
      <c r="G157" s="2208">
        <f t="shared" si="14"/>
        <v>3.2412382133039999E-3</v>
      </c>
      <c r="H157" s="2208">
        <f t="shared" si="14"/>
        <v>2.9077206032609618E-2</v>
      </c>
      <c r="I157" s="3"/>
      <c r="J157" s="3"/>
      <c r="K157" s="3"/>
      <c r="L157" s="3"/>
      <c r="M157" s="3"/>
      <c r="N157" s="3"/>
      <c r="O157" s="3"/>
      <c r="P157" s="3"/>
      <c r="Q157" s="3"/>
      <c r="R157" s="3"/>
      <c r="S157" s="3"/>
      <c r="T157" s="3"/>
      <c r="U157" s="3"/>
      <c r="V157" s="3"/>
      <c r="W157" s="3"/>
      <c r="X157" s="3"/>
      <c r="Y157" s="3"/>
      <c r="Z157" s="3"/>
      <c r="AA157" s="3"/>
      <c r="AB157" s="3"/>
      <c r="AC157" s="3"/>
      <c r="AD157" s="3"/>
      <c r="AE157" s="3"/>
      <c r="AF157" s="3"/>
    </row>
    <row r="158" spans="1:32" ht="15" x14ac:dyDescent="0.25">
      <c r="A158" s="3"/>
      <c r="B158" s="2175" t="s">
        <v>2171</v>
      </c>
      <c r="C158" s="2209">
        <f t="shared" ref="C158:H158" si="15">C156+C157</f>
        <v>4.6631303023795194E-2</v>
      </c>
      <c r="D158" s="2209">
        <f t="shared" si="15"/>
        <v>6.4279439141875214E-2</v>
      </c>
      <c r="E158" s="2209">
        <f t="shared" si="15"/>
        <v>2.3477216594687999E-2</v>
      </c>
      <c r="F158" s="2209">
        <f t="shared" si="15"/>
        <v>3.0969545911142399E-2</v>
      </c>
      <c r="G158" s="2209">
        <f t="shared" si="15"/>
        <v>1.4503650554476798E-2</v>
      </c>
      <c r="H158" s="2209">
        <f t="shared" si="15"/>
        <v>0.13011250875251248</v>
      </c>
      <c r="I158" s="3"/>
      <c r="J158" s="3"/>
      <c r="K158" s="3"/>
      <c r="L158" s="3"/>
      <c r="M158" s="3"/>
      <c r="N158" s="3"/>
      <c r="O158" s="3"/>
      <c r="P158" s="3"/>
      <c r="Q158" s="3"/>
      <c r="R158" s="3"/>
      <c r="S158" s="3"/>
      <c r="T158" s="3"/>
      <c r="U158" s="3"/>
      <c r="V158" s="3"/>
      <c r="W158" s="3"/>
      <c r="X158" s="3"/>
      <c r="Y158" s="3"/>
      <c r="Z158" s="3"/>
      <c r="AA158" s="3"/>
      <c r="AB158" s="3"/>
      <c r="AC158" s="3"/>
      <c r="AD158" s="3"/>
      <c r="AE158" s="3"/>
      <c r="AF158" s="3"/>
    </row>
    <row r="159" spans="1:32" ht="15" x14ac:dyDescent="0.25">
      <c r="A159" s="3"/>
      <c r="B159" s="3"/>
      <c r="C159" s="2210"/>
      <c r="D159" s="2210"/>
      <c r="E159" s="2210"/>
      <c r="F159" s="2210"/>
      <c r="G159" s="2210"/>
      <c r="H159" s="2210"/>
      <c r="I159" s="3"/>
      <c r="J159" s="3"/>
      <c r="K159" s="3"/>
      <c r="L159" s="3"/>
      <c r="M159" s="3"/>
      <c r="N159" s="3"/>
      <c r="O159" s="3"/>
      <c r="P159" s="3"/>
      <c r="Q159" s="3"/>
      <c r="R159" s="3"/>
      <c r="S159" s="3"/>
      <c r="T159" s="3"/>
      <c r="U159" s="3"/>
      <c r="V159" s="3"/>
      <c r="W159" s="3"/>
      <c r="X159" s="3"/>
      <c r="Y159" s="3"/>
      <c r="Z159" s="3"/>
      <c r="AA159" s="3"/>
      <c r="AB159" s="3"/>
      <c r="AC159" s="3"/>
      <c r="AD159" s="3"/>
      <c r="AE159" s="3"/>
      <c r="AF159" s="3"/>
    </row>
    <row r="160" spans="1:32" ht="15" x14ac:dyDescent="0.25">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row>
    <row r="161" spans="1:32" ht="15" x14ac:dyDescent="0.25">
      <c r="A161" s="3"/>
      <c r="B161" s="2147" t="s">
        <v>562</v>
      </c>
      <c r="C161" s="2148"/>
      <c r="D161" s="2148"/>
      <c r="E161" s="2148"/>
      <c r="F161" s="2148"/>
      <c r="G161" s="2148"/>
      <c r="H161" s="2148"/>
      <c r="I161" s="3"/>
      <c r="J161" s="3"/>
      <c r="K161" s="3"/>
      <c r="L161" s="3"/>
      <c r="M161" s="3"/>
      <c r="N161" s="3"/>
      <c r="O161" s="3"/>
      <c r="P161" s="3"/>
      <c r="Q161" s="3"/>
      <c r="R161" s="3"/>
      <c r="S161" s="3"/>
      <c r="T161" s="3"/>
      <c r="U161" s="3"/>
      <c r="V161" s="3"/>
      <c r="W161" s="3"/>
      <c r="X161" s="3"/>
      <c r="Y161" s="3"/>
      <c r="Z161" s="3"/>
      <c r="AA161" s="3"/>
      <c r="AB161" s="3"/>
      <c r="AC161" s="3"/>
      <c r="AD161" s="3"/>
      <c r="AE161" s="3"/>
      <c r="AF161" s="3"/>
    </row>
    <row r="162" spans="1:32" ht="15" x14ac:dyDescent="0.25">
      <c r="A162" s="3"/>
      <c r="B162" s="2161"/>
      <c r="C162" s="2161"/>
      <c r="D162" s="2161"/>
      <c r="E162" s="2161"/>
      <c r="F162" s="2161"/>
      <c r="G162" s="2161"/>
      <c r="H162" s="2161"/>
      <c r="I162" s="3"/>
      <c r="J162" s="3"/>
      <c r="K162" s="3"/>
      <c r="L162" s="3"/>
      <c r="M162" s="3"/>
      <c r="N162" s="3"/>
      <c r="O162" s="3"/>
      <c r="P162" s="3"/>
      <c r="Q162" s="3"/>
      <c r="R162" s="3"/>
      <c r="S162" s="3"/>
      <c r="T162" s="3"/>
      <c r="U162" s="3"/>
      <c r="V162" s="3"/>
      <c r="W162" s="3"/>
      <c r="X162" s="3"/>
      <c r="Y162" s="3"/>
      <c r="Z162" s="3"/>
      <c r="AA162" s="3"/>
      <c r="AB162" s="3"/>
      <c r="AC162" s="3"/>
      <c r="AD162" s="3"/>
      <c r="AE162" s="3"/>
      <c r="AF162" s="3"/>
    </row>
    <row r="163" spans="1:32" ht="15" x14ac:dyDescent="0.25">
      <c r="A163" s="3"/>
      <c r="B163" s="2187"/>
      <c r="C163" s="2187"/>
      <c r="D163" s="2187"/>
      <c r="E163" s="2187"/>
      <c r="F163" s="2188"/>
      <c r="G163" s="2188"/>
      <c r="H163" s="2161"/>
      <c r="I163" s="3"/>
      <c r="J163" s="3"/>
      <c r="K163" s="3"/>
      <c r="L163" s="3"/>
      <c r="M163" s="3"/>
      <c r="N163" s="3"/>
      <c r="O163" s="3"/>
      <c r="P163" s="3"/>
      <c r="Q163" s="3"/>
      <c r="R163" s="3"/>
      <c r="S163" s="3"/>
      <c r="T163" s="3"/>
      <c r="U163" s="3"/>
      <c r="V163" s="3"/>
      <c r="W163" s="3"/>
      <c r="X163" s="3"/>
      <c r="Y163" s="3"/>
      <c r="Z163" s="3"/>
      <c r="AA163" s="3"/>
      <c r="AB163" s="3"/>
      <c r="AC163" s="3"/>
      <c r="AD163" s="3"/>
      <c r="AE163" s="3"/>
      <c r="AF163" s="3"/>
    </row>
    <row r="164" spans="1:32" ht="15" x14ac:dyDescent="0.25">
      <c r="A164" s="3"/>
      <c r="B164" s="2174" t="s">
        <v>1693</v>
      </c>
      <c r="C164" s="2211">
        <v>2006</v>
      </c>
      <c r="D164" s="2211">
        <v>2011</v>
      </c>
      <c r="E164" s="2211">
        <v>2014</v>
      </c>
      <c r="F164" s="2211">
        <v>2017</v>
      </c>
      <c r="G164" s="2164">
        <v>2020</v>
      </c>
      <c r="H164" s="2164">
        <v>2023</v>
      </c>
      <c r="I164" s="3"/>
      <c r="J164" s="3"/>
      <c r="K164" s="3"/>
      <c r="L164" s="3"/>
      <c r="M164" s="3"/>
      <c r="N164" s="3"/>
      <c r="O164" s="3"/>
      <c r="P164" s="3"/>
      <c r="Q164" s="3"/>
      <c r="R164" s="3"/>
      <c r="S164" s="3"/>
      <c r="T164" s="3"/>
      <c r="U164" s="3"/>
      <c r="V164" s="3"/>
      <c r="W164" s="3"/>
      <c r="X164" s="3"/>
      <c r="Y164" s="3"/>
      <c r="Z164" s="3"/>
      <c r="AA164" s="3"/>
      <c r="AB164" s="3"/>
      <c r="AC164" s="3"/>
      <c r="AD164" s="3"/>
      <c r="AE164" s="3"/>
      <c r="AF164" s="3"/>
    </row>
    <row r="165" spans="1:32" ht="15" x14ac:dyDescent="0.25">
      <c r="A165" s="3"/>
      <c r="B165" s="2189" t="s">
        <v>2172</v>
      </c>
      <c r="C165" s="2212">
        <v>-0.41589139400000003</v>
      </c>
      <c r="D165" s="2212">
        <v>-0.58079230100000001</v>
      </c>
      <c r="E165" s="2212">
        <v>-0.50026980099999996</v>
      </c>
      <c r="F165" s="2212">
        <v>-0.60005773100000004</v>
      </c>
      <c r="G165" s="2213">
        <v>-0.69987347499999997</v>
      </c>
      <c r="H165" s="2213">
        <v>-0.936648598</v>
      </c>
      <c r="I165" s="3"/>
      <c r="J165" s="3"/>
      <c r="K165" s="3"/>
      <c r="L165" s="3"/>
      <c r="M165" s="3"/>
      <c r="N165" s="3"/>
      <c r="O165" s="3"/>
      <c r="P165" s="3"/>
      <c r="Q165" s="3"/>
      <c r="R165" s="3"/>
      <c r="S165" s="3"/>
      <c r="T165" s="3"/>
      <c r="U165" s="3"/>
      <c r="V165" s="3"/>
      <c r="W165" s="3"/>
      <c r="X165" s="3"/>
      <c r="Y165" s="3"/>
      <c r="Z165" s="3"/>
      <c r="AA165" s="3"/>
      <c r="AB165" s="3"/>
      <c r="AC165" s="3"/>
      <c r="AD165" s="3"/>
      <c r="AE165" s="3"/>
      <c r="AF165" s="3"/>
    </row>
    <row r="166" spans="1:32" ht="15" x14ac:dyDescent="0.25">
      <c r="A166" s="3"/>
      <c r="B166" s="4" t="s">
        <v>2173</v>
      </c>
      <c r="C166" s="2161"/>
      <c r="D166" s="2161"/>
      <c r="E166" s="2161"/>
      <c r="F166" s="2161"/>
      <c r="G166" s="2161"/>
      <c r="H166" s="2161"/>
      <c r="I166" s="3"/>
      <c r="J166" s="3"/>
      <c r="K166" s="3"/>
      <c r="L166" s="3"/>
      <c r="M166" s="3"/>
      <c r="N166" s="3"/>
      <c r="O166" s="3"/>
      <c r="P166" s="3"/>
      <c r="Q166" s="3"/>
      <c r="R166" s="3"/>
      <c r="S166" s="3"/>
      <c r="T166" s="3"/>
      <c r="U166" s="3"/>
      <c r="V166" s="3"/>
      <c r="W166" s="3"/>
      <c r="X166" s="3"/>
      <c r="Y166" s="3"/>
      <c r="Z166" s="3"/>
      <c r="AA166" s="3"/>
      <c r="AB166" s="3"/>
      <c r="AC166" s="3"/>
      <c r="AD166" s="3"/>
      <c r="AE166" s="3"/>
      <c r="AF166" s="3"/>
    </row>
    <row r="167" spans="1:32" ht="15" x14ac:dyDescent="0.25">
      <c r="A167" s="3"/>
      <c r="B167" s="3"/>
      <c r="C167" s="2161"/>
      <c r="D167" s="2161"/>
      <c r="E167" s="2161"/>
      <c r="F167" s="2161"/>
      <c r="G167" s="2161"/>
      <c r="H167" s="2161"/>
      <c r="I167" s="41"/>
      <c r="J167" s="3"/>
      <c r="K167" s="3"/>
      <c r="L167" s="3"/>
      <c r="M167" s="3"/>
      <c r="N167" s="3"/>
      <c r="O167" s="3"/>
      <c r="P167" s="3"/>
      <c r="Q167" s="3"/>
      <c r="R167" s="3"/>
      <c r="S167" s="3"/>
      <c r="T167" s="3"/>
      <c r="U167" s="3"/>
      <c r="V167" s="3"/>
      <c r="W167" s="3"/>
      <c r="X167" s="3"/>
      <c r="Y167" s="3"/>
      <c r="Z167" s="3"/>
      <c r="AA167" s="3"/>
      <c r="AB167" s="3"/>
      <c r="AC167" s="3"/>
      <c r="AD167" s="3"/>
      <c r="AE167" s="3"/>
      <c r="AF167" s="3"/>
    </row>
    <row r="168" spans="1:32" ht="15" x14ac:dyDescent="0.25">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row>
    <row r="169" spans="1:32" ht="15" x14ac:dyDescent="0.25">
      <c r="A169" s="3"/>
      <c r="B169" s="2147" t="s">
        <v>1719</v>
      </c>
      <c r="C169" s="2148"/>
      <c r="D169" s="2148"/>
      <c r="E169" s="2148"/>
      <c r="F169" s="2148"/>
      <c r="G169" s="2148"/>
      <c r="H169" s="2148"/>
      <c r="I169" s="2148"/>
      <c r="J169" s="2148"/>
      <c r="K169" s="2148"/>
      <c r="L169" s="2148"/>
      <c r="M169" s="2148"/>
      <c r="N169" s="2148"/>
      <c r="O169" s="2148"/>
      <c r="P169" s="2148"/>
      <c r="Q169" s="2148"/>
      <c r="R169" s="2148"/>
      <c r="S169" s="2148"/>
      <c r="T169" s="3"/>
      <c r="U169" s="3"/>
      <c r="V169" s="3"/>
      <c r="W169" s="3"/>
      <c r="X169" s="3"/>
      <c r="Y169" s="3"/>
      <c r="Z169" s="3"/>
      <c r="AA169" s="3"/>
      <c r="AB169" s="3"/>
      <c r="AC169" s="3"/>
      <c r="AD169" s="3"/>
      <c r="AE169" s="3"/>
      <c r="AF169" s="3"/>
    </row>
    <row r="170" spans="1:32" ht="15" x14ac:dyDescent="0.25">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row>
    <row r="171" spans="1:32" ht="15" x14ac:dyDescent="0.25">
      <c r="A171" s="3"/>
      <c r="B171" s="1904" t="s">
        <v>1720</v>
      </c>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row>
    <row r="172" spans="1:32" ht="15" x14ac:dyDescent="0.25">
      <c r="A172" s="3"/>
      <c r="B172" s="2161" t="s">
        <v>2174</v>
      </c>
      <c r="D172" s="1947"/>
      <c r="E172" s="1947"/>
      <c r="F172" s="1947"/>
      <c r="G172" s="1947"/>
      <c r="H172" s="1947"/>
      <c r="I172" s="1947"/>
      <c r="J172" s="1947"/>
      <c r="K172" s="3"/>
      <c r="L172" s="3"/>
      <c r="M172" s="3"/>
      <c r="N172" s="3"/>
      <c r="O172" s="3"/>
      <c r="P172" s="3"/>
      <c r="Q172" s="3"/>
      <c r="R172" s="3"/>
      <c r="S172" s="3"/>
      <c r="T172" s="3"/>
      <c r="U172" s="3"/>
      <c r="V172" s="3"/>
      <c r="W172" s="3"/>
      <c r="X172" s="3"/>
      <c r="Y172" s="3"/>
      <c r="Z172" s="3"/>
      <c r="AA172" s="3"/>
      <c r="AB172" s="3"/>
      <c r="AC172" s="3"/>
      <c r="AD172" s="3"/>
      <c r="AE172" s="3"/>
      <c r="AF172" s="3"/>
    </row>
    <row r="173" spans="1:32" ht="15" x14ac:dyDescent="0.25">
      <c r="A173" s="3"/>
      <c r="B173" s="2161" t="s">
        <v>2175</v>
      </c>
      <c r="D173" s="1947"/>
      <c r="E173" s="1947"/>
      <c r="F173" s="1947"/>
      <c r="G173" s="1947"/>
      <c r="H173" s="1947"/>
      <c r="I173" s="1947"/>
      <c r="J173" s="1947"/>
      <c r="K173" s="3"/>
      <c r="L173" s="3"/>
      <c r="M173" s="3"/>
      <c r="N173" s="3"/>
      <c r="O173" s="3"/>
      <c r="P173" s="3"/>
      <c r="Q173" s="3"/>
      <c r="R173" s="3"/>
      <c r="S173" s="3"/>
      <c r="T173" s="3"/>
      <c r="U173" s="3"/>
      <c r="V173" s="3"/>
      <c r="W173" s="3"/>
      <c r="X173" s="3"/>
      <c r="Y173" s="3"/>
      <c r="Z173" s="3"/>
      <c r="AA173" s="3"/>
      <c r="AB173" s="3"/>
      <c r="AC173" s="3"/>
      <c r="AD173" s="3"/>
      <c r="AE173" s="3"/>
      <c r="AF173" s="3"/>
    </row>
    <row r="174" spans="1:32" ht="15" x14ac:dyDescent="0.25">
      <c r="A174" s="3"/>
      <c r="B174" s="2161"/>
      <c r="D174" s="2214" t="s">
        <v>1721</v>
      </c>
      <c r="E174" s="2215"/>
      <c r="F174" s="2215"/>
      <c r="G174" s="2215"/>
      <c r="H174" s="2215"/>
      <c r="I174" s="2215"/>
      <c r="J174" s="2215"/>
      <c r="K174" s="2215"/>
      <c r="L174" s="2216"/>
      <c r="M174" s="3"/>
      <c r="N174" s="3"/>
      <c r="O174" s="3"/>
      <c r="P174" s="3"/>
      <c r="Q174" s="3"/>
      <c r="R174" s="3"/>
      <c r="S174" s="3"/>
      <c r="T174" s="3"/>
      <c r="U174" s="3"/>
      <c r="V174" s="3"/>
      <c r="W174" s="3"/>
      <c r="X174" s="3"/>
      <c r="Y174" s="3"/>
      <c r="Z174" s="3"/>
      <c r="AA174" s="3"/>
      <c r="AB174" s="3"/>
      <c r="AC174" s="3"/>
      <c r="AD174" s="3"/>
      <c r="AE174" s="3"/>
      <c r="AF174" s="3"/>
    </row>
    <row r="175" spans="1:32" ht="15" x14ac:dyDescent="0.25">
      <c r="A175" s="3"/>
      <c r="B175" s="2217" t="s">
        <v>1722</v>
      </c>
      <c r="C175" s="1497"/>
      <c r="D175" s="2211">
        <v>2006</v>
      </c>
      <c r="E175" s="2211">
        <v>2010</v>
      </c>
      <c r="F175" s="2211">
        <v>2011</v>
      </c>
      <c r="G175" s="2211">
        <v>2014</v>
      </c>
      <c r="H175" s="2211">
        <v>2016</v>
      </c>
      <c r="I175" s="2211">
        <v>2017</v>
      </c>
      <c r="J175" s="2211">
        <v>2020</v>
      </c>
      <c r="K175" s="2164">
        <v>2021</v>
      </c>
      <c r="L175" s="2164">
        <v>2023</v>
      </c>
      <c r="M175" s="41"/>
      <c r="N175" s="41"/>
      <c r="O175" s="41"/>
      <c r="P175" s="41"/>
      <c r="Q175" s="3"/>
      <c r="R175" s="3"/>
      <c r="S175" s="3"/>
      <c r="T175" s="3"/>
      <c r="U175" s="3"/>
      <c r="V175" s="3"/>
      <c r="W175" s="3"/>
      <c r="X175" s="3"/>
      <c r="Y175" s="3"/>
      <c r="Z175" s="3"/>
      <c r="AA175" s="3"/>
      <c r="AB175" s="3"/>
      <c r="AC175" s="3"/>
      <c r="AD175" s="3"/>
      <c r="AE175" s="3"/>
      <c r="AF175" s="3"/>
    </row>
    <row r="176" spans="1:32" ht="15" x14ac:dyDescent="0.25">
      <c r="A176" s="3"/>
      <c r="B176" s="2175" t="s">
        <v>2176</v>
      </c>
      <c r="C176" s="1497"/>
      <c r="D176" s="2218">
        <v>16489</v>
      </c>
      <c r="E176" s="2218">
        <v>16497</v>
      </c>
      <c r="F176" s="2219">
        <f t="shared" ref="F176:G177" si="16">($H176-$E176)/($H$175-$E$175)*(F$175-$E$175)+$E176</f>
        <v>16480.833333333332</v>
      </c>
      <c r="G176" s="2219">
        <f t="shared" si="16"/>
        <v>16432.333333333332</v>
      </c>
      <c r="H176" s="2218">
        <v>16400</v>
      </c>
      <c r="I176" s="2219">
        <f t="shared" ref="I176:J177" si="17">($K176-$H176)/($K$175-$H$175)*(I$175-$H$175)+$H176</f>
        <v>16411.599999999999</v>
      </c>
      <c r="J176" s="2219">
        <f t="shared" si="17"/>
        <v>16446.400000000001</v>
      </c>
      <c r="K176" s="2218">
        <v>16458</v>
      </c>
      <c r="L176" s="2219">
        <f t="shared" ref="L176:L177" si="18">K176</f>
        <v>16458</v>
      </c>
      <c r="M176" s="785"/>
      <c r="N176" s="785"/>
      <c r="O176" s="785"/>
      <c r="P176" s="785"/>
      <c r="Q176" s="3"/>
      <c r="R176" s="3"/>
      <c r="S176" s="3"/>
      <c r="T176" s="3"/>
      <c r="U176" s="3"/>
      <c r="V176" s="3"/>
      <c r="W176" s="3"/>
      <c r="X176" s="3"/>
      <c r="Y176" s="3"/>
      <c r="Z176" s="3"/>
      <c r="AA176" s="3"/>
      <c r="AB176" s="3"/>
      <c r="AC176" s="3"/>
      <c r="AD176" s="3"/>
      <c r="AE176" s="3"/>
      <c r="AF176" s="3"/>
    </row>
    <row r="177" spans="1:32" ht="15.75" thickBot="1" x14ac:dyDescent="0.3">
      <c r="A177" s="3"/>
      <c r="B177" s="2203" t="s">
        <v>1724</v>
      </c>
      <c r="C177" s="2220"/>
      <c r="D177" s="1974">
        <v>158143</v>
      </c>
      <c r="E177" s="1974">
        <v>159387</v>
      </c>
      <c r="F177" s="2221">
        <f t="shared" si="16"/>
        <v>159414</v>
      </c>
      <c r="G177" s="2221">
        <f t="shared" si="16"/>
        <v>159495</v>
      </c>
      <c r="H177" s="1974">
        <v>159549</v>
      </c>
      <c r="I177" s="2221">
        <f t="shared" si="17"/>
        <v>159457.60000000001</v>
      </c>
      <c r="J177" s="2221">
        <f t="shared" si="17"/>
        <v>159183.4</v>
      </c>
      <c r="K177" s="1974">
        <v>159092</v>
      </c>
      <c r="L177" s="2221">
        <f t="shared" si="18"/>
        <v>159092</v>
      </c>
      <c r="M177" s="785"/>
      <c r="N177" s="785"/>
      <c r="O177" s="785"/>
      <c r="P177" s="785"/>
      <c r="Q177" s="41"/>
      <c r="S177" s="3"/>
      <c r="T177" s="3"/>
      <c r="U177" s="3"/>
      <c r="V177" s="3"/>
      <c r="W177" s="3"/>
      <c r="X177" s="3"/>
      <c r="Y177" s="3"/>
      <c r="Z177" s="3"/>
      <c r="AA177" s="3"/>
      <c r="AB177" s="3"/>
      <c r="AC177" s="3"/>
      <c r="AD177" s="3"/>
      <c r="AE177" s="3"/>
      <c r="AF177" s="3"/>
    </row>
    <row r="178" spans="1:32" ht="15" x14ac:dyDescent="0.25">
      <c r="A178" s="3"/>
      <c r="B178" s="2184" t="s">
        <v>2177</v>
      </c>
      <c r="C178" s="2222"/>
      <c r="D178" s="2218">
        <v>13246</v>
      </c>
      <c r="E178" s="2219"/>
      <c r="F178" s="2218">
        <v>11642</v>
      </c>
      <c r="G178" s="2218">
        <v>10060</v>
      </c>
      <c r="H178" s="2219"/>
      <c r="I178" s="2218">
        <v>13115</v>
      </c>
      <c r="J178" s="2218">
        <v>12204</v>
      </c>
      <c r="K178" s="2219"/>
      <c r="L178" s="2218">
        <v>12094</v>
      </c>
      <c r="M178" s="785"/>
      <c r="N178" s="785"/>
      <c r="O178" s="785"/>
      <c r="P178" s="785"/>
      <c r="Q178" s="785"/>
      <c r="S178" s="3"/>
      <c r="T178" s="3"/>
      <c r="U178" s="3"/>
      <c r="V178" s="3"/>
      <c r="W178" s="3"/>
      <c r="X178" s="3"/>
      <c r="Y178" s="3"/>
      <c r="Z178" s="3"/>
      <c r="AA178" s="3"/>
      <c r="AB178" s="3"/>
      <c r="AC178" s="3"/>
      <c r="AD178" s="3"/>
      <c r="AE178" s="3"/>
      <c r="AF178" s="3"/>
    </row>
    <row r="179" spans="1:32" ht="15" x14ac:dyDescent="0.25">
      <c r="A179" s="3"/>
      <c r="B179" s="2175" t="s">
        <v>1726</v>
      </c>
      <c r="C179" s="1497"/>
      <c r="D179" s="2218">
        <v>7240</v>
      </c>
      <c r="E179" s="2219"/>
      <c r="F179" s="2218">
        <v>4372</v>
      </c>
      <c r="G179" s="2218">
        <v>3599</v>
      </c>
      <c r="H179" s="2219"/>
      <c r="I179" s="2218">
        <v>5465</v>
      </c>
      <c r="J179" s="2218">
        <v>5422</v>
      </c>
      <c r="K179" s="2219"/>
      <c r="L179" s="2218">
        <v>1298</v>
      </c>
      <c r="M179" s="785"/>
      <c r="N179" s="785"/>
      <c r="O179" s="785"/>
      <c r="P179" s="785"/>
      <c r="Q179" s="785"/>
      <c r="S179" s="3"/>
      <c r="T179" s="3"/>
      <c r="U179" s="3"/>
      <c r="V179" s="3"/>
      <c r="W179" s="3"/>
      <c r="X179" s="3"/>
      <c r="Y179" s="3"/>
      <c r="Z179" s="3"/>
      <c r="AA179" s="3"/>
      <c r="AB179" s="3"/>
      <c r="AC179" s="3"/>
      <c r="AD179" s="3"/>
      <c r="AE179" s="3"/>
      <c r="AF179" s="3"/>
    </row>
    <row r="180" spans="1:32" ht="15" x14ac:dyDescent="0.25">
      <c r="A180" s="3"/>
      <c r="B180" s="2175" t="s">
        <v>1727</v>
      </c>
      <c r="C180" s="1497"/>
      <c r="D180" s="2218">
        <v>12084</v>
      </c>
      <c r="E180" s="2219"/>
      <c r="F180" s="2218">
        <v>17630</v>
      </c>
      <c r="G180" s="2218">
        <v>25740</v>
      </c>
      <c r="H180" s="2219"/>
      <c r="I180" s="2218">
        <v>43776</v>
      </c>
      <c r="J180" s="2218">
        <v>17639</v>
      </c>
      <c r="K180" s="2219"/>
      <c r="L180" s="2218">
        <v>25007</v>
      </c>
      <c r="M180" s="785"/>
      <c r="N180" s="785"/>
      <c r="O180" s="785"/>
      <c r="P180" s="785"/>
      <c r="Q180" s="785"/>
      <c r="S180" s="3"/>
      <c r="T180" s="3"/>
      <c r="U180" s="3"/>
      <c r="V180" s="3"/>
      <c r="W180" s="3"/>
      <c r="X180" s="3"/>
      <c r="Y180" s="3"/>
      <c r="Z180" s="3"/>
      <c r="AA180" s="3"/>
      <c r="AB180" s="3"/>
      <c r="AC180" s="3"/>
      <c r="AD180" s="3"/>
      <c r="AE180" s="3"/>
      <c r="AF180" s="3"/>
    </row>
    <row r="181" spans="1:32" ht="15.75" thickBot="1" x14ac:dyDescent="0.3">
      <c r="A181" s="3"/>
      <c r="B181" s="2203" t="s">
        <v>2178</v>
      </c>
      <c r="C181" s="2220"/>
      <c r="D181" s="2223">
        <v>7368</v>
      </c>
      <c r="E181" s="2224"/>
      <c r="F181" s="2223">
        <v>5673</v>
      </c>
      <c r="G181" s="2223">
        <v>6492</v>
      </c>
      <c r="H181" s="2224"/>
      <c r="I181" s="2223">
        <v>5642</v>
      </c>
      <c r="J181" s="2223">
        <v>5337</v>
      </c>
      <c r="K181" s="2224"/>
      <c r="L181" s="2223">
        <v>6735</v>
      </c>
      <c r="M181" s="785"/>
      <c r="N181" s="785"/>
      <c r="O181" s="785"/>
      <c r="P181" s="785"/>
      <c r="Q181" s="785"/>
      <c r="S181" s="3"/>
      <c r="T181" s="3"/>
      <c r="U181" s="3"/>
      <c r="V181" s="3"/>
      <c r="W181" s="3"/>
      <c r="X181" s="3"/>
      <c r="Y181" s="3"/>
      <c r="Z181" s="3"/>
      <c r="AA181" s="3"/>
      <c r="AB181" s="3"/>
      <c r="AC181" s="3"/>
      <c r="AD181" s="3"/>
      <c r="AE181" s="3"/>
      <c r="AF181" s="3"/>
    </row>
    <row r="182" spans="1:32" ht="15" x14ac:dyDescent="0.25">
      <c r="A182" s="3"/>
      <c r="B182" s="2184" t="s">
        <v>1729</v>
      </c>
      <c r="C182" s="2222"/>
      <c r="D182" s="2225">
        <f>D176+D177</f>
        <v>174632</v>
      </c>
      <c r="E182" s="2226"/>
      <c r="F182" s="2225">
        <f t="shared" ref="F182:G182" si="19">F176+F177</f>
        <v>175894.83333333334</v>
      </c>
      <c r="G182" s="2225">
        <f t="shared" si="19"/>
        <v>175927.33333333334</v>
      </c>
      <c r="H182" s="2226"/>
      <c r="I182" s="2225">
        <f t="shared" ref="I182:J182" si="20">I176+I177</f>
        <v>175869.2</v>
      </c>
      <c r="J182" s="2225">
        <f t="shared" si="20"/>
        <v>175629.8</v>
      </c>
      <c r="K182" s="2226"/>
      <c r="L182" s="2225">
        <f>L176+L177</f>
        <v>175550</v>
      </c>
      <c r="M182" s="3"/>
      <c r="N182" s="3"/>
      <c r="O182" s="3"/>
      <c r="P182" s="3"/>
      <c r="Q182" s="3"/>
      <c r="R182" s="3"/>
      <c r="S182" s="3"/>
      <c r="T182" s="3"/>
      <c r="U182" s="3"/>
      <c r="V182" s="3"/>
      <c r="W182" s="3"/>
      <c r="X182" s="3"/>
      <c r="Y182" s="3"/>
      <c r="Z182" s="3"/>
      <c r="AA182" s="3"/>
      <c r="AB182" s="3"/>
      <c r="AC182" s="3"/>
      <c r="AD182" s="3"/>
      <c r="AE182" s="3"/>
      <c r="AF182" s="3"/>
    </row>
    <row r="183" spans="1:32" ht="15" x14ac:dyDescent="0.25">
      <c r="A183" s="3"/>
      <c r="B183" s="2175" t="s">
        <v>1730</v>
      </c>
      <c r="C183" s="1497"/>
      <c r="D183" s="2218">
        <f>SUM(D178:D181)</f>
        <v>39938</v>
      </c>
      <c r="E183" s="2219"/>
      <c r="F183" s="2218">
        <f t="shared" ref="F183:G183" si="21">SUM(F178:F181)</f>
        <v>39317</v>
      </c>
      <c r="G183" s="2218">
        <f t="shared" si="21"/>
        <v>45891</v>
      </c>
      <c r="H183" s="2219"/>
      <c r="I183" s="2218">
        <f t="shared" ref="I183:J183" si="22">SUM(I178:I181)</f>
        <v>67998</v>
      </c>
      <c r="J183" s="2218">
        <f t="shared" si="22"/>
        <v>40602</v>
      </c>
      <c r="K183" s="2219"/>
      <c r="L183" s="2218">
        <f>SUM(L178:L181)</f>
        <v>45134</v>
      </c>
      <c r="M183" s="3"/>
      <c r="N183" s="3"/>
      <c r="O183" s="3"/>
      <c r="P183" s="3"/>
      <c r="Q183" s="3"/>
      <c r="R183" s="3"/>
      <c r="S183" s="3"/>
      <c r="T183" s="3"/>
      <c r="U183" s="3"/>
      <c r="V183" s="3"/>
      <c r="W183" s="3"/>
      <c r="X183" s="3"/>
      <c r="Y183" s="3"/>
      <c r="Z183" s="3"/>
      <c r="AA183" s="3"/>
      <c r="AB183" s="3"/>
      <c r="AC183" s="3"/>
      <c r="AD183" s="3"/>
      <c r="AE183" s="3"/>
      <c r="AF183" s="3"/>
    </row>
    <row r="184" spans="1:32" ht="15" x14ac:dyDescent="0.25">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row>
    <row r="185" spans="1:32" ht="15" x14ac:dyDescent="0.25">
      <c r="A185" s="3"/>
      <c r="B185" s="3"/>
      <c r="C185" s="4"/>
      <c r="D185" s="2214" t="s">
        <v>1731</v>
      </c>
      <c r="E185" s="2215"/>
      <c r="F185" s="2215"/>
      <c r="G185" s="2215"/>
      <c r="H185" s="2215"/>
      <c r="I185" s="2215"/>
      <c r="J185" s="2215"/>
      <c r="K185" s="2215"/>
      <c r="L185" s="2216"/>
      <c r="M185" s="3"/>
      <c r="N185" s="3"/>
      <c r="O185" s="3"/>
      <c r="P185" s="3"/>
      <c r="Q185" s="3"/>
      <c r="R185" s="3"/>
      <c r="S185" s="3"/>
      <c r="T185" s="3"/>
      <c r="U185" s="3"/>
      <c r="V185" s="3"/>
      <c r="W185" s="3"/>
      <c r="X185" s="3"/>
      <c r="Y185" s="3"/>
      <c r="Z185" s="3"/>
      <c r="AA185" s="3"/>
      <c r="AB185" s="3"/>
      <c r="AC185" s="3"/>
      <c r="AD185" s="3"/>
      <c r="AE185" s="3"/>
      <c r="AF185" s="3"/>
    </row>
    <row r="186" spans="1:32" ht="15" x14ac:dyDescent="0.25">
      <c r="A186" s="3"/>
      <c r="B186" s="2217" t="s">
        <v>1722</v>
      </c>
      <c r="C186" s="2227" t="s">
        <v>1732</v>
      </c>
      <c r="D186" s="2211">
        <v>2006</v>
      </c>
      <c r="E186" s="2211"/>
      <c r="F186" s="2211">
        <v>2011</v>
      </c>
      <c r="G186" s="2211">
        <v>2014</v>
      </c>
      <c r="H186" s="2211"/>
      <c r="I186" s="2211">
        <v>2017</v>
      </c>
      <c r="J186" s="2211">
        <v>2020</v>
      </c>
      <c r="K186" s="2164"/>
      <c r="L186" s="2164">
        <v>2023</v>
      </c>
      <c r="M186" s="3"/>
      <c r="N186" s="3"/>
      <c r="O186" s="3"/>
      <c r="P186" s="3"/>
      <c r="Q186" s="3"/>
      <c r="R186" s="3"/>
      <c r="S186" s="3"/>
      <c r="T186" s="3"/>
      <c r="U186" s="3"/>
      <c r="V186" s="3"/>
      <c r="W186" s="3"/>
      <c r="X186" s="3"/>
      <c r="Y186" s="3"/>
      <c r="Z186" s="3"/>
      <c r="AA186" s="3"/>
      <c r="AB186" s="3"/>
      <c r="AC186" s="3"/>
      <c r="AD186" s="3"/>
      <c r="AE186" s="3"/>
      <c r="AF186" s="3"/>
    </row>
    <row r="187" spans="1:32" ht="15" x14ac:dyDescent="0.25">
      <c r="A187" s="3"/>
      <c r="B187" s="2175" t="s">
        <v>2176</v>
      </c>
      <c r="C187" s="2228">
        <f t="shared" ref="C187:C188" si="23">-2.067/2.47105*44/12</f>
        <v>-3.0671172173772288</v>
      </c>
      <c r="D187" s="2218">
        <f t="shared" ref="D187:D192" si="24">$C187*D176</f>
        <v>-50573.695797333123</v>
      </c>
      <c r="E187" s="2218"/>
      <c r="F187" s="2218">
        <f t="shared" ref="F187:G192" si="25">$C187*F176</f>
        <v>-50548.647673391206</v>
      </c>
      <c r="G187" s="2218">
        <f t="shared" si="25"/>
        <v>-50399.892488348414</v>
      </c>
      <c r="H187" s="2218"/>
      <c r="I187" s="2218">
        <f t="shared" ref="I187:J192" si="26">$C187*I176</f>
        <v>-50336.300924708121</v>
      </c>
      <c r="J187" s="2218">
        <f t="shared" si="26"/>
        <v>-50443.036603872861</v>
      </c>
      <c r="K187" s="2218"/>
      <c r="L187" s="2218">
        <f t="shared" ref="L187:L192" si="27">$C187*L176</f>
        <v>-50478.615163594433</v>
      </c>
      <c r="M187" s="3"/>
      <c r="N187" s="3"/>
      <c r="O187" s="3"/>
      <c r="P187" s="3"/>
      <c r="Q187" s="3"/>
      <c r="R187" s="3"/>
      <c r="S187" s="3"/>
      <c r="T187" s="3"/>
      <c r="U187" s="3"/>
      <c r="V187" s="3"/>
      <c r="W187" s="3"/>
      <c r="X187" s="3"/>
      <c r="Y187" s="3"/>
      <c r="Z187" s="3"/>
      <c r="AA187" s="3"/>
      <c r="AB187" s="3"/>
      <c r="AC187" s="3"/>
      <c r="AD187" s="3"/>
      <c r="AE187" s="3"/>
      <c r="AF187" s="3"/>
    </row>
    <row r="188" spans="1:32" ht="15.75" thickBot="1" x14ac:dyDescent="0.3">
      <c r="A188" s="3"/>
      <c r="B188" s="2203" t="s">
        <v>1724</v>
      </c>
      <c r="C188" s="1987">
        <f t="shared" si="23"/>
        <v>-3.0671172173772288</v>
      </c>
      <c r="D188" s="1974">
        <f t="shared" si="24"/>
        <v>-485043.1181076871</v>
      </c>
      <c r="E188" s="1974"/>
      <c r="F188" s="1974">
        <f t="shared" si="25"/>
        <v>-488941.42409097357</v>
      </c>
      <c r="G188" s="1974">
        <f t="shared" si="25"/>
        <v>-489189.8605855811</v>
      </c>
      <c r="H188" s="1974"/>
      <c r="I188" s="1974">
        <f t="shared" si="26"/>
        <v>-489075.15040165122</v>
      </c>
      <c r="J188" s="1974">
        <f t="shared" si="26"/>
        <v>-488234.14686064632</v>
      </c>
      <c r="K188" s="1974"/>
      <c r="L188" s="1974">
        <f t="shared" si="27"/>
        <v>-487953.81234697805</v>
      </c>
      <c r="M188" s="3"/>
      <c r="N188" s="3"/>
      <c r="O188" s="3"/>
      <c r="P188" s="3"/>
      <c r="Q188" s="3"/>
      <c r="R188" s="3"/>
      <c r="S188" s="3"/>
      <c r="T188" s="3"/>
      <c r="U188" s="3"/>
      <c r="V188" s="3"/>
      <c r="W188" s="3"/>
      <c r="X188" s="3"/>
      <c r="Y188" s="3"/>
      <c r="Z188" s="3"/>
      <c r="AA188" s="3"/>
      <c r="AB188" s="3"/>
      <c r="AC188" s="3"/>
      <c r="AD188" s="3"/>
      <c r="AE188" s="3"/>
      <c r="AF188" s="3"/>
    </row>
    <row r="189" spans="1:32" ht="15" x14ac:dyDescent="0.25">
      <c r="A189" s="3"/>
      <c r="B189" s="2184" t="s">
        <v>2177</v>
      </c>
      <c r="C189" s="2228">
        <f>-1.111/2.47105</f>
        <v>-0.44960644260537019</v>
      </c>
      <c r="D189" s="2218">
        <f t="shared" si="24"/>
        <v>-5955.4869387507333</v>
      </c>
      <c r="E189" s="2218"/>
      <c r="F189" s="2218">
        <f t="shared" si="25"/>
        <v>-5234.3182048117196</v>
      </c>
      <c r="G189" s="2218">
        <f t="shared" si="25"/>
        <v>-4523.0408126100237</v>
      </c>
      <c r="H189" s="2218"/>
      <c r="I189" s="2218">
        <f t="shared" si="26"/>
        <v>-5896.5884947694303</v>
      </c>
      <c r="J189" s="2218">
        <f t="shared" si="26"/>
        <v>-5486.9970255559374</v>
      </c>
      <c r="K189" s="2218"/>
      <c r="L189" s="2218">
        <f t="shared" si="27"/>
        <v>-5437.5403168693474</v>
      </c>
      <c r="M189" s="3"/>
      <c r="N189" s="3"/>
      <c r="O189" s="3"/>
      <c r="P189" s="3"/>
      <c r="Q189" s="3"/>
      <c r="R189" s="3"/>
      <c r="S189" s="3"/>
      <c r="T189" s="3"/>
      <c r="U189" s="3"/>
      <c r="V189" s="3"/>
      <c r="W189" s="3"/>
      <c r="X189" s="3"/>
      <c r="Y189" s="3"/>
      <c r="Z189" s="3"/>
      <c r="AA189" s="3"/>
      <c r="AB189" s="3"/>
      <c r="AC189" s="3"/>
      <c r="AD189" s="3"/>
      <c r="AE189" s="3"/>
      <c r="AF189" s="3"/>
    </row>
    <row r="190" spans="1:32" ht="15" x14ac:dyDescent="0.25">
      <c r="A190" s="3"/>
      <c r="B190" s="2175" t="s">
        <v>1726</v>
      </c>
      <c r="C190" s="2228">
        <f>-1.1/2.47105</f>
        <v>-0.44515489366868338</v>
      </c>
      <c r="D190" s="2218">
        <f t="shared" si="24"/>
        <v>-3222.9214301612678</v>
      </c>
      <c r="E190" s="2218"/>
      <c r="F190" s="2218">
        <f t="shared" si="25"/>
        <v>-1946.2171951194837</v>
      </c>
      <c r="G190" s="2218">
        <f t="shared" si="25"/>
        <v>-1602.1124623135915</v>
      </c>
      <c r="H190" s="2218"/>
      <c r="I190" s="2218">
        <f t="shared" si="26"/>
        <v>-2432.7714938993545</v>
      </c>
      <c r="J190" s="2218">
        <f t="shared" si="26"/>
        <v>-2413.6298334716012</v>
      </c>
      <c r="K190" s="2218"/>
      <c r="L190" s="2218">
        <f t="shared" si="27"/>
        <v>-577.81105198195098</v>
      </c>
      <c r="M190" s="3"/>
      <c r="N190" s="3"/>
      <c r="O190" s="3"/>
      <c r="P190" s="3"/>
      <c r="Q190" s="3"/>
      <c r="R190" s="3"/>
      <c r="S190" s="3"/>
      <c r="T190" s="3"/>
      <c r="U190" s="3"/>
      <c r="V190" s="3"/>
      <c r="W190" s="3"/>
      <c r="X190" s="3"/>
      <c r="Y190" s="3"/>
      <c r="Z190" s="3"/>
      <c r="AA190" s="3"/>
      <c r="AB190" s="3"/>
      <c r="AC190" s="3"/>
      <c r="AD190" s="3"/>
      <c r="AE190" s="3"/>
      <c r="AF190" s="3"/>
    </row>
    <row r="191" spans="1:32" ht="15" x14ac:dyDescent="0.25">
      <c r="A191" s="3"/>
      <c r="B191" s="2175" t="s">
        <v>1727</v>
      </c>
      <c r="C191" s="2228">
        <f>-0.38/2.47105</f>
        <v>-0.15378078144918153</v>
      </c>
      <c r="D191" s="2218">
        <f t="shared" si="24"/>
        <v>-1858.2869630319096</v>
      </c>
      <c r="E191" s="2218"/>
      <c r="F191" s="2218">
        <f t="shared" si="25"/>
        <v>-2711.1551769490702</v>
      </c>
      <c r="G191" s="2218">
        <f t="shared" si="25"/>
        <v>-3958.3173145019327</v>
      </c>
      <c r="H191" s="2218"/>
      <c r="I191" s="2218">
        <f t="shared" si="26"/>
        <v>-6731.907488719371</v>
      </c>
      <c r="J191" s="2218">
        <f t="shared" si="26"/>
        <v>-2712.5392039821131</v>
      </c>
      <c r="K191" s="2218"/>
      <c r="L191" s="2218">
        <f t="shared" si="27"/>
        <v>-3845.5960016996823</v>
      </c>
      <c r="M191" s="3"/>
      <c r="N191" s="3"/>
      <c r="O191" s="3"/>
      <c r="P191" s="3"/>
      <c r="Q191" s="3"/>
      <c r="R191" s="3"/>
      <c r="S191" s="3"/>
      <c r="T191" s="3"/>
      <c r="U191" s="3"/>
      <c r="V191" s="3"/>
      <c r="W191" s="3"/>
      <c r="X191" s="3"/>
      <c r="Y191" s="3"/>
      <c r="Z191" s="3"/>
      <c r="AA191" s="3"/>
      <c r="AB191" s="3"/>
      <c r="AC191" s="3"/>
      <c r="AD191" s="3"/>
      <c r="AE191" s="3"/>
      <c r="AF191" s="3"/>
    </row>
    <row r="192" spans="1:32" ht="15.75" thickBot="1" x14ac:dyDescent="0.3">
      <c r="A192" s="3"/>
      <c r="B192" s="2203" t="s">
        <v>2178</v>
      </c>
      <c r="C192" s="2229">
        <f>-1.01/2.47105</f>
        <v>-0.40873312964124564</v>
      </c>
      <c r="D192" s="2218">
        <f t="shared" si="24"/>
        <v>-3011.545699196698</v>
      </c>
      <c r="E192" s="2223"/>
      <c r="F192" s="2223">
        <f t="shared" si="25"/>
        <v>-2318.7430444547867</v>
      </c>
      <c r="G192" s="2223">
        <f t="shared" si="25"/>
        <v>-2653.4954776309669</v>
      </c>
      <c r="H192" s="2223"/>
      <c r="I192" s="2223">
        <f t="shared" si="26"/>
        <v>-2306.0723174359077</v>
      </c>
      <c r="J192" s="2223">
        <f t="shared" si="26"/>
        <v>-2181.4087128953279</v>
      </c>
      <c r="K192" s="2223"/>
      <c r="L192" s="2223">
        <f t="shared" si="27"/>
        <v>-2752.8176281337892</v>
      </c>
      <c r="M192" s="3"/>
      <c r="N192" s="3"/>
      <c r="O192" s="3"/>
      <c r="P192" s="3"/>
      <c r="Q192" s="3"/>
      <c r="R192" s="3"/>
      <c r="S192" s="3"/>
      <c r="T192" s="3"/>
      <c r="U192" s="3"/>
      <c r="V192" s="3"/>
      <c r="W192" s="3"/>
      <c r="X192" s="3"/>
      <c r="Y192" s="3"/>
      <c r="Z192" s="3"/>
      <c r="AA192" s="3"/>
      <c r="AB192" s="3"/>
      <c r="AC192" s="3"/>
      <c r="AD192" s="3"/>
      <c r="AE192" s="3"/>
      <c r="AF192" s="3"/>
    </row>
    <row r="193" spans="1:32" ht="15" x14ac:dyDescent="0.25">
      <c r="A193" s="3"/>
      <c r="B193" s="2176" t="s">
        <v>1729</v>
      </c>
      <c r="C193" s="195"/>
      <c r="D193" s="2225">
        <f>SUM(D187:D188)</f>
        <v>-535616.81390502024</v>
      </c>
      <c r="E193" s="2225"/>
      <c r="F193" s="2225">
        <f t="shared" ref="F193:G193" si="28">SUM(F187:F188)</f>
        <v>-539490.07176436472</v>
      </c>
      <c r="G193" s="2225">
        <f t="shared" si="28"/>
        <v>-539589.75307392958</v>
      </c>
      <c r="H193" s="2225"/>
      <c r="I193" s="2225">
        <f t="shared" ref="I193:J193" si="29">SUM(I187:I188)</f>
        <v>-539411.4513263593</v>
      </c>
      <c r="J193" s="2225">
        <f t="shared" si="29"/>
        <v>-538677.18346451921</v>
      </c>
      <c r="K193" s="2225"/>
      <c r="L193" s="2225">
        <f>SUM(L187:L188)</f>
        <v>-538432.42751057248</v>
      </c>
      <c r="M193" s="3"/>
      <c r="N193" s="3"/>
      <c r="O193" s="3"/>
      <c r="P193" s="3"/>
      <c r="Q193" s="3"/>
      <c r="R193" s="3"/>
      <c r="S193" s="3"/>
      <c r="T193" s="3"/>
      <c r="U193" s="3"/>
      <c r="V193" s="3"/>
      <c r="W193" s="3"/>
      <c r="X193" s="3"/>
      <c r="Y193" s="3"/>
      <c r="Z193" s="3"/>
      <c r="AA193" s="3"/>
      <c r="AB193" s="3"/>
      <c r="AC193" s="3"/>
      <c r="AD193" s="3"/>
      <c r="AE193" s="3"/>
      <c r="AF193" s="3"/>
    </row>
    <row r="194" spans="1:32" ht="15" x14ac:dyDescent="0.25">
      <c r="A194" s="3"/>
      <c r="B194" s="2184" t="s">
        <v>1730</v>
      </c>
      <c r="C194" s="81"/>
      <c r="D194" s="2218">
        <f>SUM(D189:D192)</f>
        <v>-14048.241031140609</v>
      </c>
      <c r="E194" s="2218"/>
      <c r="F194" s="2218">
        <f t="shared" ref="F194:G194" si="30">SUM(F189:F192)</f>
        <v>-12210.43362133506</v>
      </c>
      <c r="G194" s="2218">
        <f t="shared" si="30"/>
        <v>-12736.966067056517</v>
      </c>
      <c r="H194" s="2218"/>
      <c r="I194" s="2218">
        <f t="shared" ref="I194:J194" si="31">SUM(I189:I192)</f>
        <v>-17367.339794824064</v>
      </c>
      <c r="J194" s="2218">
        <f t="shared" si="31"/>
        <v>-12794.574775904981</v>
      </c>
      <c r="K194" s="2218"/>
      <c r="L194" s="2218">
        <f>SUM(L189:L192)</f>
        <v>-12613.76499868477</v>
      </c>
      <c r="M194" s="3"/>
      <c r="N194" s="3"/>
      <c r="O194" s="3"/>
      <c r="P194" s="3"/>
      <c r="Q194" s="3"/>
      <c r="R194" s="3"/>
      <c r="S194" s="3"/>
      <c r="T194" s="3"/>
      <c r="U194" s="3"/>
      <c r="V194" s="3"/>
      <c r="W194" s="3"/>
      <c r="X194" s="3"/>
      <c r="Y194" s="3"/>
      <c r="Z194" s="3"/>
      <c r="AA194" s="3"/>
      <c r="AB194" s="3"/>
      <c r="AC194" s="3"/>
      <c r="AD194" s="3"/>
      <c r="AE194" s="3"/>
      <c r="AF194" s="3"/>
    </row>
    <row r="195" spans="1:32" ht="15" x14ac:dyDescent="0.25">
      <c r="A195" s="3"/>
      <c r="B195" s="4"/>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row>
    <row r="196" spans="1:32" ht="15" x14ac:dyDescent="0.25">
      <c r="A196" s="3"/>
      <c r="B196" s="3"/>
      <c r="C196" s="4"/>
      <c r="D196" s="2214" t="s">
        <v>1741</v>
      </c>
      <c r="E196" s="2215"/>
      <c r="F196" s="2215"/>
      <c r="G196" s="2215"/>
      <c r="H196" s="2215"/>
      <c r="I196" s="2215"/>
      <c r="J196" s="2215"/>
      <c r="K196" s="2215"/>
      <c r="L196" s="2216"/>
      <c r="M196" s="3"/>
      <c r="N196" s="3"/>
      <c r="O196" s="3"/>
      <c r="P196" s="3"/>
      <c r="Q196" s="3"/>
      <c r="R196" s="3"/>
      <c r="S196" s="3"/>
      <c r="T196" s="3"/>
      <c r="U196" s="3"/>
      <c r="V196" s="3"/>
      <c r="W196" s="3"/>
      <c r="X196" s="3"/>
      <c r="Y196" s="3"/>
      <c r="Z196" s="3"/>
      <c r="AA196" s="3"/>
      <c r="AB196" s="3"/>
      <c r="AC196" s="3"/>
      <c r="AD196" s="3"/>
      <c r="AE196" s="3"/>
      <c r="AF196" s="3"/>
    </row>
    <row r="197" spans="1:32" ht="15" x14ac:dyDescent="0.25">
      <c r="A197" s="3"/>
      <c r="B197" s="2217" t="s">
        <v>1722</v>
      </c>
      <c r="C197" s="2227" t="s">
        <v>1742</v>
      </c>
      <c r="D197" s="2211">
        <v>2006</v>
      </c>
      <c r="E197" s="2211"/>
      <c r="F197" s="2211">
        <v>2011</v>
      </c>
      <c r="G197" s="2211">
        <v>2014</v>
      </c>
      <c r="H197" s="2211"/>
      <c r="I197" s="2211">
        <v>2017</v>
      </c>
      <c r="J197" s="2211">
        <v>2020</v>
      </c>
      <c r="K197" s="2164"/>
      <c r="L197" s="2164">
        <v>2023</v>
      </c>
      <c r="M197" s="3"/>
      <c r="N197" s="3"/>
      <c r="O197" s="3"/>
      <c r="P197" s="3"/>
      <c r="Q197" s="3"/>
      <c r="R197" s="3"/>
      <c r="S197" s="3"/>
      <c r="T197" s="3"/>
      <c r="U197" s="3"/>
      <c r="V197" s="3"/>
      <c r="W197" s="3"/>
      <c r="X197" s="3"/>
      <c r="Y197" s="3"/>
      <c r="Z197" s="3"/>
      <c r="AA197" s="3"/>
      <c r="AB197" s="3"/>
      <c r="AC197" s="3"/>
      <c r="AD197" s="3"/>
      <c r="AE197" s="3"/>
      <c r="AF197" s="3"/>
    </row>
    <row r="198" spans="1:32" ht="15" x14ac:dyDescent="0.25">
      <c r="A198" s="3"/>
      <c r="B198" s="2184" t="s">
        <v>1723</v>
      </c>
      <c r="C198" s="2230">
        <f>0.00747375141244849/2.47105</f>
        <v>3.0245245593769816E-3</v>
      </c>
      <c r="D198" s="2218">
        <f t="shared" ref="D198:D203" si="32">$C198*D176</f>
        <v>49.871385459567051</v>
      </c>
      <c r="E198" s="2218"/>
      <c r="F198" s="2218">
        <f t="shared" ref="F198:G203" si="33">$C198*F176</f>
        <v>49.846685175665471</v>
      </c>
      <c r="G198" s="2218">
        <f t="shared" si="33"/>
        <v>49.699995734535683</v>
      </c>
      <c r="H198" s="2218"/>
      <c r="I198" s="2218">
        <f t="shared" ref="I198:J203" si="34">$C198*I176</f>
        <v>49.637287258671265</v>
      </c>
      <c r="J198" s="2218">
        <f t="shared" si="34"/>
        <v>49.742540713337597</v>
      </c>
      <c r="K198" s="2218"/>
      <c r="L198" s="2218">
        <f t="shared" ref="L198:L203" si="35">$C198*L176</f>
        <v>49.77762519822636</v>
      </c>
      <c r="M198" s="3"/>
      <c r="N198" s="3"/>
      <c r="O198" s="3"/>
      <c r="P198" s="3"/>
      <c r="Q198" s="3"/>
      <c r="R198" s="3"/>
      <c r="S198" s="3"/>
      <c r="T198" s="3"/>
      <c r="U198" s="3"/>
      <c r="V198" s="3"/>
      <c r="W198" s="3"/>
      <c r="X198" s="3"/>
      <c r="Y198" s="3"/>
      <c r="Z198" s="3"/>
      <c r="AA198" s="3"/>
      <c r="AB198" s="3"/>
      <c r="AC198" s="3"/>
      <c r="AD198" s="3"/>
      <c r="AE198" s="3"/>
      <c r="AF198" s="3"/>
    </row>
    <row r="199" spans="1:32" ht="15" x14ac:dyDescent="0.25">
      <c r="A199" s="3"/>
      <c r="B199" s="2184" t="s">
        <v>1724</v>
      </c>
      <c r="C199" s="2230">
        <f>0.147994684096754/2.47105</f>
        <v>5.989141623874629E-2</v>
      </c>
      <c r="D199" s="2218">
        <f t="shared" si="32"/>
        <v>9471.4082382440538</v>
      </c>
      <c r="E199" s="2218"/>
      <c r="F199" s="2218">
        <f t="shared" si="33"/>
        <v>9547.5302282835019</v>
      </c>
      <c r="G199" s="2218">
        <f t="shared" si="33"/>
        <v>9552.38143299884</v>
      </c>
      <c r="H199" s="2218"/>
      <c r="I199" s="2218">
        <f t="shared" si="34"/>
        <v>9550.1414940315099</v>
      </c>
      <c r="J199" s="2218">
        <f t="shared" si="34"/>
        <v>9533.7192676988452</v>
      </c>
      <c r="K199" s="2218"/>
      <c r="L199" s="2218">
        <f t="shared" si="35"/>
        <v>9528.2451922546243</v>
      </c>
      <c r="M199" s="3"/>
      <c r="N199" s="3"/>
      <c r="O199" s="3"/>
      <c r="P199" s="3"/>
      <c r="Q199" s="3"/>
      <c r="R199" s="3"/>
      <c r="S199" s="3"/>
      <c r="T199" s="3"/>
      <c r="U199" s="3"/>
      <c r="V199" s="3"/>
      <c r="W199" s="3"/>
      <c r="X199" s="3"/>
      <c r="Y199" s="3"/>
      <c r="Z199" s="3"/>
      <c r="AA199" s="3"/>
      <c r="AB199" s="3"/>
      <c r="AC199" s="3"/>
      <c r="AD199" s="3"/>
      <c r="AE199" s="3"/>
      <c r="AF199" s="3"/>
    </row>
    <row r="200" spans="1:32" ht="15" x14ac:dyDescent="0.25">
      <c r="A200" s="3"/>
      <c r="B200" s="2184" t="s">
        <v>1725</v>
      </c>
      <c r="C200" s="2230">
        <f t="shared" ref="C200:C203" si="36">0.008/2.47105</f>
        <v>3.2374901357722428E-3</v>
      </c>
      <c r="D200" s="2218">
        <f t="shared" si="32"/>
        <v>42.883794338439131</v>
      </c>
      <c r="E200" s="2218"/>
      <c r="F200" s="2218">
        <f t="shared" si="33"/>
        <v>37.690860160660449</v>
      </c>
      <c r="G200" s="2218">
        <f t="shared" si="33"/>
        <v>32.569150765868763</v>
      </c>
      <c r="H200" s="2218"/>
      <c r="I200" s="2218">
        <f t="shared" si="34"/>
        <v>42.459683130652962</v>
      </c>
      <c r="J200" s="2218">
        <f t="shared" si="34"/>
        <v>39.510329616964448</v>
      </c>
      <c r="K200" s="2218"/>
      <c r="L200" s="2218">
        <f t="shared" si="35"/>
        <v>39.154205702029508</v>
      </c>
      <c r="M200" s="3"/>
      <c r="N200" s="3"/>
      <c r="O200" s="3"/>
      <c r="P200" s="3"/>
      <c r="Q200" s="3"/>
      <c r="R200" s="3"/>
      <c r="S200" s="3"/>
      <c r="T200" s="3"/>
      <c r="U200" s="3"/>
      <c r="V200" s="3"/>
      <c r="W200" s="3"/>
      <c r="X200" s="3"/>
      <c r="Y200" s="3"/>
      <c r="Z200" s="3"/>
      <c r="AA200" s="3"/>
      <c r="AB200" s="3"/>
      <c r="AC200" s="3"/>
      <c r="AD200" s="3"/>
      <c r="AE200" s="3"/>
      <c r="AF200" s="3"/>
    </row>
    <row r="201" spans="1:32" ht="15" x14ac:dyDescent="0.25">
      <c r="A201" s="3"/>
      <c r="B201" s="2184" t="s">
        <v>1726</v>
      </c>
      <c r="C201" s="2230">
        <f t="shared" si="36"/>
        <v>3.2374901357722428E-3</v>
      </c>
      <c r="D201" s="2218">
        <f t="shared" si="32"/>
        <v>23.439428582991038</v>
      </c>
      <c r="E201" s="2218"/>
      <c r="F201" s="2218">
        <f t="shared" si="33"/>
        <v>14.154306873596246</v>
      </c>
      <c r="G201" s="2218">
        <f t="shared" si="33"/>
        <v>11.651726998644302</v>
      </c>
      <c r="H201" s="2218"/>
      <c r="I201" s="2218">
        <f t="shared" si="34"/>
        <v>17.692883591995308</v>
      </c>
      <c r="J201" s="2218">
        <f t="shared" si="34"/>
        <v>17.553671516157099</v>
      </c>
      <c r="K201" s="2218"/>
      <c r="L201" s="2218">
        <f t="shared" si="35"/>
        <v>4.202262196232371</v>
      </c>
      <c r="M201" s="3"/>
      <c r="N201" s="3"/>
      <c r="O201" s="3"/>
      <c r="P201" s="3"/>
      <c r="Q201" s="3"/>
      <c r="R201" s="3"/>
      <c r="S201" s="3"/>
      <c r="T201" s="3"/>
      <c r="U201" s="3"/>
      <c r="V201" s="3"/>
      <c r="W201" s="3"/>
      <c r="X201" s="3"/>
      <c r="Y201" s="3"/>
      <c r="Z201" s="3"/>
      <c r="AA201" s="3"/>
      <c r="AB201" s="3"/>
      <c r="AC201" s="3"/>
      <c r="AD201" s="3"/>
      <c r="AE201" s="3"/>
      <c r="AF201" s="3"/>
    </row>
    <row r="202" spans="1:32" ht="15" x14ac:dyDescent="0.25">
      <c r="A202" s="3"/>
      <c r="B202" s="2184" t="s">
        <v>1727</v>
      </c>
      <c r="C202" s="2230">
        <f t="shared" si="36"/>
        <v>3.2374901357722428E-3</v>
      </c>
      <c r="D202" s="2218">
        <f t="shared" si="32"/>
        <v>39.121830800671781</v>
      </c>
      <c r="E202" s="2218"/>
      <c r="F202" s="2218">
        <f t="shared" si="33"/>
        <v>57.07695109366464</v>
      </c>
      <c r="G202" s="2218">
        <f t="shared" si="33"/>
        <v>83.332996094777528</v>
      </c>
      <c r="H202" s="2218"/>
      <c r="I202" s="2218">
        <f t="shared" si="34"/>
        <v>141.7243681835657</v>
      </c>
      <c r="J202" s="2218">
        <f t="shared" si="34"/>
        <v>57.106088504886593</v>
      </c>
      <c r="K202" s="2218"/>
      <c r="L202" s="2218">
        <f t="shared" si="35"/>
        <v>80.959915825256473</v>
      </c>
      <c r="M202" s="3"/>
      <c r="N202" s="3"/>
      <c r="O202" s="3"/>
      <c r="P202" s="3"/>
      <c r="Q202" s="3"/>
      <c r="R202" s="3"/>
      <c r="S202" s="3"/>
      <c r="T202" s="3"/>
      <c r="U202" s="3"/>
      <c r="V202" s="3"/>
      <c r="W202" s="3"/>
      <c r="X202" s="3"/>
      <c r="Y202" s="3"/>
      <c r="Z202" s="3"/>
      <c r="AA202" s="3"/>
      <c r="AB202" s="3"/>
      <c r="AC202" s="3"/>
      <c r="AD202" s="3"/>
      <c r="AE202" s="3"/>
      <c r="AF202" s="3"/>
    </row>
    <row r="203" spans="1:32" ht="15.75" thickBot="1" x14ac:dyDescent="0.3">
      <c r="A203" s="3"/>
      <c r="B203" s="2231" t="s">
        <v>1728</v>
      </c>
      <c r="C203" s="2230">
        <f t="shared" si="36"/>
        <v>3.2374901357722428E-3</v>
      </c>
      <c r="D203" s="2218">
        <f t="shared" si="32"/>
        <v>23.853827320369884</v>
      </c>
      <c r="E203" s="2218"/>
      <c r="F203" s="2218">
        <f t="shared" si="33"/>
        <v>18.366281540235935</v>
      </c>
      <c r="G203" s="2218">
        <f t="shared" si="33"/>
        <v>21.0177859614334</v>
      </c>
      <c r="H203" s="2218"/>
      <c r="I203" s="2218">
        <f t="shared" si="34"/>
        <v>18.265919346026994</v>
      </c>
      <c r="J203" s="2218">
        <f t="shared" si="34"/>
        <v>17.278484854616458</v>
      </c>
      <c r="K203" s="2218"/>
      <c r="L203" s="2218">
        <f t="shared" si="35"/>
        <v>21.804496064426054</v>
      </c>
      <c r="M203" s="3"/>
      <c r="N203" s="3"/>
      <c r="O203" s="3"/>
      <c r="P203" s="3"/>
      <c r="Q203" s="3"/>
      <c r="R203" s="3"/>
      <c r="S203" s="3"/>
      <c r="T203" s="3"/>
      <c r="U203" s="3"/>
      <c r="V203" s="3"/>
      <c r="W203" s="3"/>
      <c r="X203" s="3"/>
      <c r="Y203" s="3"/>
      <c r="Z203" s="3"/>
      <c r="AA203" s="3"/>
      <c r="AB203" s="3"/>
      <c r="AC203" s="3"/>
      <c r="AD203" s="3"/>
      <c r="AE203" s="3"/>
      <c r="AF203" s="3"/>
    </row>
    <row r="204" spans="1:32" ht="15" x14ac:dyDescent="0.25">
      <c r="A204" s="3"/>
      <c r="B204" s="2176" t="s">
        <v>1729</v>
      </c>
      <c r="C204" s="195"/>
      <c r="D204" s="2225">
        <f>SUM(D198:D199)</f>
        <v>9521.27962370362</v>
      </c>
      <c r="E204" s="2225"/>
      <c r="F204" s="2225">
        <f t="shared" ref="F204:G204" si="37">SUM(F198:F199)</f>
        <v>9597.3769134591676</v>
      </c>
      <c r="G204" s="2225">
        <f t="shared" si="37"/>
        <v>9602.081428733376</v>
      </c>
      <c r="H204" s="2225"/>
      <c r="I204" s="2225">
        <f t="shared" ref="I204:J204" si="38">SUM(I198:I199)</f>
        <v>9599.7787812901806</v>
      </c>
      <c r="J204" s="2225">
        <f t="shared" si="38"/>
        <v>9583.461808412183</v>
      </c>
      <c r="K204" s="2225"/>
      <c r="L204" s="2225">
        <f>SUM(L198:L199)</f>
        <v>9578.0228174528511</v>
      </c>
      <c r="M204" s="3"/>
      <c r="N204" s="3"/>
      <c r="O204" s="3"/>
      <c r="P204" s="3"/>
      <c r="Q204" s="3"/>
      <c r="R204" s="3"/>
      <c r="S204" s="3"/>
      <c r="T204" s="3"/>
      <c r="U204" s="3"/>
      <c r="V204" s="3"/>
      <c r="W204" s="3"/>
      <c r="X204" s="3"/>
      <c r="Y204" s="3"/>
      <c r="Z204" s="3"/>
      <c r="AA204" s="3"/>
      <c r="AB204" s="3"/>
      <c r="AC204" s="3"/>
      <c r="AD204" s="3"/>
      <c r="AE204" s="3"/>
      <c r="AF204" s="3"/>
    </row>
    <row r="205" spans="1:32" ht="15" x14ac:dyDescent="0.25">
      <c r="A205" s="3"/>
      <c r="B205" s="2184" t="s">
        <v>1730</v>
      </c>
      <c r="C205" s="81"/>
      <c r="D205" s="2218">
        <f>SUM(D200:D203)</f>
        <v>129.29888104247183</v>
      </c>
      <c r="E205" s="2218"/>
      <c r="F205" s="2218">
        <f t="shared" ref="F205:G205" si="39">SUM(F200:F203)</f>
        <v>127.28839966815727</v>
      </c>
      <c r="G205" s="2218">
        <f t="shared" si="39"/>
        <v>148.57165982072399</v>
      </c>
      <c r="H205" s="2218"/>
      <c r="I205" s="2218">
        <f t="shared" ref="I205:J205" si="40">SUM(I200:I203)</f>
        <v>220.14285425224099</v>
      </c>
      <c r="J205" s="2218">
        <f t="shared" si="40"/>
        <v>131.4485744926246</v>
      </c>
      <c r="K205" s="2218"/>
      <c r="L205" s="2218">
        <f>SUM(L200:L203)</f>
        <v>146.1208797879444</v>
      </c>
      <c r="M205" s="3"/>
      <c r="N205" s="3"/>
      <c r="O205" s="3"/>
      <c r="P205" s="3"/>
      <c r="Q205" s="3"/>
      <c r="R205" s="3"/>
      <c r="S205" s="3"/>
      <c r="T205" s="3"/>
      <c r="U205" s="3"/>
      <c r="V205" s="3"/>
      <c r="W205" s="3"/>
      <c r="X205" s="3"/>
      <c r="Y205" s="3"/>
      <c r="Z205" s="3"/>
      <c r="AA205" s="3"/>
      <c r="AB205" s="3"/>
      <c r="AC205" s="3"/>
      <c r="AD205" s="3"/>
      <c r="AE205" s="3"/>
      <c r="AF205" s="3"/>
    </row>
    <row r="206" spans="1:32" ht="15" x14ac:dyDescent="0.25">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row>
    <row r="207" spans="1:32" ht="15" x14ac:dyDescent="0.25">
      <c r="A207" s="3"/>
      <c r="B207" s="3"/>
      <c r="D207" s="2214" t="s">
        <v>1748</v>
      </c>
      <c r="E207" s="2232"/>
      <c r="F207" s="2232"/>
      <c r="G207" s="2232"/>
      <c r="H207" s="2232"/>
      <c r="I207" s="2232"/>
      <c r="J207" s="2233"/>
      <c r="K207" s="2233"/>
      <c r="L207" s="2233"/>
      <c r="M207" s="3"/>
      <c r="N207" s="3"/>
      <c r="O207" s="3"/>
      <c r="P207" s="3"/>
      <c r="Q207" s="3"/>
      <c r="R207" s="3"/>
      <c r="S207" s="3"/>
      <c r="T207" s="3"/>
      <c r="U207" s="3"/>
      <c r="V207" s="3"/>
      <c r="W207" s="3"/>
      <c r="X207" s="3"/>
      <c r="Y207" s="3"/>
      <c r="Z207" s="3"/>
      <c r="AA207" s="3"/>
      <c r="AB207" s="3"/>
      <c r="AC207" s="3"/>
      <c r="AD207" s="3"/>
      <c r="AE207" s="3"/>
      <c r="AF207" s="3"/>
    </row>
    <row r="208" spans="1:32" ht="15" x14ac:dyDescent="0.25">
      <c r="A208" s="3"/>
      <c r="B208" s="2234" t="s">
        <v>2179</v>
      </c>
      <c r="C208" s="1497"/>
      <c r="D208" s="2211">
        <v>2006</v>
      </c>
      <c r="E208" s="2211"/>
      <c r="F208" s="2211">
        <v>2011</v>
      </c>
      <c r="G208" s="2211">
        <v>2014</v>
      </c>
      <c r="H208" s="2211"/>
      <c r="I208" s="2211">
        <v>2017</v>
      </c>
      <c r="J208" s="2211">
        <v>2020</v>
      </c>
      <c r="K208" s="2164"/>
      <c r="L208" s="2164" t="s">
        <v>2180</v>
      </c>
      <c r="M208" s="3"/>
      <c r="N208" s="3"/>
      <c r="O208" s="3"/>
      <c r="P208" s="3"/>
      <c r="Q208" s="3"/>
      <c r="R208" s="3"/>
      <c r="S208" s="3"/>
      <c r="T208" s="3"/>
      <c r="U208" s="3"/>
      <c r="V208" s="3"/>
      <c r="W208" s="3"/>
      <c r="X208" s="3"/>
      <c r="Y208" s="3"/>
      <c r="Z208" s="3"/>
      <c r="AA208" s="3"/>
      <c r="AB208" s="3"/>
      <c r="AC208" s="3"/>
      <c r="AD208" s="3"/>
      <c r="AE208" s="3"/>
      <c r="AF208" s="3"/>
    </row>
    <row r="209" spans="1:32" ht="24.75" x14ac:dyDescent="0.25">
      <c r="A209" s="3"/>
      <c r="B209" s="2235" t="s">
        <v>1749</v>
      </c>
      <c r="C209" s="1497"/>
      <c r="D209" s="2236">
        <f>SUM(D210:D212)</f>
        <v>17961.122569790994</v>
      </c>
      <c r="E209" s="2236"/>
      <c r="F209" s="2236">
        <f t="shared" ref="F209:G209" si="41">SUM(F210:F212)</f>
        <v>12399.174933644143</v>
      </c>
      <c r="G209" s="2236">
        <f t="shared" si="41"/>
        <v>12399.174933644143</v>
      </c>
      <c r="H209" s="2236"/>
      <c r="I209" s="2236">
        <f t="shared" ref="I209:J209" si="42">SUM(I210:I212)</f>
        <v>12399.174933644143</v>
      </c>
      <c r="J209" s="2236">
        <f t="shared" si="42"/>
        <v>12399.174933644143</v>
      </c>
      <c r="K209" s="2236"/>
      <c r="L209" s="2236">
        <f>SUM(L210:L212)</f>
        <v>12399.090501288736</v>
      </c>
      <c r="M209" s="3"/>
      <c r="N209" s="3"/>
      <c r="O209" s="3"/>
      <c r="P209" s="3"/>
      <c r="Q209" s="3"/>
      <c r="R209" s="3"/>
      <c r="S209" s="3"/>
      <c r="T209" s="3"/>
      <c r="U209" s="3"/>
      <c r="V209" s="3"/>
      <c r="W209" s="3"/>
      <c r="X209" s="3"/>
      <c r="Y209" s="3"/>
      <c r="Z209" s="3"/>
      <c r="AA209" s="3"/>
      <c r="AB209" s="3"/>
      <c r="AC209" s="3"/>
      <c r="AD209" s="3"/>
      <c r="AE209" s="3"/>
      <c r="AF209" s="3"/>
    </row>
    <row r="210" spans="1:32" ht="15" x14ac:dyDescent="0.25">
      <c r="A210" s="3"/>
      <c r="B210" s="2175" t="s">
        <v>1751</v>
      </c>
      <c r="C210" s="1497"/>
      <c r="D210" s="2237">
        <f>0.000443677622843492*1000000</f>
        <v>443.67762284349203</v>
      </c>
      <c r="E210" s="2237"/>
      <c r="F210" s="2237">
        <f t="shared" ref="F210:G210" si="43">0.000406051384004542*1000000</f>
        <v>406.051384004542</v>
      </c>
      <c r="G210" s="2237">
        <f t="shared" si="43"/>
        <v>406.051384004542</v>
      </c>
      <c r="H210" s="2237"/>
      <c r="I210" s="2237">
        <f t="shared" ref="I210:J210" si="44">0.000406051384004542*1000000</f>
        <v>406.051384004542</v>
      </c>
      <c r="J210" s="2237">
        <f t="shared" si="44"/>
        <v>406.051384004542</v>
      </c>
      <c r="K210" s="2237"/>
      <c r="L210" s="2237">
        <f>0.000405966951649135*1000000</f>
        <v>405.96695164913501</v>
      </c>
      <c r="M210" s="3"/>
      <c r="N210" s="3"/>
      <c r="O210" s="3"/>
      <c r="P210" s="3"/>
      <c r="Q210" s="3"/>
      <c r="R210" s="3"/>
      <c r="S210" s="3"/>
      <c r="T210" s="3"/>
      <c r="U210" s="3"/>
      <c r="V210" s="3"/>
      <c r="W210" s="3"/>
      <c r="X210" s="3"/>
      <c r="Y210" s="3"/>
      <c r="Z210" s="3"/>
      <c r="AA210" s="3"/>
      <c r="AB210" s="3"/>
      <c r="AC210" s="3"/>
      <c r="AD210" s="3"/>
      <c r="AE210" s="3"/>
      <c r="AF210" s="3"/>
    </row>
    <row r="211" spans="1:32" ht="15" x14ac:dyDescent="0.25">
      <c r="A211" s="3"/>
      <c r="B211" s="2175" t="s">
        <v>1752</v>
      </c>
      <c r="C211" s="1497"/>
      <c r="D211" s="2237">
        <v>0</v>
      </c>
      <c r="E211" s="2237"/>
      <c r="F211" s="2237">
        <v>0</v>
      </c>
      <c r="G211" s="2237">
        <v>0</v>
      </c>
      <c r="H211" s="2237"/>
      <c r="I211" s="2237">
        <v>0</v>
      </c>
      <c r="J211" s="2237">
        <v>0</v>
      </c>
      <c r="K211" s="2237"/>
      <c r="L211" s="2237">
        <v>0</v>
      </c>
      <c r="M211" s="3"/>
      <c r="N211" s="3"/>
      <c r="O211" s="3"/>
      <c r="P211" s="3"/>
      <c r="Q211" s="3"/>
      <c r="R211" s="3"/>
      <c r="S211" s="3"/>
      <c r="T211" s="3"/>
      <c r="U211" s="3"/>
      <c r="V211" s="3"/>
      <c r="W211" s="3"/>
      <c r="X211" s="3"/>
      <c r="Y211" s="3"/>
      <c r="Z211" s="3"/>
      <c r="AA211" s="3"/>
      <c r="AB211" s="3"/>
      <c r="AC211" s="3"/>
      <c r="AD211" s="3"/>
      <c r="AE211" s="3"/>
      <c r="AF211" s="3"/>
    </row>
    <row r="212" spans="1:32" ht="15" x14ac:dyDescent="0.25">
      <c r="A212" s="3"/>
      <c r="B212" s="2175" t="s">
        <v>1753</v>
      </c>
      <c r="C212" s="1497"/>
      <c r="D212" s="2237">
        <f>0.0175174449469475*1000000</f>
        <v>17517.4449469475</v>
      </c>
      <c r="E212" s="2237"/>
      <c r="F212" s="2237">
        <f t="shared" ref="F212:G212" si="45">0.0119931235496396*1000000</f>
        <v>11993.1235496396</v>
      </c>
      <c r="G212" s="2237">
        <f t="shared" si="45"/>
        <v>11993.1235496396</v>
      </c>
      <c r="H212" s="2237"/>
      <c r="I212" s="2237">
        <f t="shared" ref="I212:J212" si="46">0.0119931235496396*1000000</f>
        <v>11993.1235496396</v>
      </c>
      <c r="J212" s="2237">
        <f t="shared" si="46"/>
        <v>11993.1235496396</v>
      </c>
      <c r="K212" s="2237"/>
      <c r="L212" s="2237">
        <f>0.0119931235496396*1000000</f>
        <v>11993.1235496396</v>
      </c>
      <c r="M212" s="3"/>
      <c r="N212" s="3"/>
      <c r="O212" s="3"/>
      <c r="P212" s="3"/>
      <c r="Q212" s="3"/>
      <c r="R212" s="3"/>
      <c r="S212" s="3"/>
      <c r="T212" s="3"/>
      <c r="U212" s="3"/>
      <c r="V212" s="3"/>
      <c r="W212" s="3"/>
      <c r="X212" s="3"/>
      <c r="Y212" s="3"/>
      <c r="Z212" s="3"/>
      <c r="AA212" s="3"/>
      <c r="AB212" s="3"/>
      <c r="AC212" s="3"/>
      <c r="AD212" s="3"/>
      <c r="AE212" s="3"/>
      <c r="AF212" s="3"/>
    </row>
    <row r="213" spans="1:32" ht="24.75" x14ac:dyDescent="0.25">
      <c r="A213" s="3"/>
      <c r="B213" s="2235" t="s">
        <v>1754</v>
      </c>
      <c r="C213" s="1497"/>
      <c r="D213" s="2236">
        <f>SUM(D214:D216)</f>
        <v>-4326.0270322144079</v>
      </c>
      <c r="E213" s="2238"/>
      <c r="F213" s="2236">
        <f t="shared" ref="F213:G213" si="47">SUM(F214:F216)</f>
        <v>-397.84337763308849</v>
      </c>
      <c r="G213" s="2236">
        <f t="shared" si="47"/>
        <v>-397.84337763308849</v>
      </c>
      <c r="H213" s="2238"/>
      <c r="I213" s="2236">
        <f t="shared" ref="I213:J213" si="48">SUM(I214:I216)</f>
        <v>-397.84337763308849</v>
      </c>
      <c r="J213" s="2236">
        <f t="shared" si="48"/>
        <v>-397.84337763308849</v>
      </c>
      <c r="K213" s="2238"/>
      <c r="L213" s="2236">
        <f>SUM(L214:L216)</f>
        <v>-397.84337763308849</v>
      </c>
      <c r="M213" s="3"/>
      <c r="N213" s="3"/>
      <c r="O213" s="3"/>
      <c r="P213" s="3"/>
      <c r="Q213" s="3"/>
      <c r="R213" s="3"/>
      <c r="S213" s="3"/>
      <c r="T213" s="3"/>
      <c r="U213" s="3"/>
      <c r="V213" s="3"/>
      <c r="W213" s="3"/>
      <c r="X213" s="3"/>
      <c r="Y213" s="3"/>
      <c r="Z213" s="3"/>
      <c r="AA213" s="3"/>
      <c r="AB213" s="3"/>
      <c r="AC213" s="3"/>
      <c r="AD213" s="3"/>
      <c r="AE213" s="3"/>
      <c r="AF213" s="3"/>
    </row>
    <row r="214" spans="1:32" ht="15" x14ac:dyDescent="0.25">
      <c r="A214" s="3"/>
      <c r="B214" s="2175" t="s">
        <v>1751</v>
      </c>
      <c r="C214" s="1497"/>
      <c r="D214" s="2218">
        <f>-0.0038832913490701*1000000</f>
        <v>-3883.2913490701003</v>
      </c>
      <c r="E214" s="2239"/>
      <c r="F214" s="2218">
        <f t="shared" ref="F214:G214" si="49">-0.000324267072789191*1000000</f>
        <v>-324.26707278919099</v>
      </c>
      <c r="G214" s="2218">
        <f t="shared" si="49"/>
        <v>-324.26707278919099</v>
      </c>
      <c r="H214" s="2239"/>
      <c r="I214" s="2218">
        <f t="shared" ref="I214:J214" si="50">-0.000324267072789191*1000000</f>
        <v>-324.26707278919099</v>
      </c>
      <c r="J214" s="2218">
        <f t="shared" si="50"/>
        <v>-324.26707278919099</v>
      </c>
      <c r="K214" s="2239"/>
      <c r="L214" s="2218">
        <f>-0.000324267072789191*1000000</f>
        <v>-324.26707278919099</v>
      </c>
      <c r="M214" s="3"/>
      <c r="N214" s="3"/>
      <c r="O214" s="3"/>
      <c r="P214" s="3"/>
      <c r="Q214" s="3"/>
      <c r="R214" s="3"/>
      <c r="S214" s="3"/>
      <c r="T214" s="3"/>
      <c r="U214" s="3"/>
      <c r="V214" s="3"/>
      <c r="W214" s="3"/>
      <c r="X214" s="3"/>
      <c r="Y214" s="3"/>
      <c r="Z214" s="3"/>
      <c r="AA214" s="3"/>
      <c r="AB214" s="3"/>
      <c r="AC214" s="3"/>
      <c r="AD214" s="3"/>
      <c r="AE214" s="3"/>
      <c r="AF214" s="3"/>
    </row>
    <row r="215" spans="1:32" ht="15" x14ac:dyDescent="0.25">
      <c r="A215" s="3"/>
      <c r="B215" s="2175" t="s">
        <v>1752</v>
      </c>
      <c r="C215" s="1497"/>
      <c r="D215" s="2239">
        <v>0</v>
      </c>
      <c r="E215" s="2239"/>
      <c r="F215" s="2239">
        <v>0</v>
      </c>
      <c r="G215" s="2239">
        <v>0</v>
      </c>
      <c r="H215" s="2239"/>
      <c r="I215" s="2239">
        <v>0</v>
      </c>
      <c r="J215" s="2239">
        <v>0</v>
      </c>
      <c r="K215" s="2239"/>
      <c r="L215" s="2239">
        <v>0</v>
      </c>
      <c r="M215" s="3"/>
      <c r="N215" s="3"/>
      <c r="O215" s="3"/>
      <c r="P215" s="3"/>
      <c r="Q215" s="3"/>
      <c r="R215" s="3"/>
      <c r="S215" s="3"/>
      <c r="T215" s="3"/>
      <c r="U215" s="3"/>
      <c r="V215" s="3"/>
      <c r="W215" s="3"/>
      <c r="X215" s="3"/>
      <c r="Y215" s="3"/>
      <c r="Z215" s="3"/>
      <c r="AA215" s="3"/>
      <c r="AB215" s="3"/>
      <c r="AC215" s="3"/>
      <c r="AD215" s="3"/>
      <c r="AE215" s="3"/>
      <c r="AF215" s="3"/>
    </row>
    <row r="216" spans="1:32" ht="15.75" thickBot="1" x14ac:dyDescent="0.3">
      <c r="A216" s="3"/>
      <c r="B216" s="2240" t="s">
        <v>1753</v>
      </c>
      <c r="C216" s="2241"/>
      <c r="D216" s="2218">
        <f>-0.000442735683144308*1000000</f>
        <v>-442.73568314430798</v>
      </c>
      <c r="E216" s="2242"/>
      <c r="F216" s="2218">
        <f t="shared" ref="F216:G216" si="51">-0.0000735763048438975*1000000</f>
        <v>-73.576304843897489</v>
      </c>
      <c r="G216" s="2218">
        <f t="shared" si="51"/>
        <v>-73.576304843897489</v>
      </c>
      <c r="H216" s="2242"/>
      <c r="I216" s="2218">
        <f t="shared" ref="I216:J216" si="52">-0.0000735763048438975*1000000</f>
        <v>-73.576304843897489</v>
      </c>
      <c r="J216" s="2218">
        <f t="shared" si="52"/>
        <v>-73.576304843897489</v>
      </c>
      <c r="K216" s="2242"/>
      <c r="L216" s="2218">
        <f>-0.0000735763048438975*1000000</f>
        <v>-73.576304843897489</v>
      </c>
      <c r="M216" s="3"/>
      <c r="N216" s="3"/>
      <c r="O216" s="3"/>
      <c r="P216" s="3"/>
      <c r="Q216" s="3"/>
      <c r="R216" s="3"/>
      <c r="S216" s="3"/>
      <c r="T216" s="3"/>
      <c r="U216" s="3"/>
      <c r="V216" s="3"/>
      <c r="W216" s="3"/>
      <c r="X216" s="3"/>
      <c r="Y216" s="3"/>
      <c r="Z216" s="3"/>
      <c r="AA216" s="3"/>
      <c r="AB216" s="3"/>
      <c r="AC216" s="3"/>
      <c r="AD216" s="3"/>
      <c r="AE216" s="3"/>
      <c r="AF216" s="3"/>
    </row>
    <row r="217" spans="1:32" ht="15" x14ac:dyDescent="0.25">
      <c r="A217" s="3"/>
      <c r="B217" s="2176" t="s">
        <v>1756</v>
      </c>
      <c r="C217" s="2243"/>
      <c r="D217" s="2244">
        <f>D213+D209</f>
        <v>13635.095537576586</v>
      </c>
      <c r="E217" s="2244"/>
      <c r="F217" s="2244">
        <f t="shared" ref="F217:G217" si="53">F213+F209</f>
        <v>12001.331556011053</v>
      </c>
      <c r="G217" s="2244">
        <f t="shared" si="53"/>
        <v>12001.331556011053</v>
      </c>
      <c r="H217" s="2244"/>
      <c r="I217" s="2244">
        <f t="shared" ref="I217:J217" si="54">I213+I209</f>
        <v>12001.331556011053</v>
      </c>
      <c r="J217" s="2244">
        <f t="shared" si="54"/>
        <v>12001.331556011053</v>
      </c>
      <c r="K217" s="2244"/>
      <c r="L217" s="2244">
        <f>L213+L209</f>
        <v>12001.247123655648</v>
      </c>
      <c r="M217" s="3"/>
      <c r="N217" s="3"/>
      <c r="O217" s="3"/>
      <c r="P217" s="3"/>
      <c r="Q217" s="3"/>
      <c r="R217" s="3"/>
      <c r="S217" s="3"/>
      <c r="T217" s="3"/>
      <c r="U217" s="3"/>
      <c r="V217" s="3"/>
      <c r="W217" s="3"/>
      <c r="X217" s="3"/>
      <c r="Y217" s="3"/>
      <c r="Z217" s="3"/>
      <c r="AA217" s="3"/>
      <c r="AB217" s="3"/>
      <c r="AC217" s="3"/>
      <c r="AD217" s="3"/>
      <c r="AE217" s="3"/>
      <c r="AF217" s="3"/>
    </row>
    <row r="218" spans="1:32" ht="15" x14ac:dyDescent="0.25">
      <c r="A218" s="3"/>
      <c r="B218" s="4" t="s">
        <v>2181</v>
      </c>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row>
    <row r="219" spans="1:32" ht="15" x14ac:dyDescent="0.25">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row>
    <row r="220" spans="1:32" ht="15" x14ac:dyDescent="0.25">
      <c r="A220" s="3"/>
      <c r="B220" s="1904" t="s">
        <v>1766</v>
      </c>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row>
    <row r="221" spans="1:32" ht="15.75" thickBot="1" x14ac:dyDescent="0.3">
      <c r="A221" s="3"/>
      <c r="B221" s="3"/>
      <c r="C221" s="2245"/>
      <c r="D221" s="2245"/>
      <c r="E221" s="2245"/>
      <c r="F221" s="2245"/>
      <c r="G221" s="2245"/>
      <c r="H221" s="2245"/>
      <c r="I221" s="2245"/>
      <c r="J221" s="2245"/>
      <c r="K221" s="2245"/>
      <c r="L221" s="2245"/>
      <c r="M221" s="2245"/>
      <c r="N221" s="2245"/>
      <c r="O221" s="2245"/>
      <c r="P221" s="2245"/>
      <c r="Q221" s="2245"/>
      <c r="R221" s="2245"/>
      <c r="S221" s="2245"/>
      <c r="T221" s="3"/>
      <c r="U221" s="3"/>
      <c r="V221" s="3"/>
      <c r="W221" s="3"/>
      <c r="X221" s="3"/>
      <c r="Y221" s="3"/>
      <c r="Z221" s="3"/>
      <c r="AA221" s="3"/>
      <c r="AB221" s="3"/>
      <c r="AC221" s="3"/>
      <c r="AD221" s="3"/>
      <c r="AE221" s="3"/>
      <c r="AF221" s="3"/>
    </row>
    <row r="222" spans="1:32" ht="15" x14ac:dyDescent="0.25">
      <c r="A222" s="3"/>
      <c r="B222" s="3"/>
      <c r="C222" s="2386" t="s">
        <v>1772</v>
      </c>
      <c r="D222" s="2387"/>
      <c r="E222" s="2387"/>
      <c r="F222" s="2388"/>
      <c r="G222" s="2389" t="s">
        <v>1773</v>
      </c>
      <c r="H222" s="2387"/>
      <c r="I222" s="2387"/>
      <c r="J222" s="2387"/>
      <c r="K222" s="2387"/>
      <c r="L222" s="2388"/>
      <c r="M222" s="2394" t="s">
        <v>1774</v>
      </c>
      <c r="N222" s="2387"/>
      <c r="O222" s="2387"/>
      <c r="P222" s="2387"/>
      <c r="Q222" s="2387"/>
      <c r="R222" s="2388"/>
      <c r="S222" s="2245"/>
      <c r="T222" s="3"/>
      <c r="U222" s="3"/>
      <c r="V222" s="3"/>
      <c r="W222" s="3"/>
      <c r="X222" s="3"/>
      <c r="Y222" s="3"/>
      <c r="Z222" s="3"/>
      <c r="AA222" s="3"/>
      <c r="AB222" s="3"/>
      <c r="AC222" s="3"/>
      <c r="AD222" s="3"/>
      <c r="AE222" s="3"/>
      <c r="AF222" s="3"/>
    </row>
    <row r="223" spans="1:32" ht="15" x14ac:dyDescent="0.25">
      <c r="A223" s="3"/>
      <c r="B223" s="2162" t="s">
        <v>1775</v>
      </c>
      <c r="C223" s="2246" t="s">
        <v>1776</v>
      </c>
      <c r="D223" s="2247" t="s">
        <v>1777</v>
      </c>
      <c r="E223" s="2247" t="s">
        <v>1778</v>
      </c>
      <c r="F223" s="2248" t="s">
        <v>1779</v>
      </c>
      <c r="G223" s="2246">
        <v>2006</v>
      </c>
      <c r="H223" s="2247">
        <v>2011</v>
      </c>
      <c r="I223" s="2247">
        <v>2014</v>
      </c>
      <c r="J223" s="2247">
        <v>2017</v>
      </c>
      <c r="K223" s="2247">
        <v>2020</v>
      </c>
      <c r="L223" s="2249">
        <v>2023</v>
      </c>
      <c r="M223" s="2246">
        <v>2006</v>
      </c>
      <c r="N223" s="2247">
        <v>2011</v>
      </c>
      <c r="O223" s="2247">
        <v>2014</v>
      </c>
      <c r="P223" s="2247">
        <v>2017</v>
      </c>
      <c r="Q223" s="2247">
        <v>2020</v>
      </c>
      <c r="R223" s="2249">
        <v>2023</v>
      </c>
      <c r="S223" s="2245"/>
      <c r="T223" s="3"/>
      <c r="U223" s="3"/>
      <c r="V223" s="3"/>
      <c r="W223" s="3"/>
      <c r="X223" s="3"/>
      <c r="Y223" s="3"/>
      <c r="Z223" s="3"/>
      <c r="AA223" s="3"/>
      <c r="AB223" s="3"/>
      <c r="AC223" s="3"/>
      <c r="AD223" s="3"/>
      <c r="AE223" s="3"/>
      <c r="AF223" s="3"/>
    </row>
    <row r="224" spans="1:32" ht="15" x14ac:dyDescent="0.25">
      <c r="A224" s="3"/>
      <c r="B224" s="2250" t="s">
        <v>1781</v>
      </c>
      <c r="C224" s="2251" t="s">
        <v>1782</v>
      </c>
      <c r="D224" s="2252">
        <v>54</v>
      </c>
      <c r="E224" s="2253"/>
      <c r="F224" s="2254"/>
      <c r="G224" s="2255">
        <v>2135.3404</v>
      </c>
      <c r="H224" s="2218">
        <v>2144.8393219999998</v>
      </c>
      <c r="I224" s="2218">
        <v>2144.8393219999998</v>
      </c>
      <c r="J224" s="2218">
        <v>2144.8389999999999</v>
      </c>
      <c r="K224" s="2218">
        <v>2144.8389999999999</v>
      </c>
      <c r="L224" s="2256">
        <v>2144.8393219999998</v>
      </c>
      <c r="M224" s="2255">
        <f t="shared" ref="M224:R227" si="55">G224*$D224/1000</f>
        <v>115.3083816</v>
      </c>
      <c r="N224" s="2218">
        <f t="shared" si="55"/>
        <v>115.821323388</v>
      </c>
      <c r="O224" s="2218">
        <f t="shared" si="55"/>
        <v>115.821323388</v>
      </c>
      <c r="P224" s="2218">
        <f t="shared" si="55"/>
        <v>115.82130599999999</v>
      </c>
      <c r="Q224" s="2218">
        <f t="shared" si="55"/>
        <v>115.82130599999999</v>
      </c>
      <c r="R224" s="2257">
        <f t="shared" si="55"/>
        <v>115.821323388</v>
      </c>
      <c r="S224" s="1973"/>
      <c r="T224" s="3"/>
      <c r="U224" s="3"/>
      <c r="V224" s="3"/>
      <c r="W224" s="3"/>
      <c r="X224" s="3"/>
      <c r="Y224" s="3"/>
      <c r="Z224" s="3"/>
      <c r="AA224" s="3"/>
      <c r="AB224" s="3"/>
      <c r="AC224" s="3"/>
      <c r="AD224" s="3"/>
      <c r="AE224" s="3"/>
      <c r="AF224" s="3"/>
    </row>
    <row r="225" spans="1:32" ht="15" x14ac:dyDescent="0.25">
      <c r="A225" s="3"/>
      <c r="B225" s="2258" t="s">
        <v>1781</v>
      </c>
      <c r="C225" s="2259" t="s">
        <v>1783</v>
      </c>
      <c r="D225" s="2260">
        <v>80.3</v>
      </c>
      <c r="E225" s="2261"/>
      <c r="F225" s="2254"/>
      <c r="G225" s="2255">
        <v>5990.6760039999999</v>
      </c>
      <c r="H225" s="2218">
        <v>5990.6760039999999</v>
      </c>
      <c r="I225" s="2218">
        <v>5990.6760039999999</v>
      </c>
      <c r="J225" s="2218">
        <v>5990.6760000000004</v>
      </c>
      <c r="K225" s="2218">
        <v>5990.6760000000004</v>
      </c>
      <c r="L225" s="2256">
        <v>5990.6760039999999</v>
      </c>
      <c r="M225" s="2255">
        <f t="shared" si="55"/>
        <v>481.05128312120002</v>
      </c>
      <c r="N225" s="2218">
        <f t="shared" si="55"/>
        <v>481.05128312120002</v>
      </c>
      <c r="O225" s="2218">
        <f t="shared" si="55"/>
        <v>481.05128312120002</v>
      </c>
      <c r="P225" s="2218">
        <f t="shared" si="55"/>
        <v>481.05128279999997</v>
      </c>
      <c r="Q225" s="2218">
        <f t="shared" si="55"/>
        <v>481.05128279999997</v>
      </c>
      <c r="R225" s="2257">
        <f t="shared" si="55"/>
        <v>481.05128312120002</v>
      </c>
      <c r="S225" s="1973"/>
      <c r="T225" s="3"/>
      <c r="U225" s="3"/>
      <c r="V225" s="3"/>
      <c r="W225" s="3"/>
      <c r="X225" s="3"/>
      <c r="Y225" s="3"/>
      <c r="Z225" s="3"/>
      <c r="AA225" s="3"/>
      <c r="AB225" s="3"/>
      <c r="AC225" s="3"/>
      <c r="AD225" s="3"/>
      <c r="AE225" s="3"/>
      <c r="AF225" s="3"/>
    </row>
    <row r="226" spans="1:32" ht="15" x14ac:dyDescent="0.25">
      <c r="A226" s="3"/>
      <c r="B226" s="2262" t="s">
        <v>1784</v>
      </c>
      <c r="C226" s="2263" t="s">
        <v>1782</v>
      </c>
      <c r="D226" s="2264">
        <v>84.7</v>
      </c>
      <c r="E226" s="2264">
        <v>1.02</v>
      </c>
      <c r="F226" s="2254">
        <f t="shared" ref="F226:F227" si="56">E226*44/12</f>
        <v>3.74</v>
      </c>
      <c r="G226" s="2255">
        <v>9.4989216869999993</v>
      </c>
      <c r="H226" s="2218">
        <v>0</v>
      </c>
      <c r="I226" s="2218">
        <v>0</v>
      </c>
      <c r="J226" s="2218">
        <v>0</v>
      </c>
      <c r="K226" s="2218">
        <v>0</v>
      </c>
      <c r="L226" s="2256">
        <v>0</v>
      </c>
      <c r="M226" s="2255">
        <f t="shared" si="55"/>
        <v>0.80455866688889999</v>
      </c>
      <c r="N226" s="2218">
        <f t="shared" si="55"/>
        <v>0</v>
      </c>
      <c r="O226" s="2218">
        <f t="shared" si="55"/>
        <v>0</v>
      </c>
      <c r="P226" s="2218">
        <f t="shared" si="55"/>
        <v>0</v>
      </c>
      <c r="Q226" s="2218">
        <f t="shared" si="55"/>
        <v>0</v>
      </c>
      <c r="R226" s="2257">
        <f t="shared" si="55"/>
        <v>0</v>
      </c>
      <c r="S226" s="1973"/>
      <c r="T226" s="3"/>
      <c r="U226" s="3"/>
      <c r="V226" s="3"/>
      <c r="W226" s="3"/>
      <c r="X226" s="3"/>
      <c r="Y226" s="3"/>
      <c r="Z226" s="3"/>
      <c r="AA226" s="3"/>
      <c r="AB226" s="3"/>
      <c r="AC226" s="3"/>
      <c r="AD226" s="3"/>
      <c r="AE226" s="3"/>
      <c r="AF226" s="3"/>
    </row>
    <row r="227" spans="1:32" ht="15" x14ac:dyDescent="0.25">
      <c r="A227" s="3"/>
      <c r="B227" s="2262" t="s">
        <v>1784</v>
      </c>
      <c r="C227" s="2259" t="s">
        <v>1783</v>
      </c>
      <c r="D227" s="2264">
        <v>127.5</v>
      </c>
      <c r="E227" s="2264">
        <v>1.46</v>
      </c>
      <c r="F227" s="2254">
        <f t="shared" si="56"/>
        <v>5.3533333333333326</v>
      </c>
      <c r="G227" s="2255">
        <v>0</v>
      </c>
      <c r="H227" s="2218">
        <v>0</v>
      </c>
      <c r="I227" s="2218">
        <v>0</v>
      </c>
      <c r="J227" s="2218">
        <v>0</v>
      </c>
      <c r="K227" s="2218">
        <v>0</v>
      </c>
      <c r="L227" s="2256">
        <v>0</v>
      </c>
      <c r="M227" s="2255">
        <f t="shared" si="55"/>
        <v>0</v>
      </c>
      <c r="N227" s="2218">
        <f t="shared" si="55"/>
        <v>0</v>
      </c>
      <c r="O227" s="2218">
        <f t="shared" si="55"/>
        <v>0</v>
      </c>
      <c r="P227" s="2218">
        <f t="shared" si="55"/>
        <v>0</v>
      </c>
      <c r="Q227" s="2218">
        <f t="shared" si="55"/>
        <v>0</v>
      </c>
      <c r="R227" s="2257">
        <f t="shared" si="55"/>
        <v>0</v>
      </c>
      <c r="S227" s="1973"/>
      <c r="T227" s="3"/>
      <c r="U227" s="3"/>
      <c r="V227" s="3"/>
      <c r="W227" s="3"/>
      <c r="X227" s="3"/>
      <c r="Y227" s="3"/>
      <c r="Z227" s="3"/>
      <c r="AA227" s="3"/>
      <c r="AB227" s="3"/>
      <c r="AC227" s="3"/>
      <c r="AD227" s="3"/>
      <c r="AE227" s="3"/>
      <c r="AF227" s="3"/>
    </row>
    <row r="228" spans="1:32" ht="15" x14ac:dyDescent="0.25">
      <c r="A228" s="3"/>
      <c r="B228" s="2258" t="s">
        <v>1785</v>
      </c>
      <c r="C228" s="2259" t="s">
        <v>881</v>
      </c>
      <c r="D228" s="2265">
        <v>0.09</v>
      </c>
      <c r="E228" s="2261"/>
      <c r="F228" s="2254"/>
      <c r="G228" s="2259"/>
      <c r="H228" s="2261"/>
      <c r="I228" s="2261"/>
      <c r="J228" s="2261"/>
      <c r="K228" s="2261"/>
      <c r="L228" s="2266"/>
      <c r="M228" s="2255">
        <f t="shared" ref="M228:Q228" si="57">SUM(M224:M227)*$D228</f>
        <v>53.744780104927997</v>
      </c>
      <c r="N228" s="2218">
        <f t="shared" si="57"/>
        <v>53.718534585828003</v>
      </c>
      <c r="O228" s="2218">
        <f t="shared" si="57"/>
        <v>53.718534585828003</v>
      </c>
      <c r="P228" s="2218">
        <f t="shared" si="57"/>
        <v>53.718532991999986</v>
      </c>
      <c r="Q228" s="2218">
        <f t="shared" si="57"/>
        <v>53.718532991999986</v>
      </c>
      <c r="R228" s="2257">
        <f>L228*$D228/1000</f>
        <v>0</v>
      </c>
      <c r="S228" s="1973"/>
      <c r="T228" s="3"/>
      <c r="U228" s="3"/>
      <c r="V228" s="3"/>
      <c r="W228" s="3"/>
      <c r="X228" s="3"/>
      <c r="Y228" s="3"/>
      <c r="Z228" s="3"/>
      <c r="AA228" s="3"/>
      <c r="AB228" s="3"/>
      <c r="AC228" s="3"/>
      <c r="AD228" s="3"/>
      <c r="AE228" s="3"/>
      <c r="AF228" s="3"/>
    </row>
    <row r="229" spans="1:32" ht="15" x14ac:dyDescent="0.25">
      <c r="A229" s="3"/>
      <c r="B229" s="2258" t="s">
        <v>1786</v>
      </c>
      <c r="C229" s="2259" t="s">
        <v>881</v>
      </c>
      <c r="D229" s="2260">
        <v>183</v>
      </c>
      <c r="E229" s="2261"/>
      <c r="F229" s="2254"/>
      <c r="G229" s="2255">
        <v>378.54672799999997</v>
      </c>
      <c r="H229" s="2218">
        <v>381.76787580000001</v>
      </c>
      <c r="I229" s="2218">
        <v>384.71023600000001</v>
      </c>
      <c r="J229" s="2218">
        <v>384.71019999999999</v>
      </c>
      <c r="K229" s="2218">
        <v>384.71019999999999</v>
      </c>
      <c r="L229" s="2256">
        <v>384.71023600000001</v>
      </c>
      <c r="M229" s="2255">
        <f t="shared" ref="M229:R232" si="58">G229*$D229/1000</f>
        <v>69.27405122399999</v>
      </c>
      <c r="N229" s="2218">
        <f t="shared" si="58"/>
        <v>69.863521271400003</v>
      </c>
      <c r="O229" s="2218">
        <f t="shared" si="58"/>
        <v>70.401973187999999</v>
      </c>
      <c r="P229" s="2218">
        <f t="shared" si="58"/>
        <v>70.401966599999994</v>
      </c>
      <c r="Q229" s="2218">
        <f t="shared" si="58"/>
        <v>70.401966599999994</v>
      </c>
      <c r="R229" s="2257">
        <f t="shared" si="58"/>
        <v>70.401973187999999</v>
      </c>
      <c r="S229" s="1973"/>
      <c r="T229" s="3"/>
      <c r="U229" s="3"/>
      <c r="V229" s="3"/>
      <c r="W229" s="3"/>
      <c r="X229" s="3"/>
      <c r="Y229" s="3"/>
      <c r="Z229" s="3"/>
      <c r="AA229" s="3"/>
      <c r="AB229" s="3"/>
      <c r="AC229" s="3"/>
      <c r="AD229" s="3"/>
      <c r="AE229" s="3"/>
      <c r="AF229" s="3"/>
    </row>
    <row r="230" spans="1:32" ht="15" x14ac:dyDescent="0.25">
      <c r="A230" s="3"/>
      <c r="B230" s="2258" t="s">
        <v>1788</v>
      </c>
      <c r="C230" s="2263" t="s">
        <v>1782</v>
      </c>
      <c r="D230" s="2260">
        <v>183</v>
      </c>
      <c r="E230" s="2264">
        <v>1.02</v>
      </c>
      <c r="F230" s="2254">
        <f t="shared" ref="F230:F231" si="59">E230*44/12</f>
        <v>3.74</v>
      </c>
      <c r="G230" s="2255">
        <v>0</v>
      </c>
      <c r="H230" s="2218">
        <v>0</v>
      </c>
      <c r="I230" s="2218">
        <v>0</v>
      </c>
      <c r="J230" s="2218">
        <v>0</v>
      </c>
      <c r="K230" s="2218">
        <v>0</v>
      </c>
      <c r="L230" s="2256">
        <v>0</v>
      </c>
      <c r="M230" s="2255">
        <f t="shared" si="58"/>
        <v>0</v>
      </c>
      <c r="N230" s="2218">
        <f t="shared" si="58"/>
        <v>0</v>
      </c>
      <c r="O230" s="2218">
        <f t="shared" si="58"/>
        <v>0</v>
      </c>
      <c r="P230" s="2218">
        <f t="shared" si="58"/>
        <v>0</v>
      </c>
      <c r="Q230" s="2218">
        <f t="shared" si="58"/>
        <v>0</v>
      </c>
      <c r="R230" s="2257">
        <f t="shared" si="58"/>
        <v>0</v>
      </c>
      <c r="S230" s="1973"/>
      <c r="T230" s="3"/>
      <c r="U230" s="3"/>
      <c r="V230" s="3"/>
      <c r="W230" s="3"/>
      <c r="X230" s="3"/>
      <c r="Y230" s="3"/>
      <c r="Z230" s="3"/>
      <c r="AA230" s="3"/>
      <c r="AB230" s="3"/>
      <c r="AC230" s="3"/>
      <c r="AD230" s="3"/>
      <c r="AE230" s="3"/>
      <c r="AF230" s="3"/>
    </row>
    <row r="231" spans="1:32" ht="15" x14ac:dyDescent="0.25">
      <c r="A231" s="3"/>
      <c r="B231" s="2258" t="s">
        <v>1788</v>
      </c>
      <c r="C231" s="2259" t="s">
        <v>1783</v>
      </c>
      <c r="D231" s="2260">
        <v>183</v>
      </c>
      <c r="E231" s="2264">
        <v>1.46</v>
      </c>
      <c r="F231" s="2254">
        <f t="shared" si="59"/>
        <v>5.3533333333333326</v>
      </c>
      <c r="G231" s="2255">
        <v>6.1635079480000003</v>
      </c>
      <c r="H231" s="2218">
        <v>8.6464103950000002</v>
      </c>
      <c r="I231" s="2218">
        <v>5.7040501949999998</v>
      </c>
      <c r="J231" s="2218">
        <v>5.7040499999999996</v>
      </c>
      <c r="K231" s="2218">
        <v>5.7040499999999996</v>
      </c>
      <c r="L231" s="2256">
        <v>5.7040501949999998</v>
      </c>
      <c r="M231" s="2255">
        <f t="shared" si="58"/>
        <v>1.127921954484</v>
      </c>
      <c r="N231" s="2218">
        <f t="shared" si="58"/>
        <v>1.582293102285</v>
      </c>
      <c r="O231" s="2218">
        <f t="shared" si="58"/>
        <v>1.0438411856850001</v>
      </c>
      <c r="P231" s="2218">
        <f t="shared" si="58"/>
        <v>1.04384115</v>
      </c>
      <c r="Q231" s="2218">
        <f t="shared" si="58"/>
        <v>1.04384115</v>
      </c>
      <c r="R231" s="2257">
        <f t="shared" si="58"/>
        <v>1.0438411856850001</v>
      </c>
      <c r="S231" s="1973"/>
      <c r="T231" s="3"/>
      <c r="U231" s="3"/>
      <c r="V231" s="3"/>
      <c r="W231" s="3"/>
      <c r="X231" s="3"/>
      <c r="Y231" s="3"/>
      <c r="Z231" s="3"/>
      <c r="AA231" s="3"/>
      <c r="AB231" s="3"/>
      <c r="AC231" s="3"/>
      <c r="AD231" s="3"/>
      <c r="AE231" s="3"/>
      <c r="AF231" s="3"/>
    </row>
    <row r="232" spans="1:32" ht="15.75" thickBot="1" x14ac:dyDescent="0.3">
      <c r="A232" s="3"/>
      <c r="B232" s="2258" t="s">
        <v>1790</v>
      </c>
      <c r="C232" s="2267" t="s">
        <v>881</v>
      </c>
      <c r="D232" s="2268">
        <v>416</v>
      </c>
      <c r="E232" s="2269"/>
      <c r="F232" s="2270"/>
      <c r="G232" s="2271">
        <v>230.3975188</v>
      </c>
      <c r="H232" s="1974">
        <v>230.3975188</v>
      </c>
      <c r="I232" s="1974">
        <v>230.3975188</v>
      </c>
      <c r="J232" s="1974">
        <v>230.39750000000001</v>
      </c>
      <c r="K232" s="1974">
        <v>230.39750000000001</v>
      </c>
      <c r="L232" s="2272">
        <v>230.3975188</v>
      </c>
      <c r="M232" s="2271">
        <f t="shared" si="58"/>
        <v>95.845367820800007</v>
      </c>
      <c r="N232" s="1974">
        <f t="shared" si="58"/>
        <v>95.845367820800007</v>
      </c>
      <c r="O232" s="1974">
        <f t="shared" si="58"/>
        <v>95.845367820800007</v>
      </c>
      <c r="P232" s="1974">
        <f t="shared" si="58"/>
        <v>95.845359999999999</v>
      </c>
      <c r="Q232" s="1974">
        <f t="shared" si="58"/>
        <v>95.845359999999999</v>
      </c>
      <c r="R232" s="2273">
        <f t="shared" si="58"/>
        <v>95.845367820800007</v>
      </c>
      <c r="S232" s="1973"/>
      <c r="T232" s="3"/>
      <c r="U232" s="3"/>
      <c r="V232" s="3"/>
      <c r="W232" s="3"/>
      <c r="X232" s="3"/>
      <c r="Y232" s="3"/>
      <c r="Z232" s="3"/>
      <c r="AA232" s="3"/>
      <c r="AB232" s="3"/>
      <c r="AC232" s="3"/>
      <c r="AD232" s="3"/>
      <c r="AE232" s="3"/>
      <c r="AF232" s="3"/>
    </row>
    <row r="233" spans="1:32" ht="15" x14ac:dyDescent="0.25">
      <c r="A233" s="3"/>
      <c r="B233" s="3"/>
      <c r="C233" s="3"/>
      <c r="D233" s="3"/>
      <c r="E233" s="3"/>
      <c r="F233" s="3"/>
      <c r="G233" s="3"/>
      <c r="H233" s="3"/>
      <c r="I233" s="3"/>
      <c r="J233" s="3"/>
      <c r="K233" s="3"/>
      <c r="M233" s="3"/>
      <c r="N233" s="3"/>
      <c r="O233" s="3"/>
      <c r="P233" s="3"/>
      <c r="Q233" s="3"/>
      <c r="R233" s="3"/>
      <c r="S233" s="3"/>
      <c r="T233" s="3"/>
      <c r="U233" s="3"/>
      <c r="V233" s="3"/>
      <c r="W233" s="3"/>
      <c r="X233" s="3"/>
      <c r="Y233" s="3"/>
      <c r="Z233" s="3"/>
      <c r="AA233" s="3"/>
      <c r="AB233" s="3"/>
      <c r="AC233" s="3"/>
      <c r="AD233" s="3"/>
      <c r="AE233" s="3"/>
      <c r="AF233" s="3"/>
    </row>
    <row r="234" spans="1:32" ht="15.75" thickBot="1" x14ac:dyDescent="0.3">
      <c r="A234" s="3"/>
      <c r="B234" s="3"/>
      <c r="C234" s="3"/>
      <c r="D234" s="3"/>
      <c r="E234" s="3"/>
      <c r="F234" s="3"/>
      <c r="G234" s="3"/>
      <c r="H234" s="3"/>
      <c r="I234" s="3"/>
      <c r="J234" s="3"/>
      <c r="K234" s="3"/>
      <c r="M234" s="3"/>
      <c r="N234" s="3"/>
      <c r="O234" s="3"/>
      <c r="P234" s="3"/>
      <c r="Q234" s="3"/>
      <c r="R234" s="3"/>
      <c r="S234" s="3"/>
      <c r="T234" s="3"/>
      <c r="U234" s="3"/>
      <c r="V234" s="3"/>
      <c r="W234" s="3"/>
      <c r="X234" s="3"/>
      <c r="Y234" s="3"/>
      <c r="Z234" s="3"/>
      <c r="AA234" s="3"/>
      <c r="AB234" s="3"/>
      <c r="AC234" s="3"/>
      <c r="AD234" s="3"/>
      <c r="AE234" s="3"/>
      <c r="AF234" s="3"/>
    </row>
    <row r="235" spans="1:32" ht="15" x14ac:dyDescent="0.25">
      <c r="A235" s="3"/>
      <c r="B235" s="3"/>
      <c r="C235" s="2386" t="s">
        <v>1772</v>
      </c>
      <c r="D235" s="2387"/>
      <c r="E235" s="2387"/>
      <c r="F235" s="2388"/>
      <c r="G235" s="2389" t="s">
        <v>1773</v>
      </c>
      <c r="H235" s="2387"/>
      <c r="I235" s="2387"/>
      <c r="J235" s="2387"/>
      <c r="K235" s="2387"/>
      <c r="L235" s="2388"/>
      <c r="M235" s="2390" t="s">
        <v>1792</v>
      </c>
      <c r="N235" s="2387"/>
      <c r="O235" s="2387"/>
      <c r="P235" s="2387"/>
      <c r="Q235" s="2387"/>
      <c r="R235" s="2388"/>
      <c r="T235" s="3"/>
      <c r="U235" s="3"/>
      <c r="V235" s="3"/>
      <c r="W235" s="3"/>
      <c r="X235" s="3"/>
      <c r="Y235" s="3"/>
      <c r="Z235" s="3"/>
      <c r="AA235" s="3"/>
      <c r="AB235" s="3"/>
      <c r="AC235" s="3"/>
      <c r="AD235" s="3"/>
      <c r="AE235" s="3"/>
      <c r="AF235" s="3"/>
    </row>
    <row r="236" spans="1:32" ht="15" x14ac:dyDescent="0.25">
      <c r="A236" s="3"/>
      <c r="B236" s="2162" t="s">
        <v>1775</v>
      </c>
      <c r="C236" s="2246" t="s">
        <v>1776</v>
      </c>
      <c r="D236" s="2247" t="s">
        <v>1777</v>
      </c>
      <c r="E236" s="2247" t="s">
        <v>1778</v>
      </c>
      <c r="F236" s="2248" t="s">
        <v>1779</v>
      </c>
      <c r="G236" s="2246">
        <v>2006</v>
      </c>
      <c r="H236" s="2247">
        <v>2011</v>
      </c>
      <c r="I236" s="2247">
        <v>2014</v>
      </c>
      <c r="J236" s="2247">
        <v>2017</v>
      </c>
      <c r="K236" s="2247">
        <v>2020</v>
      </c>
      <c r="L236" s="2249">
        <v>2023</v>
      </c>
      <c r="M236" s="2246">
        <v>2006</v>
      </c>
      <c r="N236" s="2247">
        <v>2011</v>
      </c>
      <c r="O236" s="2247">
        <v>2014</v>
      </c>
      <c r="P236" s="2247">
        <v>2017</v>
      </c>
      <c r="Q236" s="2247">
        <v>2020</v>
      </c>
      <c r="R236" s="2249">
        <v>2023</v>
      </c>
      <c r="T236" s="3"/>
      <c r="U236" s="3"/>
      <c r="V236" s="3"/>
      <c r="W236" s="3"/>
      <c r="X236" s="3"/>
      <c r="Y236" s="3"/>
      <c r="Z236" s="3"/>
      <c r="AA236" s="3"/>
      <c r="AB236" s="3"/>
      <c r="AC236" s="3"/>
      <c r="AD236" s="3"/>
      <c r="AE236" s="3"/>
      <c r="AF236" s="3"/>
    </row>
    <row r="237" spans="1:32" ht="15" x14ac:dyDescent="0.25">
      <c r="A237" s="3"/>
      <c r="B237" s="2250" t="s">
        <v>1781</v>
      </c>
      <c r="C237" s="2251" t="s">
        <v>1782</v>
      </c>
      <c r="D237" s="2252">
        <v>54</v>
      </c>
      <c r="E237" s="2253"/>
      <c r="F237" s="2254"/>
      <c r="G237" s="2255">
        <v>2135.3404</v>
      </c>
      <c r="H237" s="2218">
        <v>2144.8393219999998</v>
      </c>
      <c r="I237" s="2218">
        <v>2144.8393219999998</v>
      </c>
      <c r="J237" s="2218">
        <v>2144.8389999999999</v>
      </c>
      <c r="K237" s="2218">
        <v>2144.8389999999999</v>
      </c>
      <c r="L237" s="2256">
        <v>2144.8393219999998</v>
      </c>
      <c r="M237" s="2255">
        <f t="shared" ref="M237:R240" si="60">G237*$F237</f>
        <v>0</v>
      </c>
      <c r="N237" s="2218">
        <f t="shared" si="60"/>
        <v>0</v>
      </c>
      <c r="O237" s="2218">
        <f t="shared" si="60"/>
        <v>0</v>
      </c>
      <c r="P237" s="2218">
        <f t="shared" si="60"/>
        <v>0</v>
      </c>
      <c r="Q237" s="2218">
        <f t="shared" si="60"/>
        <v>0</v>
      </c>
      <c r="R237" s="2257">
        <f t="shared" si="60"/>
        <v>0</v>
      </c>
      <c r="T237" s="3"/>
      <c r="U237" s="3"/>
      <c r="V237" s="3"/>
      <c r="W237" s="3"/>
      <c r="X237" s="3"/>
      <c r="Y237" s="3"/>
      <c r="Z237" s="3"/>
      <c r="AA237" s="3"/>
      <c r="AB237" s="3"/>
      <c r="AC237" s="3"/>
      <c r="AD237" s="3"/>
      <c r="AE237" s="3"/>
      <c r="AF237" s="3"/>
    </row>
    <row r="238" spans="1:32" ht="15" x14ac:dyDescent="0.25">
      <c r="A238" s="3"/>
      <c r="B238" s="2258" t="s">
        <v>1781</v>
      </c>
      <c r="C238" s="2259" t="s">
        <v>1783</v>
      </c>
      <c r="D238" s="2260">
        <v>80.3</v>
      </c>
      <c r="E238" s="2261"/>
      <c r="F238" s="2254"/>
      <c r="G238" s="2255">
        <v>5990.6760039999999</v>
      </c>
      <c r="H238" s="2218">
        <v>5990.6760039999999</v>
      </c>
      <c r="I238" s="2218">
        <v>5990.6760039999999</v>
      </c>
      <c r="J238" s="2218">
        <v>5990.6760000000004</v>
      </c>
      <c r="K238" s="2218">
        <v>5990.6760000000004</v>
      </c>
      <c r="L238" s="2256">
        <v>5990.6760039999999</v>
      </c>
      <c r="M238" s="2255">
        <f t="shared" si="60"/>
        <v>0</v>
      </c>
      <c r="N238" s="2218">
        <f t="shared" si="60"/>
        <v>0</v>
      </c>
      <c r="O238" s="2218">
        <f t="shared" si="60"/>
        <v>0</v>
      </c>
      <c r="P238" s="2218">
        <f t="shared" si="60"/>
        <v>0</v>
      </c>
      <c r="Q238" s="2218">
        <f t="shared" si="60"/>
        <v>0</v>
      </c>
      <c r="R238" s="2257">
        <f t="shared" si="60"/>
        <v>0</v>
      </c>
      <c r="T238" s="3"/>
      <c r="U238" s="3"/>
      <c r="V238" s="3"/>
      <c r="W238" s="3"/>
      <c r="X238" s="3"/>
      <c r="Y238" s="3"/>
      <c r="Z238" s="3"/>
      <c r="AA238" s="3"/>
      <c r="AB238" s="3"/>
      <c r="AC238" s="3"/>
      <c r="AD238" s="3"/>
      <c r="AE238" s="3"/>
      <c r="AF238" s="3"/>
    </row>
    <row r="239" spans="1:32" ht="15" x14ac:dyDescent="0.25">
      <c r="A239" s="3"/>
      <c r="B239" s="2262" t="s">
        <v>1784</v>
      </c>
      <c r="C239" s="2263" t="s">
        <v>1782</v>
      </c>
      <c r="D239" s="2264">
        <v>84.7</v>
      </c>
      <c r="E239" s="2264">
        <v>1.02</v>
      </c>
      <c r="F239" s="2254">
        <f t="shared" ref="F239:F240" si="61">E239*44/12</f>
        <v>3.74</v>
      </c>
      <c r="G239" s="2255">
        <v>9.4989216869999993</v>
      </c>
      <c r="H239" s="2218">
        <v>0</v>
      </c>
      <c r="I239" s="2218">
        <v>0</v>
      </c>
      <c r="J239" s="2218">
        <v>0</v>
      </c>
      <c r="K239" s="2218">
        <v>0</v>
      </c>
      <c r="L239" s="2256">
        <v>0</v>
      </c>
      <c r="M239" s="2255">
        <f t="shared" si="60"/>
        <v>35.525967109379998</v>
      </c>
      <c r="N239" s="2218">
        <f t="shared" si="60"/>
        <v>0</v>
      </c>
      <c r="O239" s="2218">
        <f t="shared" si="60"/>
        <v>0</v>
      </c>
      <c r="P239" s="2218">
        <f t="shared" si="60"/>
        <v>0</v>
      </c>
      <c r="Q239" s="2218">
        <f t="shared" si="60"/>
        <v>0</v>
      </c>
      <c r="R239" s="2257">
        <f t="shared" si="60"/>
        <v>0</v>
      </c>
      <c r="T239" s="3"/>
      <c r="U239" s="3"/>
      <c r="V239" s="3"/>
      <c r="W239" s="3"/>
      <c r="X239" s="3"/>
      <c r="Y239" s="3"/>
      <c r="Z239" s="3"/>
      <c r="AA239" s="3"/>
      <c r="AB239" s="3"/>
      <c r="AC239" s="3"/>
      <c r="AD239" s="3"/>
      <c r="AE239" s="3"/>
      <c r="AF239" s="3"/>
    </row>
    <row r="240" spans="1:32" ht="15" x14ac:dyDescent="0.25">
      <c r="A240" s="3"/>
      <c r="B240" s="2262" t="s">
        <v>1784</v>
      </c>
      <c r="C240" s="2259" t="s">
        <v>1783</v>
      </c>
      <c r="D240" s="2264">
        <v>127.5</v>
      </c>
      <c r="E240" s="2264">
        <v>1.46</v>
      </c>
      <c r="F240" s="2254">
        <f t="shared" si="61"/>
        <v>5.3533333333333326</v>
      </c>
      <c r="G240" s="2255">
        <v>0</v>
      </c>
      <c r="H240" s="2218">
        <v>0</v>
      </c>
      <c r="I240" s="2218">
        <v>0</v>
      </c>
      <c r="J240" s="2218">
        <v>0</v>
      </c>
      <c r="K240" s="2218">
        <v>0</v>
      </c>
      <c r="L240" s="2256">
        <v>0</v>
      </c>
      <c r="M240" s="2255">
        <f t="shared" si="60"/>
        <v>0</v>
      </c>
      <c r="N240" s="2218">
        <f t="shared" si="60"/>
        <v>0</v>
      </c>
      <c r="O240" s="2218">
        <f t="shared" si="60"/>
        <v>0</v>
      </c>
      <c r="P240" s="2218">
        <f t="shared" si="60"/>
        <v>0</v>
      </c>
      <c r="Q240" s="2218">
        <f t="shared" si="60"/>
        <v>0</v>
      </c>
      <c r="R240" s="2257">
        <f t="shared" si="60"/>
        <v>0</v>
      </c>
      <c r="T240" s="3"/>
      <c r="U240" s="3"/>
      <c r="V240" s="3"/>
      <c r="W240" s="3"/>
      <c r="X240" s="3"/>
      <c r="Y240" s="3"/>
      <c r="Z240" s="3"/>
      <c r="AA240" s="3"/>
      <c r="AB240" s="3"/>
      <c r="AC240" s="3"/>
      <c r="AD240" s="3"/>
      <c r="AE240" s="3"/>
      <c r="AF240" s="3"/>
    </row>
    <row r="241" spans="1:32" ht="15" x14ac:dyDescent="0.25">
      <c r="A241" s="3"/>
      <c r="B241" s="2258" t="s">
        <v>1785</v>
      </c>
      <c r="C241" s="2259" t="s">
        <v>881</v>
      </c>
      <c r="D241" s="2265">
        <v>0.09</v>
      </c>
      <c r="E241" s="2261"/>
      <c r="F241" s="2254"/>
      <c r="G241" s="2259"/>
      <c r="H241" s="2261"/>
      <c r="I241" s="2261"/>
      <c r="J241" s="2261"/>
      <c r="K241" s="2261"/>
      <c r="L241" s="2266"/>
      <c r="M241" s="2255"/>
      <c r="N241" s="2218"/>
      <c r="O241" s="2218"/>
      <c r="P241" s="2218"/>
      <c r="Q241" s="2218"/>
      <c r="R241" s="2257"/>
      <c r="T241" s="3"/>
      <c r="U241" s="3"/>
      <c r="V241" s="3"/>
      <c r="W241" s="3"/>
      <c r="X241" s="3"/>
      <c r="Y241" s="3"/>
      <c r="Z241" s="3"/>
      <c r="AA241" s="3"/>
      <c r="AB241" s="3"/>
      <c r="AC241" s="3"/>
      <c r="AD241" s="3"/>
      <c r="AE241" s="3"/>
      <c r="AF241" s="3"/>
    </row>
    <row r="242" spans="1:32" ht="15" x14ac:dyDescent="0.25">
      <c r="A242" s="3"/>
      <c r="B242" s="2258" t="s">
        <v>1786</v>
      </c>
      <c r="C242" s="2259" t="s">
        <v>881</v>
      </c>
      <c r="D242" s="2260">
        <v>183</v>
      </c>
      <c r="E242" s="2261"/>
      <c r="F242" s="2254"/>
      <c r="G242" s="2255">
        <v>378.54672799999997</v>
      </c>
      <c r="H242" s="2218">
        <v>381.76787580000001</v>
      </c>
      <c r="I242" s="2218">
        <v>384.71023600000001</v>
      </c>
      <c r="J242" s="2218">
        <v>384.71019999999999</v>
      </c>
      <c r="K242" s="2218">
        <v>384.71019999999999</v>
      </c>
      <c r="L242" s="2256">
        <v>384.71023600000001</v>
      </c>
      <c r="M242" s="2255">
        <f t="shared" ref="M242:R245" si="62">G242*$F242</f>
        <v>0</v>
      </c>
      <c r="N242" s="2218">
        <f t="shared" si="62"/>
        <v>0</v>
      </c>
      <c r="O242" s="2218">
        <f t="shared" si="62"/>
        <v>0</v>
      </c>
      <c r="P242" s="2218">
        <f t="shared" si="62"/>
        <v>0</v>
      </c>
      <c r="Q242" s="2218">
        <f t="shared" si="62"/>
        <v>0</v>
      </c>
      <c r="R242" s="2257">
        <f t="shared" si="62"/>
        <v>0</v>
      </c>
      <c r="T242" s="3"/>
      <c r="U242" s="3"/>
      <c r="V242" s="3"/>
      <c r="W242" s="3"/>
      <c r="X242" s="3"/>
      <c r="Y242" s="3"/>
      <c r="Z242" s="3"/>
      <c r="AA242" s="3"/>
      <c r="AB242" s="3"/>
      <c r="AC242" s="3"/>
      <c r="AD242" s="3"/>
      <c r="AE242" s="3"/>
      <c r="AF242" s="3"/>
    </row>
    <row r="243" spans="1:32" ht="15" x14ac:dyDescent="0.25">
      <c r="A243" s="3"/>
      <c r="B243" s="2258" t="s">
        <v>1788</v>
      </c>
      <c r="C243" s="2263" t="s">
        <v>1782</v>
      </c>
      <c r="D243" s="2260">
        <v>183</v>
      </c>
      <c r="E243" s="2264">
        <v>1.02</v>
      </c>
      <c r="F243" s="2254">
        <f t="shared" ref="F243:F244" si="63">E243*44/12</f>
        <v>3.74</v>
      </c>
      <c r="G243" s="2255">
        <v>0</v>
      </c>
      <c r="H243" s="2218">
        <v>0</v>
      </c>
      <c r="I243" s="2218">
        <v>0</v>
      </c>
      <c r="J243" s="2218">
        <v>0</v>
      </c>
      <c r="K243" s="2218">
        <v>0</v>
      </c>
      <c r="L243" s="2256">
        <v>0</v>
      </c>
      <c r="M243" s="2255">
        <f t="shared" si="62"/>
        <v>0</v>
      </c>
      <c r="N243" s="2218">
        <f t="shared" si="62"/>
        <v>0</v>
      </c>
      <c r="O243" s="2218">
        <f t="shared" si="62"/>
        <v>0</v>
      </c>
      <c r="P243" s="2218">
        <f t="shared" si="62"/>
        <v>0</v>
      </c>
      <c r="Q243" s="2218">
        <f t="shared" si="62"/>
        <v>0</v>
      </c>
      <c r="R243" s="2257">
        <f t="shared" si="62"/>
        <v>0</v>
      </c>
      <c r="T243" s="3"/>
      <c r="U243" s="3"/>
      <c r="V243" s="3"/>
      <c r="W243" s="3"/>
      <c r="X243" s="3"/>
      <c r="Y243" s="3"/>
      <c r="Z243" s="3"/>
      <c r="AA243" s="3"/>
      <c r="AB243" s="3"/>
      <c r="AC243" s="3"/>
      <c r="AD243" s="3"/>
      <c r="AE243" s="3"/>
      <c r="AF243" s="3"/>
    </row>
    <row r="244" spans="1:32" ht="15" x14ac:dyDescent="0.25">
      <c r="A244" s="3"/>
      <c r="B244" s="2258" t="s">
        <v>1788</v>
      </c>
      <c r="C244" s="2259" t="s">
        <v>1783</v>
      </c>
      <c r="D244" s="2260">
        <v>183</v>
      </c>
      <c r="E244" s="2264">
        <v>1.46</v>
      </c>
      <c r="F244" s="2254">
        <f t="shared" si="63"/>
        <v>5.3533333333333326</v>
      </c>
      <c r="G244" s="2255">
        <v>6.1635079480000003</v>
      </c>
      <c r="H244" s="2218">
        <v>8.6464103950000002</v>
      </c>
      <c r="I244" s="2218">
        <v>5.7040501949999998</v>
      </c>
      <c r="J244" s="2218">
        <v>5.7040499999999996</v>
      </c>
      <c r="K244" s="2218">
        <v>5.7040499999999996</v>
      </c>
      <c r="L244" s="2256">
        <v>5.7040501949999998</v>
      </c>
      <c r="M244" s="2255">
        <f t="shared" si="62"/>
        <v>32.995312548293327</v>
      </c>
      <c r="N244" s="2218">
        <f t="shared" si="62"/>
        <v>46.287116981233325</v>
      </c>
      <c r="O244" s="2218">
        <f t="shared" si="62"/>
        <v>30.535682043899996</v>
      </c>
      <c r="P244" s="2218">
        <f t="shared" si="62"/>
        <v>30.535680999999993</v>
      </c>
      <c r="Q244" s="2218">
        <f t="shared" si="62"/>
        <v>30.535680999999993</v>
      </c>
      <c r="R244" s="2257">
        <f t="shared" si="62"/>
        <v>30.535682043899996</v>
      </c>
      <c r="T244" s="3"/>
      <c r="U244" s="3"/>
      <c r="V244" s="3"/>
      <c r="W244" s="3"/>
      <c r="X244" s="3"/>
      <c r="Y244" s="3"/>
      <c r="Z244" s="3"/>
      <c r="AA244" s="3"/>
      <c r="AB244" s="3"/>
      <c r="AC244" s="3"/>
      <c r="AD244" s="3"/>
      <c r="AE244" s="3"/>
      <c r="AF244" s="3"/>
    </row>
    <row r="245" spans="1:32" ht="15.75" thickBot="1" x14ac:dyDescent="0.3">
      <c r="A245" s="3"/>
      <c r="B245" s="2258" t="s">
        <v>1790</v>
      </c>
      <c r="C245" s="2267" t="s">
        <v>881</v>
      </c>
      <c r="D245" s="2268">
        <v>416</v>
      </c>
      <c r="E245" s="2269"/>
      <c r="F245" s="2270"/>
      <c r="G245" s="2271">
        <v>230.3975188</v>
      </c>
      <c r="H245" s="1974">
        <v>230.3975188</v>
      </c>
      <c r="I245" s="1974">
        <v>230.3975188</v>
      </c>
      <c r="J245" s="1974">
        <v>230.39750000000001</v>
      </c>
      <c r="K245" s="1974">
        <v>230.39750000000001</v>
      </c>
      <c r="L245" s="2272">
        <v>230.3975188</v>
      </c>
      <c r="M245" s="2271">
        <f t="shared" si="62"/>
        <v>0</v>
      </c>
      <c r="N245" s="1974">
        <f t="shared" si="62"/>
        <v>0</v>
      </c>
      <c r="O245" s="1974">
        <f t="shared" si="62"/>
        <v>0</v>
      </c>
      <c r="P245" s="1974">
        <f t="shared" si="62"/>
        <v>0</v>
      </c>
      <c r="Q245" s="1974">
        <f t="shared" si="62"/>
        <v>0</v>
      </c>
      <c r="R245" s="2273">
        <f t="shared" si="62"/>
        <v>0</v>
      </c>
      <c r="T245" s="3"/>
      <c r="U245" s="3"/>
      <c r="V245" s="3"/>
      <c r="W245" s="3"/>
      <c r="X245" s="3"/>
      <c r="Y245" s="3"/>
      <c r="Z245" s="3"/>
      <c r="AA245" s="3"/>
      <c r="AB245" s="3"/>
      <c r="AC245" s="3"/>
      <c r="AD245" s="3"/>
      <c r="AE245" s="3"/>
      <c r="AF245" s="3"/>
    </row>
    <row r="246" spans="1:32" ht="15" x14ac:dyDescent="0.25">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c r="AA246" s="3"/>
      <c r="AB246" s="3"/>
      <c r="AC246" s="3"/>
      <c r="AD246" s="3"/>
      <c r="AE246" s="3"/>
      <c r="AF246" s="3"/>
    </row>
    <row r="247" spans="1:32" ht="15" x14ac:dyDescent="0.25">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c r="AA247" s="3"/>
      <c r="AB247" s="3"/>
      <c r="AC247" s="3"/>
      <c r="AD247" s="3"/>
      <c r="AE247" s="3"/>
      <c r="AF247" s="3"/>
    </row>
    <row r="248" spans="1:32" ht="15" x14ac:dyDescent="0.25">
      <c r="A248" s="3"/>
      <c r="B248" s="1904" t="s">
        <v>1796</v>
      </c>
      <c r="C248" s="3"/>
      <c r="D248" s="3"/>
      <c r="E248" s="3"/>
      <c r="F248" s="3"/>
      <c r="G248" s="3"/>
      <c r="H248" s="3"/>
      <c r="I248" s="3"/>
      <c r="J248" s="3"/>
      <c r="K248" s="3"/>
      <c r="L248" s="3"/>
      <c r="M248" s="3"/>
      <c r="N248" s="3"/>
      <c r="O248" s="3"/>
      <c r="P248" s="3"/>
      <c r="Q248" s="3"/>
      <c r="R248" s="3"/>
      <c r="S248" s="3"/>
      <c r="T248" s="3"/>
      <c r="U248" s="3"/>
      <c r="V248" s="3"/>
      <c r="W248" s="3"/>
      <c r="X248" s="3"/>
      <c r="Y248" s="3"/>
      <c r="Z248" s="3"/>
      <c r="AA248" s="3"/>
      <c r="AB248" s="3"/>
      <c r="AC248" s="3"/>
      <c r="AD248" s="3"/>
      <c r="AE248" s="3"/>
      <c r="AF248" s="3"/>
    </row>
    <row r="249" spans="1:32" ht="15" x14ac:dyDescent="0.25">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c r="AA249" s="3"/>
      <c r="AB249" s="3"/>
      <c r="AC249" s="3"/>
      <c r="AD249" s="3"/>
      <c r="AE249" s="3"/>
      <c r="AF249" s="3"/>
    </row>
    <row r="250" spans="1:32" ht="15" x14ac:dyDescent="0.25">
      <c r="A250" s="3"/>
      <c r="B250" s="2174" t="s">
        <v>1693</v>
      </c>
      <c r="C250" s="2164">
        <v>2011</v>
      </c>
      <c r="D250" s="3"/>
      <c r="E250" s="3"/>
      <c r="F250" s="3"/>
      <c r="G250" s="3"/>
      <c r="H250" s="3"/>
      <c r="I250" s="3"/>
      <c r="J250" s="3"/>
      <c r="K250" s="3"/>
      <c r="L250" s="3"/>
      <c r="M250" s="3"/>
      <c r="N250" s="3"/>
      <c r="O250" s="3"/>
      <c r="P250" s="3"/>
      <c r="Q250" s="3"/>
      <c r="R250" s="3"/>
      <c r="S250" s="3"/>
      <c r="T250" s="3"/>
      <c r="U250" s="3"/>
      <c r="V250" s="3"/>
      <c r="W250" s="3"/>
      <c r="X250" s="3"/>
      <c r="Y250" s="3"/>
      <c r="Z250" s="3"/>
      <c r="AA250" s="3"/>
      <c r="AB250" s="3"/>
      <c r="AC250" s="3"/>
      <c r="AD250" s="3"/>
      <c r="AE250" s="3"/>
      <c r="AF250" s="3"/>
    </row>
    <row r="251" spans="1:32" ht="15" x14ac:dyDescent="0.25">
      <c r="A251" s="3"/>
      <c r="B251" s="2274" t="s">
        <v>3</v>
      </c>
      <c r="C251" s="2275">
        <f>SUM(C252:C254)</f>
        <v>-0.53965288671270739</v>
      </c>
      <c r="D251" s="3"/>
      <c r="E251" s="3"/>
      <c r="F251" s="3"/>
      <c r="G251" s="3"/>
      <c r="H251" s="3"/>
      <c r="I251" s="3"/>
      <c r="J251" s="3"/>
      <c r="K251" s="3"/>
      <c r="L251" s="3"/>
      <c r="M251" s="3"/>
      <c r="N251" s="3"/>
      <c r="O251" s="3"/>
      <c r="P251" s="3"/>
      <c r="Q251" s="3"/>
      <c r="R251" s="3"/>
      <c r="S251" s="3"/>
      <c r="T251" s="3"/>
      <c r="U251" s="3"/>
      <c r="V251" s="3"/>
      <c r="W251" s="3"/>
      <c r="X251" s="3"/>
      <c r="Y251" s="3"/>
      <c r="Z251" s="3"/>
      <c r="AA251" s="3"/>
      <c r="AB251" s="3"/>
      <c r="AC251" s="3"/>
      <c r="AD251" s="3"/>
      <c r="AE251" s="3"/>
      <c r="AF251" s="3"/>
    </row>
    <row r="252" spans="1:32" ht="15" x14ac:dyDescent="0.25">
      <c r="A252" s="3"/>
      <c r="B252" s="2276" t="s">
        <v>1797</v>
      </c>
      <c r="C252" s="2209">
        <f>(F193+F217)/1000000</f>
        <v>-0.52748874020835357</v>
      </c>
      <c r="D252" s="3"/>
      <c r="E252" s="3"/>
      <c r="F252" s="3"/>
      <c r="G252" s="3"/>
      <c r="H252" s="3"/>
      <c r="I252" s="3"/>
      <c r="J252" s="3"/>
      <c r="K252" s="3"/>
      <c r="L252" s="3"/>
      <c r="M252" s="3"/>
      <c r="N252" s="3"/>
      <c r="O252" s="3"/>
      <c r="P252" s="3"/>
      <c r="Q252" s="3"/>
      <c r="R252" s="3"/>
      <c r="S252" s="3"/>
      <c r="T252" s="3"/>
      <c r="U252" s="3"/>
      <c r="V252" s="3"/>
      <c r="W252" s="3"/>
      <c r="X252" s="3"/>
      <c r="Y252" s="3"/>
      <c r="Z252" s="3"/>
      <c r="AA252" s="3"/>
      <c r="AB252" s="3"/>
      <c r="AC252" s="3"/>
      <c r="AD252" s="3"/>
      <c r="AE252" s="3"/>
      <c r="AF252" s="3"/>
    </row>
    <row r="253" spans="1:32" ht="15" x14ac:dyDescent="0.25">
      <c r="A253" s="3"/>
      <c r="B253" s="2276" t="s">
        <v>1798</v>
      </c>
      <c r="C253" s="2209">
        <f>F194/1000000</f>
        <v>-1.2210433621335059E-2</v>
      </c>
      <c r="D253" s="3"/>
      <c r="E253" s="3"/>
      <c r="F253" s="3"/>
      <c r="G253" s="3"/>
      <c r="H253" s="3"/>
      <c r="I253" s="3"/>
      <c r="J253" s="3"/>
      <c r="K253" s="3"/>
      <c r="L253" s="3"/>
      <c r="M253" s="3"/>
      <c r="N253" s="3"/>
      <c r="O253" s="3"/>
      <c r="P253" s="3"/>
      <c r="Q253" s="3"/>
      <c r="R253" s="3"/>
      <c r="S253" s="3"/>
      <c r="T253" s="3"/>
      <c r="U253" s="3"/>
      <c r="V253" s="3"/>
      <c r="W253" s="3"/>
      <c r="X253" s="3"/>
      <c r="Y253" s="3"/>
      <c r="Z253" s="3"/>
      <c r="AA253" s="3"/>
      <c r="AB253" s="3"/>
      <c r="AC253" s="3"/>
      <c r="AD253" s="3"/>
      <c r="AE253" s="3"/>
      <c r="AF253" s="3"/>
    </row>
    <row r="254" spans="1:32" ht="15" x14ac:dyDescent="0.25">
      <c r="A254" s="3"/>
      <c r="B254" s="2276" t="s">
        <v>1799</v>
      </c>
      <c r="C254" s="2209">
        <f>SUM(N237:N245)/1000000</f>
        <v>4.6287116981233327E-5</v>
      </c>
      <c r="D254" s="3"/>
      <c r="E254" s="3"/>
      <c r="F254" s="3"/>
      <c r="G254" s="3"/>
      <c r="H254" s="3"/>
      <c r="I254" s="3"/>
      <c r="J254" s="3"/>
      <c r="K254" s="3"/>
      <c r="L254" s="3"/>
      <c r="M254" s="3"/>
      <c r="N254" s="3"/>
      <c r="O254" s="3"/>
      <c r="P254" s="3"/>
      <c r="Q254" s="3"/>
      <c r="R254" s="3"/>
      <c r="S254" s="3"/>
      <c r="T254" s="3"/>
      <c r="U254" s="3"/>
      <c r="V254" s="3"/>
      <c r="W254" s="3"/>
      <c r="X254" s="3"/>
      <c r="Y254" s="3"/>
      <c r="Z254" s="3"/>
      <c r="AA254" s="3"/>
      <c r="AB254" s="3"/>
      <c r="AC254" s="3"/>
      <c r="AD254" s="3"/>
      <c r="AE254" s="3"/>
      <c r="AF254" s="3"/>
    </row>
    <row r="255" spans="1:32" ht="15" x14ac:dyDescent="0.25">
      <c r="A255" s="3"/>
      <c r="B255" s="2274" t="s">
        <v>14</v>
      </c>
      <c r="C255" s="2275">
        <f>SUM(C256:C258)</f>
        <v>0.29413707905602982</v>
      </c>
      <c r="D255" s="3"/>
      <c r="E255" s="3"/>
      <c r="F255" s="3"/>
      <c r="G255" s="3"/>
      <c r="H255" s="3"/>
      <c r="I255" s="3"/>
      <c r="J255" s="3"/>
      <c r="K255" s="3"/>
      <c r="L255" s="3"/>
      <c r="M255" s="3"/>
      <c r="N255" s="3"/>
      <c r="O255" s="3"/>
      <c r="P255" s="3"/>
      <c r="Q255" s="3"/>
      <c r="R255" s="3"/>
      <c r="S255" s="3"/>
      <c r="T255" s="3"/>
      <c r="U255" s="3"/>
      <c r="V255" s="3"/>
      <c r="W255" s="3"/>
      <c r="X255" s="3"/>
      <c r="Y255" s="3"/>
      <c r="Z255" s="3"/>
      <c r="AA255" s="3"/>
      <c r="AB255" s="3"/>
      <c r="AC255" s="3"/>
      <c r="AD255" s="3"/>
      <c r="AE255" s="3"/>
      <c r="AF255" s="3"/>
    </row>
    <row r="256" spans="1:32" ht="15" x14ac:dyDescent="0.25">
      <c r="A256" s="3"/>
      <c r="B256" s="2276" t="s">
        <v>1797</v>
      </c>
      <c r="C256" s="2209">
        <f>F204*K5/1000000</f>
        <v>0.26776681588551077</v>
      </c>
      <c r="D256" s="3"/>
      <c r="E256" s="3"/>
      <c r="F256" s="3"/>
      <c r="G256" s="3"/>
      <c r="H256" s="3"/>
      <c r="I256" s="3"/>
      <c r="J256" s="3"/>
      <c r="K256" s="3"/>
      <c r="L256" s="3"/>
      <c r="M256" s="3"/>
      <c r="N256" s="3"/>
      <c r="O256" s="3"/>
      <c r="P256" s="3"/>
      <c r="Q256" s="3"/>
      <c r="R256" s="3"/>
      <c r="S256" s="3"/>
      <c r="T256" s="3"/>
      <c r="U256" s="3"/>
      <c r="V256" s="3"/>
      <c r="W256" s="3"/>
      <c r="X256" s="3"/>
      <c r="Y256" s="3"/>
      <c r="Z256" s="3"/>
      <c r="AA256" s="3"/>
      <c r="AB256" s="3"/>
      <c r="AC256" s="3"/>
      <c r="AD256" s="3"/>
      <c r="AE256" s="3"/>
      <c r="AF256" s="3"/>
    </row>
    <row r="257" spans="1:32" ht="15" x14ac:dyDescent="0.25">
      <c r="A257" s="3"/>
      <c r="B257" s="2276" t="s">
        <v>1798</v>
      </c>
      <c r="C257" s="2209">
        <f>F205*K5/1000000</f>
        <v>3.5513463507415876E-3</v>
      </c>
      <c r="D257" s="3"/>
      <c r="E257" s="3"/>
      <c r="F257" s="3"/>
      <c r="G257" s="3"/>
      <c r="H257" s="3"/>
      <c r="I257" s="3"/>
      <c r="J257" s="3"/>
      <c r="K257" s="3"/>
      <c r="L257" s="3"/>
      <c r="M257" s="3"/>
      <c r="N257" s="3"/>
      <c r="O257" s="3"/>
      <c r="P257" s="3"/>
      <c r="Q257" s="3"/>
      <c r="R257" s="3"/>
      <c r="S257" s="3"/>
      <c r="T257" s="3"/>
      <c r="U257" s="3"/>
      <c r="V257" s="3"/>
      <c r="W257" s="3"/>
      <c r="X257" s="3"/>
      <c r="Y257" s="3"/>
      <c r="Z257" s="3"/>
      <c r="AA257" s="3"/>
      <c r="AB257" s="3"/>
      <c r="AC257" s="3"/>
      <c r="AD257" s="3"/>
      <c r="AE257" s="3"/>
      <c r="AF257" s="3"/>
    </row>
    <row r="258" spans="1:32" ht="15" x14ac:dyDescent="0.25">
      <c r="A258" s="3"/>
      <c r="B258" s="2276" t="s">
        <v>1799</v>
      </c>
      <c r="C258" s="2209">
        <f>SUM(N224:N232)*K5/1000000</f>
        <v>2.2818916819777418E-2</v>
      </c>
      <c r="D258" s="3"/>
      <c r="E258" s="3"/>
      <c r="F258" s="3"/>
      <c r="G258" s="3"/>
      <c r="H258" s="3"/>
      <c r="I258" s="3"/>
      <c r="J258" s="3"/>
      <c r="K258" s="3"/>
      <c r="L258" s="3"/>
      <c r="M258" s="3"/>
      <c r="N258" s="3"/>
      <c r="O258" s="3"/>
      <c r="P258" s="3"/>
      <c r="Q258" s="3"/>
      <c r="R258" s="3"/>
      <c r="S258" s="3"/>
      <c r="T258" s="3"/>
      <c r="U258" s="3"/>
      <c r="V258" s="3"/>
      <c r="W258" s="3"/>
      <c r="X258" s="3"/>
      <c r="Y258" s="3"/>
      <c r="Z258" s="3"/>
      <c r="AA258" s="3"/>
      <c r="AB258" s="3"/>
      <c r="AC258" s="3"/>
      <c r="AD258" s="3"/>
      <c r="AE258" s="3"/>
      <c r="AF258" s="3"/>
    </row>
    <row r="259" spans="1:32" ht="15" x14ac:dyDescent="0.25">
      <c r="A259" s="3"/>
      <c r="B259" s="2182" t="s">
        <v>205</v>
      </c>
      <c r="C259" s="2277">
        <f>C251+C255</f>
        <v>-0.24551580765667758</v>
      </c>
      <c r="D259" s="3"/>
      <c r="E259" s="3"/>
      <c r="F259" s="3"/>
      <c r="G259" s="3"/>
      <c r="H259" s="3"/>
      <c r="I259" s="3"/>
      <c r="J259" s="3"/>
      <c r="K259" s="3"/>
      <c r="L259" s="3"/>
      <c r="M259" s="3"/>
      <c r="N259" s="3"/>
      <c r="O259" s="3"/>
      <c r="P259" s="3"/>
      <c r="Q259" s="3"/>
      <c r="R259" s="3"/>
      <c r="S259" s="3"/>
      <c r="T259" s="3"/>
      <c r="U259" s="3"/>
      <c r="V259" s="3"/>
      <c r="W259" s="3"/>
      <c r="X259" s="3"/>
      <c r="Y259" s="3"/>
      <c r="Z259" s="3"/>
      <c r="AA259" s="3"/>
      <c r="AB259" s="3"/>
      <c r="AC259" s="3"/>
      <c r="AD259" s="3"/>
      <c r="AE259" s="3"/>
      <c r="AF259" s="3"/>
    </row>
    <row r="260" spans="1:32" ht="15" x14ac:dyDescent="0.25">
      <c r="A260" s="3"/>
      <c r="C260" s="3"/>
      <c r="D260" s="3"/>
      <c r="E260" s="3"/>
      <c r="F260" s="3"/>
      <c r="G260" s="3"/>
      <c r="H260" s="3"/>
      <c r="I260" s="3"/>
      <c r="J260" s="3"/>
      <c r="K260" s="3"/>
      <c r="L260" s="3"/>
      <c r="M260" s="3"/>
      <c r="N260" s="3"/>
      <c r="O260" s="3"/>
      <c r="P260" s="3"/>
      <c r="Q260" s="3"/>
      <c r="R260" s="3"/>
      <c r="S260" s="3"/>
      <c r="T260" s="3"/>
      <c r="U260" s="3"/>
      <c r="V260" s="3"/>
      <c r="W260" s="3"/>
      <c r="X260" s="3"/>
      <c r="Y260" s="3"/>
      <c r="Z260" s="3"/>
      <c r="AA260" s="3"/>
      <c r="AB260" s="3"/>
      <c r="AC260" s="3"/>
      <c r="AD260" s="3"/>
      <c r="AE260" s="3"/>
      <c r="AF260" s="3"/>
    </row>
    <row r="261" spans="1:32" ht="15" x14ac:dyDescent="0.25">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c r="AA261" s="3"/>
      <c r="AB261" s="3"/>
      <c r="AC261" s="3"/>
      <c r="AD261" s="3"/>
      <c r="AE261" s="3"/>
      <c r="AF261" s="3"/>
    </row>
    <row r="262" spans="1:32" ht="15" x14ac:dyDescent="0.25">
      <c r="A262" s="3"/>
      <c r="B262" s="2147" t="s">
        <v>1800</v>
      </c>
      <c r="C262" s="2148"/>
      <c r="D262" s="2148"/>
      <c r="E262" s="2148"/>
      <c r="F262" s="2148"/>
      <c r="G262" s="2148"/>
      <c r="H262" s="2148"/>
      <c r="I262" s="2148"/>
      <c r="J262" s="2148"/>
      <c r="K262" s="2148"/>
      <c r="L262" s="2148"/>
      <c r="M262" s="2148"/>
      <c r="N262" s="2148"/>
      <c r="O262" s="2148"/>
      <c r="P262" s="2148"/>
      <c r="Q262" s="2148"/>
      <c r="R262" s="2148"/>
      <c r="S262" s="2148"/>
      <c r="T262" s="3"/>
      <c r="U262" s="3"/>
      <c r="V262" s="3"/>
      <c r="W262" s="3"/>
      <c r="X262" s="3"/>
      <c r="Y262" s="3"/>
      <c r="Z262" s="3"/>
      <c r="AA262" s="3"/>
      <c r="AB262" s="3"/>
      <c r="AC262" s="3"/>
      <c r="AD262" s="3"/>
      <c r="AE262" s="3"/>
      <c r="AF262" s="3"/>
    </row>
    <row r="263" spans="1:32" ht="15" x14ac:dyDescent="0.25">
      <c r="A263" s="3"/>
      <c r="B263" s="3"/>
      <c r="E263" s="3"/>
      <c r="F263" s="3"/>
      <c r="G263" s="3"/>
      <c r="H263" s="3"/>
      <c r="I263" s="3"/>
      <c r="J263" s="3"/>
      <c r="K263" s="3"/>
      <c r="L263" s="3"/>
      <c r="M263" s="3"/>
      <c r="N263" s="3"/>
      <c r="O263" s="3"/>
      <c r="P263" s="3"/>
      <c r="Q263" s="3"/>
      <c r="R263" s="3"/>
      <c r="S263" s="3"/>
      <c r="T263" s="3"/>
      <c r="U263" s="3"/>
      <c r="V263" s="3"/>
      <c r="W263" s="3"/>
      <c r="X263" s="3"/>
      <c r="Y263" s="3"/>
      <c r="Z263" s="3"/>
      <c r="AA263" s="3"/>
      <c r="AB263" s="3"/>
      <c r="AC263" s="3"/>
      <c r="AD263" s="3"/>
      <c r="AE263" s="3"/>
      <c r="AF263" s="3"/>
    </row>
    <row r="264" spans="1:32" ht="15" x14ac:dyDescent="0.25">
      <c r="A264" s="3"/>
      <c r="B264" s="60"/>
      <c r="C264" s="2278">
        <v>2011</v>
      </c>
      <c r="E264" s="3"/>
      <c r="F264" s="3"/>
      <c r="G264" s="3"/>
      <c r="H264" s="3"/>
      <c r="I264" s="3"/>
      <c r="J264" s="3"/>
      <c r="K264" s="3"/>
      <c r="L264" s="3"/>
      <c r="M264" s="3"/>
      <c r="N264" s="3"/>
      <c r="O264" s="3"/>
      <c r="P264" s="3"/>
      <c r="Q264" s="3"/>
      <c r="R264" s="3"/>
      <c r="S264" s="3"/>
      <c r="T264" s="3"/>
      <c r="U264" s="3"/>
      <c r="V264" s="3"/>
      <c r="W264" s="3"/>
      <c r="X264" s="3"/>
      <c r="Y264" s="3"/>
      <c r="Z264" s="3"/>
      <c r="AA264" s="3"/>
      <c r="AB264" s="3"/>
      <c r="AC264" s="3"/>
      <c r="AD264" s="3"/>
      <c r="AE264" s="3"/>
      <c r="AF264" s="3"/>
    </row>
    <row r="265" spans="1:32" ht="15" x14ac:dyDescent="0.25">
      <c r="A265" s="3"/>
      <c r="B265" s="2279" t="s">
        <v>1801</v>
      </c>
      <c r="C265" s="2280">
        <f>C266+C273+C276+C278+C281+C282</f>
        <v>-8.9806847020010938</v>
      </c>
      <c r="E265" s="3"/>
      <c r="F265" s="3"/>
      <c r="G265" s="3"/>
      <c r="H265" s="3"/>
      <c r="I265" s="3"/>
      <c r="J265" s="3"/>
      <c r="K265" s="3"/>
      <c r="L265" s="3"/>
      <c r="M265" s="3"/>
      <c r="N265" s="3"/>
      <c r="O265" s="3"/>
      <c r="P265" s="3"/>
      <c r="Q265" s="3"/>
      <c r="R265" s="3"/>
      <c r="S265" s="3"/>
      <c r="T265" s="3"/>
      <c r="U265" s="3"/>
      <c r="V265" s="3"/>
      <c r="W265" s="3"/>
      <c r="X265" s="3"/>
      <c r="Y265" s="3"/>
      <c r="Z265" s="3"/>
      <c r="AA265" s="3"/>
      <c r="AB265" s="3"/>
      <c r="AC265" s="3"/>
      <c r="AD265" s="3"/>
      <c r="AE265" s="3"/>
      <c r="AF265" s="3"/>
    </row>
    <row r="266" spans="1:32" ht="15" x14ac:dyDescent="0.25">
      <c r="A266" s="3"/>
      <c r="B266" s="58" t="s">
        <v>545</v>
      </c>
      <c r="C266" s="2281">
        <f>SUM(C267:C272)</f>
        <v>-7.2975578050420156</v>
      </c>
      <c r="E266" s="20"/>
      <c r="F266" s="3"/>
      <c r="G266" s="3"/>
      <c r="H266" s="3"/>
      <c r="I266" s="3"/>
      <c r="J266" s="3"/>
      <c r="K266" s="3"/>
      <c r="L266" s="3"/>
      <c r="M266" s="3"/>
      <c r="N266" s="3"/>
      <c r="O266" s="3"/>
      <c r="P266" s="3"/>
      <c r="Q266" s="3"/>
      <c r="R266" s="3"/>
      <c r="S266" s="3"/>
      <c r="T266" s="3"/>
      <c r="U266" s="3"/>
      <c r="V266" s="3"/>
      <c r="W266" s="3"/>
      <c r="X266" s="3"/>
      <c r="Y266" s="3"/>
      <c r="Z266" s="3"/>
      <c r="AA266" s="3"/>
      <c r="AB266" s="3"/>
      <c r="AC266" s="3"/>
      <c r="AD266" s="3"/>
      <c r="AE266" s="3"/>
      <c r="AF266" s="3"/>
    </row>
    <row r="267" spans="1:32" ht="15" x14ac:dyDescent="0.25">
      <c r="A267" s="3"/>
      <c r="B267" s="2282" t="s">
        <v>1694</v>
      </c>
      <c r="C267" s="2283">
        <f t="shared" ref="C267:C272" si="64">C86</f>
        <v>-5.7116267999999994</v>
      </c>
      <c r="E267" s="20"/>
      <c r="F267" s="2284"/>
      <c r="G267" s="2284"/>
      <c r="H267" s="3"/>
      <c r="I267" s="3"/>
      <c r="J267" s="3"/>
      <c r="K267" s="3"/>
      <c r="L267" s="3"/>
      <c r="M267" s="3"/>
      <c r="N267" s="3"/>
      <c r="O267" s="3"/>
      <c r="P267" s="3"/>
      <c r="Q267" s="3"/>
      <c r="R267" s="3"/>
      <c r="S267" s="3"/>
      <c r="T267" s="3"/>
      <c r="U267" s="3"/>
      <c r="V267" s="3"/>
      <c r="W267" s="3"/>
      <c r="X267" s="3"/>
      <c r="Y267" s="3"/>
      <c r="Z267" s="3"/>
      <c r="AA267" s="3"/>
      <c r="AB267" s="3"/>
      <c r="AC267" s="3"/>
      <c r="AD267" s="3"/>
      <c r="AE267" s="3"/>
      <c r="AF267" s="3"/>
    </row>
    <row r="268" spans="1:32" ht="15" x14ac:dyDescent="0.25">
      <c r="A268" s="3"/>
      <c r="B268" s="2282" t="s">
        <v>1696</v>
      </c>
      <c r="C268" s="2283">
        <f t="shared" si="64"/>
        <v>-1.0559310050420165</v>
      </c>
      <c r="E268" s="20"/>
      <c r="F268" s="2284"/>
      <c r="G268" s="2284"/>
      <c r="H268" s="3"/>
      <c r="I268" s="3"/>
      <c r="J268" s="3"/>
      <c r="K268" s="3"/>
      <c r="L268" s="3"/>
      <c r="M268" s="3"/>
      <c r="N268" s="3"/>
      <c r="O268" s="3"/>
      <c r="P268" s="3"/>
      <c r="Q268" s="3"/>
      <c r="R268" s="3"/>
      <c r="S268" s="3"/>
      <c r="T268" s="3"/>
      <c r="U268" s="3"/>
      <c r="V268" s="3"/>
      <c r="W268" s="3"/>
      <c r="X268" s="3"/>
      <c r="Y268" s="3"/>
      <c r="Z268" s="3"/>
      <c r="AA268" s="3"/>
      <c r="AB268" s="3"/>
      <c r="AC268" s="3"/>
      <c r="AD268" s="3"/>
      <c r="AE268" s="3"/>
      <c r="AF268" s="3"/>
    </row>
    <row r="269" spans="1:32" ht="15" x14ac:dyDescent="0.25">
      <c r="A269" s="3"/>
      <c r="B269" s="2282" t="s">
        <v>1697</v>
      </c>
      <c r="C269" s="2283">
        <f t="shared" si="64"/>
        <v>-0.7599999999999999</v>
      </c>
      <c r="E269" s="20"/>
      <c r="F269" s="2284"/>
      <c r="G269" s="2284"/>
      <c r="H269" s="3"/>
      <c r="I269" s="3"/>
      <c r="J269" s="3"/>
      <c r="K269" s="3"/>
      <c r="L269" s="3"/>
      <c r="M269" s="3"/>
      <c r="N269" s="3"/>
      <c r="O269" s="3"/>
      <c r="P269" s="3"/>
      <c r="Q269" s="3"/>
      <c r="R269" s="3"/>
      <c r="S269" s="3"/>
      <c r="T269" s="3"/>
      <c r="U269" s="3"/>
      <c r="V269" s="3"/>
      <c r="W269" s="3"/>
      <c r="X269" s="3"/>
      <c r="Y269" s="3"/>
      <c r="Z269" s="3"/>
      <c r="AA269" s="3"/>
      <c r="AB269" s="3"/>
      <c r="AC269" s="3"/>
      <c r="AD269" s="3"/>
      <c r="AE269" s="3"/>
      <c r="AF269" s="3"/>
    </row>
    <row r="270" spans="1:32" ht="15" x14ac:dyDescent="0.25">
      <c r="A270" s="3"/>
      <c r="B270" s="2282" t="s">
        <v>1699</v>
      </c>
      <c r="C270" s="2283">
        <f t="shared" si="64"/>
        <v>0.12</v>
      </c>
      <c r="E270" s="20"/>
      <c r="F270" s="2284"/>
      <c r="G270" s="2284"/>
      <c r="H270" s="3"/>
      <c r="I270" s="3"/>
      <c r="J270" s="3"/>
      <c r="K270" s="3"/>
      <c r="L270" s="3"/>
      <c r="M270" s="3"/>
      <c r="N270" s="3"/>
      <c r="O270" s="3"/>
      <c r="P270" s="3"/>
      <c r="Q270" s="3"/>
      <c r="R270" s="3"/>
      <c r="S270" s="3"/>
      <c r="T270" s="3"/>
      <c r="U270" s="3"/>
      <c r="V270" s="3"/>
      <c r="W270" s="3"/>
      <c r="X270" s="3"/>
      <c r="Y270" s="3"/>
      <c r="Z270" s="3"/>
      <c r="AA270" s="3"/>
      <c r="AB270" s="3"/>
      <c r="AC270" s="3"/>
      <c r="AD270" s="3"/>
      <c r="AE270" s="3"/>
      <c r="AF270" s="3"/>
    </row>
    <row r="271" spans="1:32" ht="15" x14ac:dyDescent="0.25">
      <c r="A271" s="3"/>
      <c r="B271" s="2282" t="s">
        <v>1701</v>
      </c>
      <c r="C271" s="2283">
        <f t="shared" si="64"/>
        <v>0.11</v>
      </c>
      <c r="E271" s="20"/>
      <c r="F271" s="2284"/>
      <c r="G271" s="2284"/>
      <c r="H271" s="3"/>
      <c r="I271" s="3"/>
      <c r="J271" s="3"/>
      <c r="K271" s="3"/>
      <c r="L271" s="3"/>
      <c r="M271" s="3"/>
      <c r="N271" s="3"/>
      <c r="O271" s="3"/>
      <c r="P271" s="3"/>
      <c r="Q271" s="3"/>
      <c r="R271" s="3"/>
      <c r="S271" s="3"/>
      <c r="T271" s="3"/>
      <c r="U271" s="3"/>
      <c r="V271" s="3"/>
      <c r="W271" s="3"/>
      <c r="X271" s="3"/>
      <c r="Y271" s="3"/>
      <c r="Z271" s="3"/>
      <c r="AA271" s="3"/>
      <c r="AB271" s="3"/>
      <c r="AC271" s="3"/>
      <c r="AD271" s="3"/>
      <c r="AE271" s="3"/>
      <c r="AF271" s="3"/>
    </row>
    <row r="272" spans="1:32" ht="15" x14ac:dyDescent="0.25">
      <c r="A272" s="3"/>
      <c r="B272" s="2282" t="s">
        <v>1702</v>
      </c>
      <c r="C272" s="2283">
        <f t="shared" si="64"/>
        <v>0</v>
      </c>
      <c r="E272" s="20"/>
      <c r="F272" s="2284"/>
      <c r="G272" s="2284"/>
      <c r="H272" s="3"/>
      <c r="I272" s="3"/>
      <c r="J272" s="3"/>
      <c r="K272" s="3"/>
      <c r="L272" s="3"/>
      <c r="M272" s="3"/>
      <c r="N272" s="3"/>
      <c r="O272" s="3"/>
      <c r="P272" s="3"/>
      <c r="Q272" s="3"/>
      <c r="R272" s="3"/>
      <c r="S272" s="3"/>
      <c r="T272" s="3"/>
      <c r="U272" s="3"/>
      <c r="V272" s="3"/>
      <c r="W272" s="3"/>
      <c r="X272" s="3"/>
      <c r="Y272" s="3"/>
      <c r="Z272" s="3"/>
      <c r="AA272" s="3"/>
      <c r="AB272" s="3"/>
      <c r="AC272" s="3"/>
      <c r="AD272" s="3"/>
      <c r="AE272" s="3"/>
      <c r="AF272" s="3"/>
    </row>
    <row r="273" spans="1:32" ht="15" x14ac:dyDescent="0.25">
      <c r="A273" s="3"/>
      <c r="B273" s="58" t="s">
        <v>546</v>
      </c>
      <c r="C273" s="2281">
        <f>C274+C275</f>
        <v>-0.93822819744427544</v>
      </c>
      <c r="E273" s="20"/>
      <c r="F273" s="3"/>
      <c r="G273" s="3"/>
      <c r="H273" s="3"/>
      <c r="I273" s="3"/>
      <c r="J273" s="3"/>
      <c r="K273" s="3"/>
      <c r="L273" s="3"/>
      <c r="M273" s="3"/>
      <c r="N273" s="3"/>
      <c r="O273" s="3"/>
      <c r="P273" s="3"/>
      <c r="Q273" s="3"/>
      <c r="R273" s="3"/>
      <c r="S273" s="3"/>
      <c r="T273" s="3"/>
      <c r="U273" s="3"/>
      <c r="V273" s="3"/>
      <c r="W273" s="3"/>
      <c r="X273" s="3"/>
      <c r="Y273" s="3"/>
      <c r="Z273" s="3"/>
      <c r="AA273" s="3"/>
      <c r="AB273" s="3"/>
      <c r="AC273" s="3"/>
      <c r="AD273" s="3"/>
      <c r="AE273" s="3"/>
      <c r="AF273" s="3"/>
    </row>
    <row r="274" spans="1:32" ht="15" x14ac:dyDescent="0.25">
      <c r="A274" s="3"/>
      <c r="B274" s="2282" t="s">
        <v>1705</v>
      </c>
      <c r="C274" s="2283">
        <f>D103</f>
        <v>-0.21822819744427552</v>
      </c>
      <c r="E274" s="20"/>
      <c r="F274" s="3"/>
      <c r="G274" s="3"/>
      <c r="H274" s="3"/>
      <c r="I274" s="3"/>
      <c r="J274" s="3"/>
      <c r="K274" s="3"/>
      <c r="L274" s="3"/>
      <c r="M274" s="3"/>
      <c r="N274" s="3"/>
      <c r="O274" s="3"/>
      <c r="P274" s="3"/>
      <c r="Q274" s="3"/>
      <c r="R274" s="3"/>
      <c r="S274" s="3"/>
      <c r="T274" s="3"/>
      <c r="U274" s="3"/>
      <c r="V274" s="3"/>
      <c r="W274" s="3"/>
      <c r="X274" s="3"/>
      <c r="Y274" s="3"/>
      <c r="Z274" s="3"/>
      <c r="AA274" s="3"/>
      <c r="AB274" s="3"/>
      <c r="AC274" s="3"/>
      <c r="AD274" s="3"/>
      <c r="AE274" s="3"/>
      <c r="AF274" s="3"/>
    </row>
    <row r="275" spans="1:32" ht="15" x14ac:dyDescent="0.25">
      <c r="A275" s="3"/>
      <c r="B275" s="2282" t="s">
        <v>1714</v>
      </c>
      <c r="C275" s="2283">
        <f>D109</f>
        <v>-0.72</v>
      </c>
      <c r="E275" s="20"/>
      <c r="F275" s="3"/>
      <c r="G275" s="3"/>
      <c r="H275" s="3"/>
      <c r="I275" s="3"/>
      <c r="J275" s="3"/>
      <c r="K275" s="3"/>
      <c r="L275" s="3"/>
      <c r="M275" s="3"/>
      <c r="N275" s="3"/>
      <c r="O275" s="3"/>
      <c r="P275" s="3"/>
      <c r="Q275" s="3"/>
      <c r="R275" s="3"/>
      <c r="S275" s="3"/>
      <c r="T275" s="3"/>
      <c r="U275" s="3"/>
      <c r="V275" s="3"/>
      <c r="W275" s="3"/>
      <c r="X275" s="3"/>
      <c r="Y275" s="3"/>
      <c r="Z275" s="3"/>
      <c r="AA275" s="3"/>
      <c r="AB275" s="3"/>
      <c r="AC275" s="3"/>
      <c r="AD275" s="3"/>
      <c r="AE275" s="3"/>
      <c r="AF275" s="3"/>
    </row>
    <row r="276" spans="1:32" ht="15" x14ac:dyDescent="0.25">
      <c r="A276" s="3"/>
      <c r="B276" s="58" t="s">
        <v>548</v>
      </c>
      <c r="C276" s="2281">
        <f>C277</f>
        <v>1.7129969999999998E-2</v>
      </c>
      <c r="E276" s="20"/>
      <c r="F276" s="3"/>
      <c r="G276" s="3"/>
      <c r="H276" s="3"/>
      <c r="I276" s="3"/>
      <c r="J276" s="3"/>
      <c r="K276" s="3"/>
      <c r="L276" s="3"/>
      <c r="M276" s="3"/>
      <c r="N276" s="3"/>
      <c r="O276" s="3"/>
      <c r="P276" s="3"/>
      <c r="Q276" s="3"/>
      <c r="R276" s="3"/>
      <c r="S276" s="3"/>
      <c r="T276" s="3"/>
      <c r="U276" s="3"/>
      <c r="V276" s="3"/>
      <c r="W276" s="3"/>
      <c r="X276" s="3"/>
      <c r="Y276" s="3"/>
      <c r="Z276" s="3"/>
      <c r="AA276" s="3"/>
      <c r="AB276" s="3"/>
      <c r="AC276" s="3"/>
      <c r="AD276" s="3"/>
      <c r="AE276" s="3"/>
      <c r="AF276" s="3"/>
    </row>
    <row r="277" spans="1:32" ht="15" x14ac:dyDescent="0.25">
      <c r="A277" s="3"/>
      <c r="B277" s="2282" t="s">
        <v>18</v>
      </c>
      <c r="C277" s="2283">
        <f>G120</f>
        <v>1.7129969999999998E-2</v>
      </c>
      <c r="E277" s="20"/>
      <c r="F277" s="3"/>
      <c r="G277" s="3"/>
      <c r="H277" s="3"/>
      <c r="I277" s="3"/>
      <c r="J277" s="3"/>
      <c r="K277" s="3"/>
      <c r="L277" s="3"/>
      <c r="M277" s="3"/>
      <c r="N277" s="3"/>
      <c r="O277" s="3"/>
      <c r="P277" s="3"/>
      <c r="Q277" s="3"/>
      <c r="R277" s="3"/>
      <c r="S277" s="3"/>
      <c r="T277" s="3"/>
      <c r="U277" s="3"/>
      <c r="V277" s="3"/>
      <c r="W277" s="3"/>
      <c r="X277" s="3"/>
      <c r="Y277" s="3"/>
      <c r="Z277" s="3"/>
      <c r="AA277" s="3"/>
      <c r="AB277" s="3"/>
      <c r="AC277" s="3"/>
      <c r="AD277" s="3"/>
      <c r="AE277" s="3"/>
      <c r="AF277" s="3"/>
    </row>
    <row r="278" spans="1:32" ht="15" x14ac:dyDescent="0.25">
      <c r="A278" s="3"/>
      <c r="B278" s="1025" t="s">
        <v>554</v>
      </c>
      <c r="C278" s="2281">
        <f>C279+C280</f>
        <v>6.4279439141875214E-2</v>
      </c>
      <c r="E278" s="20"/>
      <c r="F278" s="3"/>
      <c r="G278" s="3"/>
      <c r="H278" s="3"/>
      <c r="I278" s="3"/>
      <c r="J278" s="3"/>
      <c r="K278" s="3"/>
      <c r="L278" s="3"/>
      <c r="M278" s="3"/>
      <c r="N278" s="3"/>
      <c r="O278" s="3"/>
      <c r="P278" s="3"/>
      <c r="Q278" s="3"/>
      <c r="R278" s="3"/>
      <c r="S278" s="3"/>
      <c r="T278" s="3"/>
      <c r="U278" s="3"/>
      <c r="V278" s="3"/>
      <c r="W278" s="3"/>
      <c r="X278" s="3"/>
      <c r="Y278" s="3"/>
      <c r="Z278" s="3"/>
      <c r="AA278" s="3"/>
      <c r="AB278" s="3"/>
      <c r="AC278" s="3"/>
      <c r="AD278" s="3"/>
      <c r="AE278" s="3"/>
      <c r="AF278" s="3"/>
    </row>
    <row r="279" spans="1:32" ht="15" x14ac:dyDescent="0.25">
      <c r="A279" s="3"/>
      <c r="B279" s="2282" t="s">
        <v>14</v>
      </c>
      <c r="C279" s="2283">
        <f>D156</f>
        <v>4.9914436779619209E-2</v>
      </c>
      <c r="E279" s="20"/>
      <c r="F279" s="3"/>
      <c r="G279" s="3"/>
      <c r="H279" s="3"/>
      <c r="I279" s="3"/>
      <c r="J279" s="3"/>
      <c r="K279" s="3"/>
      <c r="L279" s="3"/>
      <c r="M279" s="3"/>
      <c r="N279" s="3"/>
      <c r="O279" s="3"/>
      <c r="P279" s="3"/>
      <c r="Q279" s="3"/>
      <c r="R279" s="3"/>
      <c r="S279" s="3"/>
      <c r="T279" s="3"/>
      <c r="U279" s="3"/>
      <c r="V279" s="3"/>
      <c r="W279" s="3"/>
      <c r="X279" s="3"/>
      <c r="Y279" s="3"/>
      <c r="Z279" s="3"/>
      <c r="AA279" s="3"/>
      <c r="AB279" s="3"/>
      <c r="AC279" s="3"/>
      <c r="AD279" s="3"/>
      <c r="AE279" s="3"/>
      <c r="AF279" s="3"/>
    </row>
    <row r="280" spans="1:32" ht="15" x14ac:dyDescent="0.25">
      <c r="A280" s="3"/>
      <c r="B280" s="2282" t="s">
        <v>18</v>
      </c>
      <c r="C280" s="2283">
        <f>D157</f>
        <v>1.4365002362256001E-2</v>
      </c>
      <c r="E280" s="20"/>
      <c r="F280" s="3"/>
      <c r="G280" s="3"/>
      <c r="H280" s="3"/>
      <c r="I280" s="3"/>
      <c r="J280" s="3"/>
      <c r="K280" s="3"/>
      <c r="L280" s="3"/>
      <c r="M280" s="3"/>
      <c r="N280" s="3"/>
      <c r="O280" s="3"/>
      <c r="P280" s="3"/>
      <c r="Q280" s="3"/>
      <c r="R280" s="3"/>
      <c r="S280" s="3"/>
      <c r="T280" s="3"/>
      <c r="U280" s="3"/>
      <c r="V280" s="3"/>
      <c r="W280" s="3"/>
      <c r="X280" s="3"/>
      <c r="Y280" s="3"/>
      <c r="Z280" s="3"/>
      <c r="AA280" s="3"/>
      <c r="AB280" s="3"/>
      <c r="AC280" s="3"/>
      <c r="AD280" s="3"/>
      <c r="AE280" s="3"/>
      <c r="AF280" s="3"/>
    </row>
    <row r="281" spans="1:32" ht="15" x14ac:dyDescent="0.25">
      <c r="A281" s="3"/>
      <c r="B281" s="1025" t="s">
        <v>1809</v>
      </c>
      <c r="C281" s="2281">
        <f>D165</f>
        <v>-0.58079230100000001</v>
      </c>
      <c r="E281" s="20"/>
      <c r="F281" s="3"/>
      <c r="G281" s="3"/>
      <c r="H281" s="3"/>
      <c r="I281" s="3"/>
      <c r="J281" s="3"/>
      <c r="K281" s="3"/>
      <c r="L281" s="3"/>
      <c r="M281" s="3"/>
      <c r="N281" s="3"/>
      <c r="O281" s="3"/>
      <c r="P281" s="3"/>
      <c r="Q281" s="3"/>
      <c r="R281" s="3"/>
      <c r="S281" s="3"/>
      <c r="T281" s="3"/>
      <c r="U281" s="3"/>
      <c r="V281" s="3"/>
      <c r="W281" s="3"/>
      <c r="X281" s="3"/>
      <c r="Y281" s="3"/>
      <c r="Z281" s="3"/>
      <c r="AA281" s="3"/>
      <c r="AB281" s="3"/>
      <c r="AC281" s="3"/>
      <c r="AD281" s="3"/>
      <c r="AE281" s="3"/>
      <c r="AF281" s="3"/>
    </row>
    <row r="282" spans="1:32" ht="15" x14ac:dyDescent="0.25">
      <c r="A282" s="3"/>
      <c r="B282" s="1025" t="s">
        <v>564</v>
      </c>
      <c r="C282" s="2281">
        <f>SUM(C283:C284)</f>
        <v>-0.24551580765667758</v>
      </c>
      <c r="E282" s="20"/>
      <c r="F282" s="3"/>
      <c r="G282" s="3"/>
      <c r="H282" s="3"/>
      <c r="I282" s="3"/>
      <c r="J282" s="3"/>
      <c r="K282" s="3"/>
      <c r="L282" s="3"/>
      <c r="M282" s="3"/>
      <c r="N282" s="3"/>
      <c r="O282" s="3"/>
      <c r="P282" s="3"/>
      <c r="Q282" s="3"/>
      <c r="R282" s="3"/>
      <c r="S282" s="3"/>
      <c r="T282" s="3"/>
      <c r="U282" s="3"/>
      <c r="V282" s="3"/>
      <c r="W282" s="3"/>
      <c r="X282" s="3"/>
      <c r="Y282" s="3"/>
      <c r="Z282" s="3"/>
      <c r="AA282" s="3"/>
      <c r="AB282" s="3"/>
      <c r="AC282" s="3"/>
      <c r="AD282" s="3"/>
      <c r="AE282" s="3"/>
      <c r="AF282" s="3"/>
    </row>
    <row r="283" spans="1:32" ht="15" x14ac:dyDescent="0.25">
      <c r="A283" s="3"/>
      <c r="B283" s="2282" t="s">
        <v>3</v>
      </c>
      <c r="C283" s="2283">
        <f>C251</f>
        <v>-0.53965288671270739</v>
      </c>
      <c r="E283" s="3"/>
      <c r="F283" s="3"/>
      <c r="G283" s="3"/>
      <c r="H283" s="3"/>
      <c r="I283" s="3"/>
      <c r="J283" s="3"/>
      <c r="K283" s="3"/>
      <c r="L283" s="3"/>
      <c r="M283" s="3"/>
      <c r="N283" s="3"/>
      <c r="O283" s="3"/>
      <c r="P283" s="3"/>
      <c r="Q283" s="3"/>
      <c r="R283" s="3"/>
      <c r="S283" s="3"/>
      <c r="T283" s="3"/>
      <c r="U283" s="3"/>
      <c r="V283" s="3"/>
      <c r="W283" s="3"/>
      <c r="X283" s="3"/>
      <c r="Y283" s="3"/>
      <c r="Z283" s="3"/>
      <c r="AA283" s="3"/>
      <c r="AB283" s="3"/>
      <c r="AC283" s="3"/>
      <c r="AD283" s="3"/>
      <c r="AE283" s="3"/>
      <c r="AF283" s="3"/>
    </row>
    <row r="284" spans="1:32" ht="15" x14ac:dyDescent="0.25">
      <c r="A284" s="3"/>
      <c r="B284" s="2282" t="s">
        <v>14</v>
      </c>
      <c r="C284" s="2283">
        <f>C255</f>
        <v>0.29413707905602982</v>
      </c>
      <c r="E284" s="3"/>
      <c r="F284" s="3"/>
      <c r="G284" s="3"/>
      <c r="H284" s="3"/>
      <c r="I284" s="3"/>
      <c r="J284" s="3"/>
      <c r="K284" s="3"/>
      <c r="L284" s="3"/>
      <c r="M284" s="3"/>
      <c r="N284" s="3"/>
      <c r="O284" s="3"/>
      <c r="P284" s="3"/>
      <c r="Q284" s="3"/>
      <c r="R284" s="3"/>
      <c r="S284" s="3"/>
      <c r="T284" s="3"/>
      <c r="U284" s="3"/>
      <c r="V284" s="3"/>
      <c r="W284" s="3"/>
      <c r="X284" s="3"/>
      <c r="Y284" s="3"/>
      <c r="Z284" s="3"/>
      <c r="AA284" s="3"/>
      <c r="AB284" s="3"/>
      <c r="AC284" s="3"/>
      <c r="AD284" s="3"/>
      <c r="AE284" s="3"/>
      <c r="AF284" s="3"/>
    </row>
    <row r="285" spans="1:32" ht="15" x14ac:dyDescent="0.25">
      <c r="A285" s="3"/>
      <c r="B285" s="2285" t="s">
        <v>1810</v>
      </c>
      <c r="C285" s="2285"/>
      <c r="D285" s="2285"/>
      <c r="E285" s="2285"/>
      <c r="F285" s="2285"/>
      <c r="G285" s="2285"/>
      <c r="H285" s="2285"/>
      <c r="I285" s="2285"/>
      <c r="J285" s="3"/>
      <c r="K285" s="3"/>
      <c r="L285" s="3"/>
      <c r="M285" s="3"/>
      <c r="N285" s="3"/>
      <c r="O285" s="3"/>
      <c r="P285" s="3"/>
      <c r="Q285" s="3"/>
      <c r="R285" s="3"/>
      <c r="S285" s="3"/>
      <c r="T285" s="3"/>
      <c r="U285" s="3"/>
      <c r="V285" s="3"/>
      <c r="W285" s="3"/>
      <c r="X285" s="3"/>
      <c r="Y285" s="3"/>
      <c r="Z285" s="3"/>
      <c r="AA285" s="3"/>
      <c r="AB285" s="3"/>
      <c r="AC285" s="3"/>
      <c r="AD285" s="3"/>
      <c r="AE285" s="3"/>
      <c r="AF285" s="3"/>
    </row>
    <row r="286" spans="1:32" ht="15" x14ac:dyDescent="0.25">
      <c r="A286" s="3"/>
      <c r="B286" s="2285" t="s">
        <v>1811</v>
      </c>
      <c r="C286" s="2285"/>
      <c r="D286" s="2285"/>
      <c r="E286" s="2285"/>
      <c r="F286" s="2285"/>
      <c r="G286" s="2285"/>
      <c r="H286" s="2285"/>
      <c r="I286" s="2286"/>
      <c r="J286" s="3"/>
      <c r="K286" s="3"/>
      <c r="L286" s="3"/>
      <c r="M286" s="3"/>
      <c r="N286" s="3"/>
      <c r="O286" s="3"/>
      <c r="P286" s="3"/>
      <c r="Q286" s="3"/>
      <c r="R286" s="3"/>
      <c r="S286" s="3"/>
      <c r="T286" s="3"/>
      <c r="U286" s="3"/>
      <c r="V286" s="3"/>
      <c r="W286" s="3"/>
      <c r="X286" s="3"/>
      <c r="Y286" s="3"/>
      <c r="Z286" s="3"/>
      <c r="AA286" s="3"/>
      <c r="AB286" s="3"/>
      <c r="AC286" s="3"/>
      <c r="AD286" s="3"/>
      <c r="AE286" s="3"/>
      <c r="AF286" s="3"/>
    </row>
    <row r="287" spans="1:32" ht="15" x14ac:dyDescent="0.25">
      <c r="A287" s="3"/>
      <c r="B287" s="2285" t="s">
        <v>1812</v>
      </c>
      <c r="C287" s="2285"/>
      <c r="D287" s="2285"/>
      <c r="E287" s="2285"/>
      <c r="F287" s="2285"/>
      <c r="G287" s="2285"/>
      <c r="H287" s="2285"/>
      <c r="I287" s="2285"/>
      <c r="J287" s="3"/>
      <c r="K287" s="3"/>
      <c r="L287" s="3"/>
      <c r="M287" s="3"/>
      <c r="N287" s="3"/>
      <c r="O287" s="3"/>
      <c r="P287" s="3"/>
      <c r="Q287" s="3"/>
      <c r="R287" s="3"/>
      <c r="S287" s="3"/>
      <c r="T287" s="3"/>
      <c r="U287" s="3"/>
      <c r="V287" s="3"/>
      <c r="W287" s="3"/>
      <c r="X287" s="3"/>
      <c r="Y287" s="3"/>
      <c r="Z287" s="3"/>
      <c r="AA287" s="3"/>
      <c r="AB287" s="3"/>
      <c r="AC287" s="3"/>
      <c r="AD287" s="3"/>
      <c r="AE287" s="3"/>
      <c r="AF287" s="3"/>
    </row>
    <row r="288" spans="1:32" ht="15" x14ac:dyDescent="0.25">
      <c r="A288" s="3"/>
      <c r="B288" s="4"/>
      <c r="C288" s="4"/>
      <c r="D288" s="4"/>
      <c r="E288" s="4"/>
      <c r="F288" s="4"/>
      <c r="G288" s="4"/>
      <c r="H288" s="4"/>
      <c r="I288" s="4"/>
      <c r="J288" s="3"/>
      <c r="K288" s="3"/>
      <c r="L288" s="3"/>
      <c r="M288" s="3"/>
      <c r="N288" s="3"/>
      <c r="O288" s="3"/>
      <c r="P288" s="3"/>
      <c r="Q288" s="3"/>
      <c r="R288" s="3"/>
      <c r="S288" s="3"/>
      <c r="T288" s="3"/>
      <c r="U288" s="3"/>
      <c r="V288" s="3"/>
      <c r="W288" s="3"/>
      <c r="X288" s="3"/>
      <c r="Y288" s="3"/>
      <c r="Z288" s="3"/>
      <c r="AA288" s="3"/>
      <c r="AB288" s="3"/>
      <c r="AC288" s="3"/>
      <c r="AD288" s="3"/>
      <c r="AE288" s="3"/>
      <c r="AF288" s="3"/>
    </row>
    <row r="289" spans="1:32" ht="15" x14ac:dyDescent="0.25">
      <c r="A289" s="3"/>
      <c r="B289" s="2285"/>
      <c r="C289" s="4"/>
      <c r="D289" s="4"/>
      <c r="E289" s="4"/>
      <c r="F289" s="4"/>
      <c r="G289" s="4"/>
      <c r="H289" s="4"/>
      <c r="I289" s="4"/>
      <c r="J289" s="3"/>
      <c r="K289" s="3"/>
      <c r="L289" s="3"/>
      <c r="M289" s="3"/>
      <c r="N289" s="3"/>
      <c r="O289" s="3"/>
      <c r="P289" s="3"/>
      <c r="Q289" s="3"/>
      <c r="R289" s="3"/>
      <c r="S289" s="3"/>
      <c r="T289" s="3"/>
      <c r="U289" s="3"/>
      <c r="V289" s="3"/>
      <c r="W289" s="3"/>
      <c r="X289" s="3"/>
      <c r="Y289" s="3"/>
      <c r="Z289" s="3"/>
      <c r="AA289" s="3"/>
      <c r="AB289" s="3"/>
      <c r="AC289" s="3"/>
      <c r="AD289" s="3"/>
      <c r="AE289" s="3"/>
      <c r="AF289" s="3"/>
    </row>
    <row r="290" spans="1:32" ht="15" x14ac:dyDescent="0.25">
      <c r="A290" s="3"/>
      <c r="B290" s="2285"/>
      <c r="C290" s="4"/>
      <c r="D290" s="4"/>
      <c r="E290" s="4"/>
      <c r="F290" s="4"/>
      <c r="G290" s="4"/>
      <c r="H290" s="4"/>
      <c r="I290" s="4"/>
      <c r="J290" s="3"/>
      <c r="K290" s="3"/>
      <c r="L290" s="3"/>
      <c r="M290" s="3"/>
      <c r="N290" s="3"/>
      <c r="O290" s="3"/>
      <c r="P290" s="3"/>
      <c r="Q290" s="3"/>
      <c r="R290" s="3"/>
      <c r="S290" s="3"/>
      <c r="T290" s="3"/>
      <c r="U290" s="3"/>
      <c r="V290" s="3"/>
      <c r="W290" s="3"/>
      <c r="X290" s="3"/>
      <c r="Y290" s="3"/>
      <c r="Z290" s="3"/>
      <c r="AA290" s="3"/>
      <c r="AB290" s="3"/>
      <c r="AC290" s="3"/>
      <c r="AD290" s="3"/>
      <c r="AE290" s="3"/>
      <c r="AF290" s="3"/>
    </row>
    <row r="291" spans="1:32" ht="15" x14ac:dyDescent="0.25">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3"/>
      <c r="AC291" s="3"/>
      <c r="AD291" s="3"/>
      <c r="AE291" s="3"/>
      <c r="AF291" s="3"/>
    </row>
    <row r="292" spans="1:32" ht="15" x14ac:dyDescent="0.25">
      <c r="A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3"/>
      <c r="AC292" s="3"/>
      <c r="AD292" s="3"/>
      <c r="AE292" s="3"/>
      <c r="AF292" s="3"/>
    </row>
    <row r="293" spans="1:32" ht="15" x14ac:dyDescent="0.25">
      <c r="A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3"/>
      <c r="AC293" s="3"/>
      <c r="AD293" s="3"/>
      <c r="AE293" s="3"/>
      <c r="AF293" s="3"/>
    </row>
    <row r="294" spans="1:32" ht="15" x14ac:dyDescent="0.25">
      <c r="A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3"/>
      <c r="AC294" s="3"/>
      <c r="AD294" s="3"/>
      <c r="AE294" s="3"/>
      <c r="AF294" s="3"/>
    </row>
    <row r="295" spans="1:32" ht="15" x14ac:dyDescent="0.25">
      <c r="A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3"/>
      <c r="AC295" s="3"/>
      <c r="AD295" s="3"/>
      <c r="AE295" s="3"/>
      <c r="AF295" s="3"/>
    </row>
    <row r="296" spans="1:32" ht="15" x14ac:dyDescent="0.25">
      <c r="A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3"/>
      <c r="AC296" s="3"/>
      <c r="AD296" s="3"/>
      <c r="AE296" s="3"/>
      <c r="AF296" s="3"/>
    </row>
    <row r="297" spans="1:32" ht="15" x14ac:dyDescent="0.25">
      <c r="A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3"/>
      <c r="AC297" s="3"/>
      <c r="AD297" s="3"/>
      <c r="AE297" s="3"/>
      <c r="AF297" s="3"/>
    </row>
    <row r="298" spans="1:32" ht="15" x14ac:dyDescent="0.25">
      <c r="A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3"/>
      <c r="AC298" s="3"/>
      <c r="AD298" s="3"/>
      <c r="AE298" s="3"/>
      <c r="AF298" s="3"/>
    </row>
    <row r="299" spans="1:32" ht="15" x14ac:dyDescent="0.25">
      <c r="A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3"/>
      <c r="AC299" s="3"/>
      <c r="AD299" s="3"/>
      <c r="AE299" s="3"/>
      <c r="AF299" s="3"/>
    </row>
    <row r="300" spans="1:32" ht="15" x14ac:dyDescent="0.25">
      <c r="A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3"/>
      <c r="AC300" s="3"/>
      <c r="AD300" s="3"/>
      <c r="AE300" s="3"/>
      <c r="AF300" s="3"/>
    </row>
    <row r="301" spans="1:32" ht="15" x14ac:dyDescent="0.25">
      <c r="A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3"/>
      <c r="AC301" s="3"/>
      <c r="AD301" s="3"/>
      <c r="AE301" s="3"/>
      <c r="AF301" s="3"/>
    </row>
    <row r="302" spans="1:32" ht="15" x14ac:dyDescent="0.25">
      <c r="A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3"/>
      <c r="AC302" s="3"/>
      <c r="AD302" s="3"/>
      <c r="AE302" s="3"/>
      <c r="AF302" s="3"/>
    </row>
    <row r="303" spans="1:32" ht="15" x14ac:dyDescent="0.25">
      <c r="A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3"/>
      <c r="AC303" s="3"/>
      <c r="AD303" s="3"/>
      <c r="AE303" s="3"/>
      <c r="AF303" s="3"/>
    </row>
    <row r="304" spans="1:32" ht="15" x14ac:dyDescent="0.25">
      <c r="A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3"/>
      <c r="AC304" s="3"/>
      <c r="AD304" s="3"/>
      <c r="AE304" s="3"/>
      <c r="AF304" s="3"/>
    </row>
    <row r="305" spans="1:32" ht="15" x14ac:dyDescent="0.25">
      <c r="A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3"/>
      <c r="AC305" s="3"/>
      <c r="AD305" s="3"/>
      <c r="AE305" s="3"/>
      <c r="AF305" s="3"/>
    </row>
    <row r="306" spans="1:32" ht="15" x14ac:dyDescent="0.25">
      <c r="A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3"/>
      <c r="AC306" s="3"/>
      <c r="AD306" s="3"/>
      <c r="AE306" s="3"/>
      <c r="AF306" s="3"/>
    </row>
    <row r="307" spans="1:32" ht="15" x14ac:dyDescent="0.25">
      <c r="A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3"/>
      <c r="AC307" s="3"/>
      <c r="AD307" s="3"/>
      <c r="AE307" s="3"/>
      <c r="AF307" s="3"/>
    </row>
    <row r="308" spans="1:32" ht="15" x14ac:dyDescent="0.25">
      <c r="A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3"/>
      <c r="AC308" s="3"/>
      <c r="AD308" s="3"/>
      <c r="AE308" s="3"/>
      <c r="AF308" s="3"/>
    </row>
    <row r="309" spans="1:32" ht="15" x14ac:dyDescent="0.25">
      <c r="A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3"/>
      <c r="AC309" s="3"/>
      <c r="AD309" s="3"/>
      <c r="AE309" s="3"/>
      <c r="AF309" s="3"/>
    </row>
    <row r="310" spans="1:32" ht="15" x14ac:dyDescent="0.25">
      <c r="A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3"/>
      <c r="AC310" s="3"/>
      <c r="AD310" s="3"/>
      <c r="AE310" s="3"/>
      <c r="AF310" s="3"/>
    </row>
    <row r="311" spans="1:32" ht="15" x14ac:dyDescent="0.25">
      <c r="A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3"/>
      <c r="AC311" s="3"/>
      <c r="AD311" s="3"/>
      <c r="AE311" s="3"/>
      <c r="AF311" s="3"/>
    </row>
    <row r="312" spans="1:32" ht="15" x14ac:dyDescent="0.25">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3"/>
      <c r="AC312" s="3"/>
      <c r="AD312" s="3"/>
      <c r="AE312" s="3"/>
      <c r="AF312" s="3"/>
    </row>
    <row r="313" spans="1:32" ht="15" x14ac:dyDescent="0.25">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3"/>
      <c r="AC313" s="3"/>
      <c r="AD313" s="3"/>
      <c r="AE313" s="3"/>
      <c r="AF313" s="3"/>
    </row>
    <row r="314" spans="1:32" ht="15" x14ac:dyDescent="0.25">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3"/>
      <c r="AC314" s="3"/>
      <c r="AD314" s="3"/>
      <c r="AE314" s="3"/>
      <c r="AF314" s="3"/>
    </row>
    <row r="315" spans="1:32" ht="15" x14ac:dyDescent="0.25">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3"/>
      <c r="AC315" s="3"/>
      <c r="AD315" s="3"/>
      <c r="AE315" s="3"/>
      <c r="AF315" s="3"/>
    </row>
    <row r="316" spans="1:32" ht="15" x14ac:dyDescent="0.25">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3"/>
      <c r="AC316" s="3"/>
      <c r="AD316" s="3"/>
      <c r="AE316" s="3"/>
      <c r="AF316" s="3"/>
    </row>
    <row r="317" spans="1:32" ht="15" x14ac:dyDescent="0.25">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3"/>
      <c r="AC317" s="3"/>
      <c r="AD317" s="3"/>
      <c r="AE317" s="3"/>
      <c r="AF317" s="3"/>
    </row>
    <row r="318" spans="1:32" ht="15" x14ac:dyDescent="0.25">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3"/>
      <c r="AC318" s="3"/>
      <c r="AD318" s="3"/>
      <c r="AE318" s="3"/>
      <c r="AF318" s="3"/>
    </row>
    <row r="319" spans="1:32" ht="15" x14ac:dyDescent="0.25">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3"/>
      <c r="AC319" s="3"/>
      <c r="AD319" s="3"/>
      <c r="AE319" s="3"/>
      <c r="AF319" s="3"/>
    </row>
    <row r="320" spans="1:32" ht="15" x14ac:dyDescent="0.25">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3"/>
      <c r="AC320" s="3"/>
      <c r="AD320" s="3"/>
      <c r="AE320" s="3"/>
      <c r="AF320" s="3"/>
    </row>
    <row r="321" spans="1:32" ht="15" x14ac:dyDescent="0.25">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3"/>
      <c r="AC321" s="3"/>
      <c r="AD321" s="3"/>
      <c r="AE321" s="3"/>
      <c r="AF321" s="3"/>
    </row>
    <row r="322" spans="1:32" ht="15" x14ac:dyDescent="0.25">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3"/>
      <c r="AC322" s="3"/>
      <c r="AD322" s="3"/>
      <c r="AE322" s="3"/>
      <c r="AF322" s="3"/>
    </row>
    <row r="323" spans="1:32" ht="15" x14ac:dyDescent="0.25">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3"/>
      <c r="AC323" s="3"/>
      <c r="AD323" s="3"/>
      <c r="AE323" s="3"/>
      <c r="AF323" s="3"/>
    </row>
    <row r="324" spans="1:32" ht="15" x14ac:dyDescent="0.25">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3"/>
      <c r="AC324" s="3"/>
      <c r="AD324" s="3"/>
      <c r="AE324" s="3"/>
      <c r="AF324" s="3"/>
    </row>
    <row r="325" spans="1:32" ht="15" x14ac:dyDescent="0.25">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3"/>
      <c r="AC325" s="3"/>
      <c r="AD325" s="3"/>
      <c r="AE325" s="3"/>
      <c r="AF325" s="3"/>
    </row>
    <row r="326" spans="1:32" ht="15" x14ac:dyDescent="0.25">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3"/>
      <c r="AC326" s="3"/>
      <c r="AD326" s="3"/>
      <c r="AE326" s="3"/>
      <c r="AF326" s="3"/>
    </row>
    <row r="327" spans="1:32" ht="15" x14ac:dyDescent="0.25">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3"/>
      <c r="AC327" s="3"/>
      <c r="AD327" s="3"/>
      <c r="AE327" s="3"/>
      <c r="AF327" s="3"/>
    </row>
    <row r="328" spans="1:32" ht="15" x14ac:dyDescent="0.25">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3"/>
      <c r="AC328" s="3"/>
      <c r="AD328" s="3"/>
      <c r="AE328" s="3"/>
      <c r="AF328" s="3"/>
    </row>
    <row r="329" spans="1:32" ht="15" x14ac:dyDescent="0.25">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3"/>
      <c r="AC329" s="3"/>
      <c r="AD329" s="3"/>
      <c r="AE329" s="3"/>
      <c r="AF329" s="3"/>
    </row>
    <row r="330" spans="1:32" ht="15" x14ac:dyDescent="0.25">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3"/>
      <c r="AC330" s="3"/>
      <c r="AD330" s="3"/>
      <c r="AE330" s="3"/>
      <c r="AF330" s="3"/>
    </row>
    <row r="331" spans="1:32" ht="15" x14ac:dyDescent="0.25">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3"/>
      <c r="AC331" s="3"/>
      <c r="AD331" s="3"/>
      <c r="AE331" s="3"/>
      <c r="AF331" s="3"/>
    </row>
    <row r="332" spans="1:32" ht="15" x14ac:dyDescent="0.25">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3"/>
      <c r="AC332" s="3"/>
      <c r="AD332" s="3"/>
      <c r="AE332" s="3"/>
      <c r="AF332" s="3"/>
    </row>
    <row r="333" spans="1:32" ht="15" x14ac:dyDescent="0.25">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3"/>
      <c r="AC333" s="3"/>
      <c r="AD333" s="3"/>
      <c r="AE333" s="3"/>
      <c r="AF333" s="3"/>
    </row>
    <row r="334" spans="1:32" ht="15" x14ac:dyDescent="0.25">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3"/>
      <c r="AC334" s="3"/>
      <c r="AD334" s="3"/>
      <c r="AE334" s="3"/>
      <c r="AF334" s="3"/>
    </row>
    <row r="335" spans="1:32" ht="15" x14ac:dyDescent="0.25">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3"/>
      <c r="AC335" s="3"/>
      <c r="AD335" s="3"/>
      <c r="AE335" s="3"/>
      <c r="AF335" s="3"/>
    </row>
    <row r="336" spans="1:32" ht="15" x14ac:dyDescent="0.25">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3"/>
      <c r="AC336" s="3"/>
      <c r="AD336" s="3"/>
      <c r="AE336" s="3"/>
      <c r="AF336" s="3"/>
    </row>
    <row r="337" spans="1:32" ht="15" x14ac:dyDescent="0.25">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3"/>
      <c r="AC337" s="3"/>
      <c r="AD337" s="3"/>
      <c r="AE337" s="3"/>
      <c r="AF337" s="3"/>
    </row>
    <row r="338" spans="1:32" ht="15" x14ac:dyDescent="0.25">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3"/>
      <c r="AC338" s="3"/>
      <c r="AD338" s="3"/>
      <c r="AE338" s="3"/>
      <c r="AF338" s="3"/>
    </row>
    <row r="339" spans="1:32" ht="15" x14ac:dyDescent="0.25">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3"/>
      <c r="AC339" s="3"/>
      <c r="AD339" s="3"/>
      <c r="AE339" s="3"/>
      <c r="AF339" s="3"/>
    </row>
    <row r="340" spans="1:32" ht="15" x14ac:dyDescent="0.25">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3"/>
      <c r="AC340" s="3"/>
      <c r="AD340" s="3"/>
      <c r="AE340" s="3"/>
      <c r="AF340" s="3"/>
    </row>
    <row r="341" spans="1:32" ht="15" x14ac:dyDescent="0.25">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3"/>
      <c r="AC341" s="3"/>
      <c r="AD341" s="3"/>
      <c r="AE341" s="3"/>
      <c r="AF341" s="3"/>
    </row>
    <row r="342" spans="1:32" ht="15" x14ac:dyDescent="0.25">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3"/>
      <c r="AC342" s="3"/>
      <c r="AD342" s="3"/>
      <c r="AE342" s="3"/>
      <c r="AF342" s="3"/>
    </row>
    <row r="343" spans="1:32" ht="15" x14ac:dyDescent="0.25">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3"/>
      <c r="AC343" s="3"/>
      <c r="AD343" s="3"/>
      <c r="AE343" s="3"/>
      <c r="AF343" s="3"/>
    </row>
    <row r="344" spans="1:32" ht="15" x14ac:dyDescent="0.25">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3"/>
      <c r="AC344" s="3"/>
      <c r="AD344" s="3"/>
      <c r="AE344" s="3"/>
      <c r="AF344" s="3"/>
    </row>
    <row r="345" spans="1:32" ht="15" x14ac:dyDescent="0.25">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3"/>
      <c r="AC345" s="3"/>
      <c r="AD345" s="3"/>
      <c r="AE345" s="3"/>
      <c r="AF345" s="3"/>
    </row>
    <row r="346" spans="1:32" ht="15" x14ac:dyDescent="0.25">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3"/>
      <c r="AC346" s="3"/>
      <c r="AD346" s="3"/>
      <c r="AE346" s="3"/>
      <c r="AF346" s="3"/>
    </row>
    <row r="347" spans="1:32" ht="15" x14ac:dyDescent="0.25">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3"/>
      <c r="AC347" s="3"/>
      <c r="AD347" s="3"/>
      <c r="AE347" s="3"/>
      <c r="AF347" s="3"/>
    </row>
    <row r="348" spans="1:32" ht="15" x14ac:dyDescent="0.25">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3"/>
      <c r="AC348" s="3"/>
      <c r="AD348" s="3"/>
      <c r="AE348" s="3"/>
      <c r="AF348" s="3"/>
    </row>
    <row r="349" spans="1:32" ht="15" x14ac:dyDescent="0.25">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3"/>
      <c r="AC349" s="3"/>
      <c r="AD349" s="3"/>
      <c r="AE349" s="3"/>
      <c r="AF349" s="3"/>
    </row>
    <row r="350" spans="1:32" ht="15" x14ac:dyDescent="0.25">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3"/>
      <c r="AC350" s="3"/>
      <c r="AD350" s="3"/>
      <c r="AE350" s="3"/>
      <c r="AF350" s="3"/>
    </row>
    <row r="351" spans="1:32" ht="15" x14ac:dyDescent="0.25">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3"/>
      <c r="AC351" s="3"/>
      <c r="AD351" s="3"/>
      <c r="AE351" s="3"/>
      <c r="AF351" s="3"/>
    </row>
    <row r="352" spans="1:32" ht="15" x14ac:dyDescent="0.25">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3"/>
      <c r="AC352" s="3"/>
      <c r="AD352" s="3"/>
      <c r="AE352" s="3"/>
      <c r="AF352" s="3"/>
    </row>
    <row r="353" spans="1:32" ht="15" x14ac:dyDescent="0.25">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3"/>
      <c r="AC353" s="3"/>
      <c r="AD353" s="3"/>
      <c r="AE353" s="3"/>
      <c r="AF353" s="3"/>
    </row>
    <row r="354" spans="1:32" ht="15" x14ac:dyDescent="0.25">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3"/>
      <c r="AC354" s="3"/>
      <c r="AD354" s="3"/>
      <c r="AE354" s="3"/>
      <c r="AF354" s="3"/>
    </row>
    <row r="355" spans="1:32" ht="15" x14ac:dyDescent="0.25">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3"/>
      <c r="AC355" s="3"/>
      <c r="AD355" s="3"/>
      <c r="AE355" s="3"/>
      <c r="AF355" s="3"/>
    </row>
    <row r="356" spans="1:32" ht="15" x14ac:dyDescent="0.25">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3"/>
      <c r="AC356" s="3"/>
      <c r="AD356" s="3"/>
      <c r="AE356" s="3"/>
      <c r="AF356" s="3"/>
    </row>
    <row r="357" spans="1:32" ht="15" x14ac:dyDescent="0.25">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3"/>
      <c r="AC357" s="3"/>
      <c r="AD357" s="3"/>
      <c r="AE357" s="3"/>
      <c r="AF357" s="3"/>
    </row>
    <row r="358" spans="1:32" ht="15" x14ac:dyDescent="0.25">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3"/>
      <c r="AC358" s="3"/>
      <c r="AD358" s="3"/>
      <c r="AE358" s="3"/>
      <c r="AF358" s="3"/>
    </row>
    <row r="359" spans="1:32" ht="15" x14ac:dyDescent="0.25">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3"/>
      <c r="AC359" s="3"/>
      <c r="AD359" s="3"/>
      <c r="AE359" s="3"/>
      <c r="AF359" s="3"/>
    </row>
    <row r="360" spans="1:32" ht="15" x14ac:dyDescent="0.25">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3"/>
      <c r="AC360" s="3"/>
      <c r="AD360" s="3"/>
      <c r="AE360" s="3"/>
      <c r="AF360" s="3"/>
    </row>
    <row r="361" spans="1:32" ht="15" x14ac:dyDescent="0.25">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3"/>
      <c r="AC361" s="3"/>
      <c r="AD361" s="3"/>
      <c r="AE361" s="3"/>
      <c r="AF361" s="3"/>
    </row>
    <row r="362" spans="1:32" ht="15" x14ac:dyDescent="0.25">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row>
    <row r="363" spans="1:32" ht="15" x14ac:dyDescent="0.25">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3"/>
      <c r="AC363" s="3"/>
      <c r="AD363" s="3"/>
      <c r="AE363" s="3"/>
      <c r="AF363" s="3"/>
    </row>
    <row r="364" spans="1:32" ht="15" x14ac:dyDescent="0.25">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3"/>
      <c r="AC364" s="3"/>
      <c r="AD364" s="3"/>
      <c r="AE364" s="3"/>
      <c r="AF364" s="3"/>
    </row>
    <row r="365" spans="1:32" ht="15" x14ac:dyDescent="0.25">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3"/>
      <c r="AC365" s="3"/>
      <c r="AD365" s="3"/>
      <c r="AE365" s="3"/>
      <c r="AF365" s="3"/>
    </row>
    <row r="366" spans="1:32" ht="15" x14ac:dyDescent="0.25">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3"/>
      <c r="AC366" s="3"/>
      <c r="AD366" s="3"/>
      <c r="AE366" s="3"/>
      <c r="AF366" s="3"/>
    </row>
    <row r="367" spans="1:32" ht="15" x14ac:dyDescent="0.25">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3"/>
      <c r="AC367" s="3"/>
      <c r="AD367" s="3"/>
      <c r="AE367" s="3"/>
      <c r="AF367" s="3"/>
    </row>
    <row r="368" spans="1:32" ht="15" x14ac:dyDescent="0.25">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3"/>
      <c r="AC368" s="3"/>
      <c r="AD368" s="3"/>
      <c r="AE368" s="3"/>
      <c r="AF368" s="3"/>
    </row>
    <row r="369" spans="1:32" ht="15" x14ac:dyDescent="0.25">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3"/>
      <c r="AC369" s="3"/>
      <c r="AD369" s="3"/>
      <c r="AE369" s="3"/>
      <c r="AF369" s="3"/>
    </row>
    <row r="370" spans="1:32" ht="15" x14ac:dyDescent="0.25">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3"/>
      <c r="AC370" s="3"/>
      <c r="AD370" s="3"/>
      <c r="AE370" s="3"/>
      <c r="AF370" s="3"/>
    </row>
    <row r="371" spans="1:32" ht="15" x14ac:dyDescent="0.25">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3"/>
      <c r="AC371" s="3"/>
      <c r="AD371" s="3"/>
      <c r="AE371" s="3"/>
      <c r="AF371" s="3"/>
    </row>
    <row r="372" spans="1:32" ht="15" x14ac:dyDescent="0.25">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3"/>
      <c r="AC372" s="3"/>
      <c r="AD372" s="3"/>
      <c r="AE372" s="3"/>
      <c r="AF372" s="3"/>
    </row>
    <row r="373" spans="1:32" ht="15" x14ac:dyDescent="0.25">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3"/>
      <c r="AC373" s="3"/>
      <c r="AD373" s="3"/>
      <c r="AE373" s="3"/>
      <c r="AF373" s="3"/>
    </row>
    <row r="374" spans="1:32" ht="15" x14ac:dyDescent="0.25">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3"/>
      <c r="AC374" s="3"/>
      <c r="AD374" s="3"/>
      <c r="AE374" s="3"/>
      <c r="AF374" s="3"/>
    </row>
    <row r="375" spans="1:32" ht="15" x14ac:dyDescent="0.25">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3"/>
      <c r="AC375" s="3"/>
      <c r="AD375" s="3"/>
      <c r="AE375" s="3"/>
      <c r="AF375" s="3"/>
    </row>
    <row r="376" spans="1:32" ht="15" x14ac:dyDescent="0.25">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3"/>
      <c r="AC376" s="3"/>
      <c r="AD376" s="3"/>
      <c r="AE376" s="3"/>
      <c r="AF376" s="3"/>
    </row>
    <row r="377" spans="1:32" ht="15" x14ac:dyDescent="0.25">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3"/>
      <c r="AC377" s="3"/>
      <c r="AD377" s="3"/>
      <c r="AE377" s="3"/>
      <c r="AF377" s="3"/>
    </row>
    <row r="378" spans="1:32" ht="15" x14ac:dyDescent="0.25">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3"/>
      <c r="AC378" s="3"/>
      <c r="AD378" s="3"/>
      <c r="AE378" s="3"/>
      <c r="AF378" s="3"/>
    </row>
    <row r="379" spans="1:32" ht="15" x14ac:dyDescent="0.25">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3"/>
      <c r="AC379" s="3"/>
      <c r="AD379" s="3"/>
      <c r="AE379" s="3"/>
      <c r="AF379" s="3"/>
    </row>
    <row r="380" spans="1:32" ht="15" x14ac:dyDescent="0.25">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3"/>
      <c r="AC380" s="3"/>
      <c r="AD380" s="3"/>
      <c r="AE380" s="3"/>
      <c r="AF380" s="3"/>
    </row>
    <row r="381" spans="1:32" ht="15" x14ac:dyDescent="0.25">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3"/>
      <c r="AC381" s="3"/>
      <c r="AD381" s="3"/>
      <c r="AE381" s="3"/>
      <c r="AF381" s="3"/>
    </row>
    <row r="382" spans="1:32" ht="15" x14ac:dyDescent="0.25">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3"/>
      <c r="AC382" s="3"/>
      <c r="AD382" s="3"/>
      <c r="AE382" s="3"/>
      <c r="AF382" s="3"/>
    </row>
    <row r="383" spans="1:32" ht="15" x14ac:dyDescent="0.25">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3"/>
      <c r="AC383" s="3"/>
      <c r="AD383" s="3"/>
      <c r="AE383" s="3"/>
      <c r="AF383" s="3"/>
    </row>
    <row r="384" spans="1:32" ht="15" x14ac:dyDescent="0.25">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3"/>
      <c r="AC384" s="3"/>
      <c r="AD384" s="3"/>
      <c r="AE384" s="3"/>
      <c r="AF384" s="3"/>
    </row>
    <row r="385" spans="1:32" ht="15" x14ac:dyDescent="0.25">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3"/>
      <c r="AC385" s="3"/>
      <c r="AD385" s="3"/>
      <c r="AE385" s="3"/>
      <c r="AF385" s="3"/>
    </row>
    <row r="386" spans="1:32" ht="15" x14ac:dyDescent="0.25">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3"/>
      <c r="AC386" s="3"/>
      <c r="AD386" s="3"/>
      <c r="AE386" s="3"/>
      <c r="AF386" s="3"/>
    </row>
    <row r="387" spans="1:32" ht="15" x14ac:dyDescent="0.25">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3"/>
      <c r="AC387" s="3"/>
      <c r="AD387" s="3"/>
      <c r="AE387" s="3"/>
      <c r="AF387" s="3"/>
    </row>
    <row r="388" spans="1:32" ht="15" x14ac:dyDescent="0.25">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3"/>
      <c r="AC388" s="3"/>
      <c r="AD388" s="3"/>
      <c r="AE388" s="3"/>
      <c r="AF388" s="3"/>
    </row>
    <row r="389" spans="1:32" ht="15" x14ac:dyDescent="0.25">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3"/>
      <c r="AC389" s="3"/>
      <c r="AD389" s="3"/>
      <c r="AE389" s="3"/>
      <c r="AF389" s="3"/>
    </row>
    <row r="390" spans="1:32" ht="15" x14ac:dyDescent="0.25">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3"/>
      <c r="AC390" s="3"/>
      <c r="AD390" s="3"/>
      <c r="AE390" s="3"/>
      <c r="AF390" s="3"/>
    </row>
    <row r="391" spans="1:32" ht="15" x14ac:dyDescent="0.25">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3"/>
      <c r="AC391" s="3"/>
      <c r="AD391" s="3"/>
      <c r="AE391" s="3"/>
      <c r="AF391" s="3"/>
    </row>
    <row r="392" spans="1:32" ht="15" x14ac:dyDescent="0.25">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3"/>
      <c r="AC392" s="3"/>
      <c r="AD392" s="3"/>
      <c r="AE392" s="3"/>
      <c r="AF392" s="3"/>
    </row>
    <row r="393" spans="1:32" ht="15" x14ac:dyDescent="0.25">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3"/>
      <c r="AC393" s="3"/>
      <c r="AD393" s="3"/>
      <c r="AE393" s="3"/>
      <c r="AF393" s="3"/>
    </row>
    <row r="394" spans="1:32" ht="15" x14ac:dyDescent="0.25">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3"/>
      <c r="AC394" s="3"/>
      <c r="AD394" s="3"/>
      <c r="AE394" s="3"/>
      <c r="AF394" s="3"/>
    </row>
    <row r="395" spans="1:32" ht="15" x14ac:dyDescent="0.25">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3"/>
      <c r="AC395" s="3"/>
      <c r="AD395" s="3"/>
      <c r="AE395" s="3"/>
      <c r="AF395" s="3"/>
    </row>
    <row r="396" spans="1:32" ht="15" x14ac:dyDescent="0.25">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3"/>
      <c r="AC396" s="3"/>
      <c r="AD396" s="3"/>
      <c r="AE396" s="3"/>
      <c r="AF396" s="3"/>
    </row>
    <row r="397" spans="1:32" ht="15" x14ac:dyDescent="0.25">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3"/>
      <c r="AC397" s="3"/>
      <c r="AD397" s="3"/>
      <c r="AE397" s="3"/>
      <c r="AF397" s="3"/>
    </row>
    <row r="398" spans="1:32" ht="15" x14ac:dyDescent="0.25">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3"/>
      <c r="AC398" s="3"/>
      <c r="AD398" s="3"/>
      <c r="AE398" s="3"/>
      <c r="AF398" s="3"/>
    </row>
    <row r="399" spans="1:32" ht="15" x14ac:dyDescent="0.25">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3"/>
      <c r="AC399" s="3"/>
      <c r="AD399" s="3"/>
      <c r="AE399" s="3"/>
      <c r="AF399" s="3"/>
    </row>
    <row r="400" spans="1:32" ht="15" x14ac:dyDescent="0.25">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3"/>
      <c r="AC400" s="3"/>
      <c r="AD400" s="3"/>
      <c r="AE400" s="3"/>
      <c r="AF400" s="3"/>
    </row>
    <row r="401" spans="1:32" ht="15" x14ac:dyDescent="0.25">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3"/>
      <c r="AC401" s="3"/>
      <c r="AD401" s="3"/>
      <c r="AE401" s="3"/>
      <c r="AF401" s="3"/>
    </row>
    <row r="402" spans="1:32" ht="15" x14ac:dyDescent="0.25">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3"/>
      <c r="AC402" s="3"/>
      <c r="AD402" s="3"/>
      <c r="AE402" s="3"/>
      <c r="AF402" s="3"/>
    </row>
    <row r="403" spans="1:32" ht="15" x14ac:dyDescent="0.25">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3"/>
      <c r="AC403" s="3"/>
      <c r="AD403" s="3"/>
      <c r="AE403" s="3"/>
      <c r="AF403" s="3"/>
    </row>
    <row r="404" spans="1:32" ht="15" x14ac:dyDescent="0.25">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3"/>
      <c r="AC404" s="3"/>
      <c r="AD404" s="3"/>
      <c r="AE404" s="3"/>
      <c r="AF404" s="3"/>
    </row>
    <row r="405" spans="1:32" ht="15" x14ac:dyDescent="0.25">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3"/>
      <c r="AC405" s="3"/>
      <c r="AD405" s="3"/>
      <c r="AE405" s="3"/>
      <c r="AF405" s="3"/>
    </row>
    <row r="406" spans="1:32" ht="15" x14ac:dyDescent="0.25">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3"/>
      <c r="AC406" s="3"/>
      <c r="AD406" s="3"/>
      <c r="AE406" s="3"/>
      <c r="AF406" s="3"/>
    </row>
    <row r="407" spans="1:32" ht="15" x14ac:dyDescent="0.25">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3"/>
      <c r="AC407" s="3"/>
      <c r="AD407" s="3"/>
      <c r="AE407" s="3"/>
      <c r="AF407" s="3"/>
    </row>
    <row r="408" spans="1:32" ht="15" x14ac:dyDescent="0.25">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3"/>
      <c r="AC408" s="3"/>
      <c r="AD408" s="3"/>
      <c r="AE408" s="3"/>
      <c r="AF408" s="3"/>
    </row>
    <row r="409" spans="1:32" ht="15" x14ac:dyDescent="0.25">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3"/>
      <c r="AC409" s="3"/>
      <c r="AD409" s="3"/>
      <c r="AE409" s="3"/>
      <c r="AF409" s="3"/>
    </row>
    <row r="410" spans="1:32" ht="15" x14ac:dyDescent="0.25">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3"/>
      <c r="AC410" s="3"/>
      <c r="AD410" s="3"/>
      <c r="AE410" s="3"/>
      <c r="AF410" s="3"/>
    </row>
    <row r="411" spans="1:32" ht="15" x14ac:dyDescent="0.25">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3"/>
      <c r="AC411" s="3"/>
      <c r="AD411" s="3"/>
      <c r="AE411" s="3"/>
      <c r="AF411" s="3"/>
    </row>
    <row r="412" spans="1:32" ht="15" x14ac:dyDescent="0.25">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3"/>
      <c r="AC412" s="3"/>
      <c r="AD412" s="3"/>
      <c r="AE412" s="3"/>
      <c r="AF412" s="3"/>
    </row>
    <row r="413" spans="1:32" ht="15" x14ac:dyDescent="0.25">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3"/>
      <c r="AC413" s="3"/>
      <c r="AD413" s="3"/>
      <c r="AE413" s="3"/>
      <c r="AF413" s="3"/>
    </row>
    <row r="414" spans="1:32" ht="15" x14ac:dyDescent="0.25">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3"/>
      <c r="AC414" s="3"/>
      <c r="AD414" s="3"/>
      <c r="AE414" s="3"/>
      <c r="AF414" s="3"/>
    </row>
    <row r="415" spans="1:32" ht="15" x14ac:dyDescent="0.25">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3"/>
      <c r="AC415" s="3"/>
      <c r="AD415" s="3"/>
      <c r="AE415" s="3"/>
      <c r="AF415" s="3"/>
    </row>
    <row r="416" spans="1:32" ht="15" x14ac:dyDescent="0.25">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3"/>
      <c r="AC416" s="3"/>
      <c r="AD416" s="3"/>
      <c r="AE416" s="3"/>
      <c r="AF416" s="3"/>
    </row>
    <row r="417" spans="1:32" ht="15" x14ac:dyDescent="0.25">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3"/>
      <c r="AC417" s="3"/>
      <c r="AD417" s="3"/>
      <c r="AE417" s="3"/>
      <c r="AF417" s="3"/>
    </row>
    <row r="418" spans="1:32" ht="15" x14ac:dyDescent="0.25">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3"/>
      <c r="AC418" s="3"/>
      <c r="AD418" s="3"/>
      <c r="AE418" s="3"/>
      <c r="AF418" s="3"/>
    </row>
    <row r="419" spans="1:32" ht="15" x14ac:dyDescent="0.25">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3"/>
      <c r="AC419" s="3"/>
      <c r="AD419" s="3"/>
      <c r="AE419" s="3"/>
      <c r="AF419" s="3"/>
    </row>
    <row r="420" spans="1:32" ht="15" x14ac:dyDescent="0.25">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3"/>
      <c r="AC420" s="3"/>
      <c r="AD420" s="3"/>
      <c r="AE420" s="3"/>
      <c r="AF420" s="3"/>
    </row>
    <row r="421" spans="1:32" ht="15" x14ac:dyDescent="0.25">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3"/>
      <c r="AC421" s="3"/>
      <c r="AD421" s="3"/>
      <c r="AE421" s="3"/>
      <c r="AF421" s="3"/>
    </row>
    <row r="422" spans="1:32" ht="15" x14ac:dyDescent="0.25">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3"/>
      <c r="AC422" s="3"/>
      <c r="AD422" s="3"/>
      <c r="AE422" s="3"/>
      <c r="AF422" s="3"/>
    </row>
    <row r="423" spans="1:32" ht="15" x14ac:dyDescent="0.25">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3"/>
      <c r="AC423" s="3"/>
      <c r="AD423" s="3"/>
      <c r="AE423" s="3"/>
      <c r="AF423" s="3"/>
    </row>
    <row r="424" spans="1:32" ht="15" x14ac:dyDescent="0.25">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3"/>
      <c r="AC424" s="3"/>
      <c r="AD424" s="3"/>
      <c r="AE424" s="3"/>
      <c r="AF424" s="3"/>
    </row>
    <row r="425" spans="1:32" ht="15" x14ac:dyDescent="0.25">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3"/>
      <c r="AC425" s="3"/>
      <c r="AD425" s="3"/>
      <c r="AE425" s="3"/>
      <c r="AF425" s="3"/>
    </row>
    <row r="426" spans="1:32" ht="15" x14ac:dyDescent="0.25">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3"/>
      <c r="AC426" s="3"/>
      <c r="AD426" s="3"/>
      <c r="AE426" s="3"/>
      <c r="AF426" s="3"/>
    </row>
    <row r="427" spans="1:32" ht="15" x14ac:dyDescent="0.25">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3"/>
      <c r="AC427" s="3"/>
      <c r="AD427" s="3"/>
      <c r="AE427" s="3"/>
      <c r="AF427" s="3"/>
    </row>
    <row r="428" spans="1:32" ht="15" x14ac:dyDescent="0.25">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3"/>
      <c r="AC428" s="3"/>
      <c r="AD428" s="3"/>
      <c r="AE428" s="3"/>
      <c r="AF428" s="3"/>
    </row>
    <row r="429" spans="1:32" ht="15" x14ac:dyDescent="0.25">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3"/>
      <c r="AC429" s="3"/>
      <c r="AD429" s="3"/>
      <c r="AE429" s="3"/>
      <c r="AF429" s="3"/>
    </row>
    <row r="430" spans="1:32" ht="15" x14ac:dyDescent="0.25">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3"/>
      <c r="AC430" s="3"/>
      <c r="AD430" s="3"/>
      <c r="AE430" s="3"/>
      <c r="AF430" s="3"/>
    </row>
    <row r="431" spans="1:32" ht="15" x14ac:dyDescent="0.25">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3"/>
      <c r="AC431" s="3"/>
      <c r="AD431" s="3"/>
      <c r="AE431" s="3"/>
      <c r="AF431" s="3"/>
    </row>
    <row r="432" spans="1:32" ht="15" x14ac:dyDescent="0.25">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3"/>
      <c r="AC432" s="3"/>
      <c r="AD432" s="3"/>
      <c r="AE432" s="3"/>
      <c r="AF432" s="3"/>
    </row>
    <row r="433" spans="1:32" ht="15" x14ac:dyDescent="0.25">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3"/>
      <c r="AC433" s="3"/>
      <c r="AD433" s="3"/>
      <c r="AE433" s="3"/>
      <c r="AF433" s="3"/>
    </row>
    <row r="434" spans="1:32" ht="15" x14ac:dyDescent="0.25">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3"/>
      <c r="AC434" s="3"/>
      <c r="AD434" s="3"/>
      <c r="AE434" s="3"/>
      <c r="AF434" s="3"/>
    </row>
    <row r="435" spans="1:32" ht="15" x14ac:dyDescent="0.25">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3"/>
      <c r="AC435" s="3"/>
      <c r="AD435" s="3"/>
      <c r="AE435" s="3"/>
      <c r="AF435" s="3"/>
    </row>
    <row r="436" spans="1:32" ht="15" x14ac:dyDescent="0.25">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3"/>
      <c r="AC436" s="3"/>
      <c r="AD436" s="3"/>
      <c r="AE436" s="3"/>
      <c r="AF436" s="3"/>
    </row>
    <row r="437" spans="1:32" ht="15" x14ac:dyDescent="0.25">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3"/>
      <c r="AC437" s="3"/>
      <c r="AD437" s="3"/>
      <c r="AE437" s="3"/>
      <c r="AF437" s="3"/>
    </row>
    <row r="438" spans="1:32" ht="15" x14ac:dyDescent="0.25">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3"/>
      <c r="AC438" s="3"/>
      <c r="AD438" s="3"/>
      <c r="AE438" s="3"/>
      <c r="AF438" s="3"/>
    </row>
    <row r="439" spans="1:32" ht="15" x14ac:dyDescent="0.25">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3"/>
      <c r="AC439" s="3"/>
      <c r="AD439" s="3"/>
      <c r="AE439" s="3"/>
      <c r="AF439" s="3"/>
    </row>
    <row r="440" spans="1:32" ht="15" x14ac:dyDescent="0.25">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3"/>
      <c r="AC440" s="3"/>
      <c r="AD440" s="3"/>
      <c r="AE440" s="3"/>
      <c r="AF440" s="3"/>
    </row>
    <row r="441" spans="1:32" ht="15" x14ac:dyDescent="0.25">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3"/>
      <c r="AC441" s="3"/>
      <c r="AD441" s="3"/>
      <c r="AE441" s="3"/>
      <c r="AF441" s="3"/>
    </row>
    <row r="442" spans="1:32" ht="15" x14ac:dyDescent="0.25">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3"/>
      <c r="AC442" s="3"/>
      <c r="AD442" s="3"/>
      <c r="AE442" s="3"/>
      <c r="AF442" s="3"/>
    </row>
    <row r="443" spans="1:32" ht="15" x14ac:dyDescent="0.25">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3"/>
      <c r="AC443" s="3"/>
      <c r="AD443" s="3"/>
      <c r="AE443" s="3"/>
      <c r="AF443" s="3"/>
    </row>
    <row r="444" spans="1:32" ht="15" x14ac:dyDescent="0.25">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3"/>
      <c r="AC444" s="3"/>
      <c r="AD444" s="3"/>
      <c r="AE444" s="3"/>
      <c r="AF444" s="3"/>
    </row>
    <row r="445" spans="1:32" ht="15" x14ac:dyDescent="0.25">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3"/>
      <c r="AC445" s="3"/>
      <c r="AD445" s="3"/>
      <c r="AE445" s="3"/>
      <c r="AF445" s="3"/>
    </row>
    <row r="446" spans="1:32" ht="15" x14ac:dyDescent="0.25">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3"/>
      <c r="AC446" s="3"/>
      <c r="AD446" s="3"/>
      <c r="AE446" s="3"/>
      <c r="AF446" s="3"/>
    </row>
    <row r="447" spans="1:32" ht="15" x14ac:dyDescent="0.25">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3"/>
      <c r="AC447" s="3"/>
      <c r="AD447" s="3"/>
      <c r="AE447" s="3"/>
      <c r="AF447" s="3"/>
    </row>
    <row r="448" spans="1:32" ht="15" x14ac:dyDescent="0.25">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3"/>
      <c r="AC448" s="3"/>
      <c r="AD448" s="3"/>
      <c r="AE448" s="3"/>
      <c r="AF448" s="3"/>
    </row>
    <row r="449" spans="1:32" ht="15" x14ac:dyDescent="0.25">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3"/>
      <c r="AC449" s="3"/>
      <c r="AD449" s="3"/>
      <c r="AE449" s="3"/>
      <c r="AF449" s="3"/>
    </row>
    <row r="450" spans="1:32" ht="15" x14ac:dyDescent="0.25">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3"/>
      <c r="AC450" s="3"/>
      <c r="AD450" s="3"/>
      <c r="AE450" s="3"/>
      <c r="AF450" s="3"/>
    </row>
    <row r="451" spans="1:32" ht="15" x14ac:dyDescent="0.25">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3"/>
      <c r="AC451" s="3"/>
      <c r="AD451" s="3"/>
      <c r="AE451" s="3"/>
      <c r="AF451" s="3"/>
    </row>
    <row r="452" spans="1:32" ht="15" x14ac:dyDescent="0.25">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3"/>
      <c r="AC452" s="3"/>
      <c r="AD452" s="3"/>
      <c r="AE452" s="3"/>
      <c r="AF452" s="3"/>
    </row>
    <row r="453" spans="1:32" ht="15" x14ac:dyDescent="0.25">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3"/>
      <c r="AC453" s="3"/>
      <c r="AD453" s="3"/>
      <c r="AE453" s="3"/>
      <c r="AF453" s="3"/>
    </row>
    <row r="454" spans="1:32" ht="15" x14ac:dyDescent="0.25">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3"/>
      <c r="AC454" s="3"/>
      <c r="AD454" s="3"/>
      <c r="AE454" s="3"/>
      <c r="AF454" s="3"/>
    </row>
    <row r="455" spans="1:32" ht="15" x14ac:dyDescent="0.25">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3"/>
      <c r="AC455" s="3"/>
      <c r="AD455" s="3"/>
      <c r="AE455" s="3"/>
      <c r="AF455" s="3"/>
    </row>
    <row r="456" spans="1:32" ht="15" x14ac:dyDescent="0.25">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3"/>
      <c r="AC456" s="3"/>
      <c r="AD456" s="3"/>
      <c r="AE456" s="3"/>
      <c r="AF456" s="3"/>
    </row>
    <row r="457" spans="1:32" ht="15" x14ac:dyDescent="0.25">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3"/>
      <c r="AC457" s="3"/>
      <c r="AD457" s="3"/>
      <c r="AE457" s="3"/>
      <c r="AF457" s="3"/>
    </row>
    <row r="458" spans="1:32" ht="15" x14ac:dyDescent="0.25">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3"/>
      <c r="AC458" s="3"/>
      <c r="AD458" s="3"/>
      <c r="AE458" s="3"/>
      <c r="AF458" s="3"/>
    </row>
    <row r="459" spans="1:32" ht="15" x14ac:dyDescent="0.25">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3"/>
      <c r="AC459" s="3"/>
      <c r="AD459" s="3"/>
      <c r="AE459" s="3"/>
      <c r="AF459" s="3"/>
    </row>
    <row r="460" spans="1:32" ht="15" x14ac:dyDescent="0.25">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3"/>
      <c r="AC460" s="3"/>
      <c r="AD460" s="3"/>
      <c r="AE460" s="3"/>
      <c r="AF460" s="3"/>
    </row>
    <row r="461" spans="1:32" ht="15" x14ac:dyDescent="0.25">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3"/>
      <c r="AC461" s="3"/>
      <c r="AD461" s="3"/>
      <c r="AE461" s="3"/>
      <c r="AF461" s="3"/>
    </row>
    <row r="462" spans="1:32" ht="15" x14ac:dyDescent="0.25">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3"/>
      <c r="AC462" s="3"/>
      <c r="AD462" s="3"/>
      <c r="AE462" s="3"/>
      <c r="AF462" s="3"/>
    </row>
    <row r="463" spans="1:32" ht="15" x14ac:dyDescent="0.25">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3"/>
      <c r="AC463" s="3"/>
      <c r="AD463" s="3"/>
      <c r="AE463" s="3"/>
      <c r="AF463" s="3"/>
    </row>
    <row r="464" spans="1:32" ht="15" x14ac:dyDescent="0.25">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3"/>
      <c r="AC464" s="3"/>
      <c r="AD464" s="3"/>
      <c r="AE464" s="3"/>
      <c r="AF464" s="3"/>
    </row>
    <row r="465" spans="1:32" ht="15" x14ac:dyDescent="0.25">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3"/>
      <c r="AC465" s="3"/>
      <c r="AD465" s="3"/>
      <c r="AE465" s="3"/>
      <c r="AF465" s="3"/>
    </row>
    <row r="466" spans="1:32" ht="15" x14ac:dyDescent="0.25">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3"/>
      <c r="AC466" s="3"/>
      <c r="AD466" s="3"/>
      <c r="AE466" s="3"/>
      <c r="AF466" s="3"/>
    </row>
    <row r="467" spans="1:32" ht="15" x14ac:dyDescent="0.25">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3"/>
      <c r="AC467" s="3"/>
      <c r="AD467" s="3"/>
      <c r="AE467" s="3"/>
      <c r="AF467" s="3"/>
    </row>
    <row r="468" spans="1:32" ht="15" x14ac:dyDescent="0.25">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3"/>
      <c r="AC468" s="3"/>
      <c r="AD468" s="3"/>
      <c r="AE468" s="3"/>
      <c r="AF468" s="3"/>
    </row>
    <row r="469" spans="1:32" ht="15" x14ac:dyDescent="0.25">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3"/>
      <c r="AC469" s="3"/>
      <c r="AD469" s="3"/>
      <c r="AE469" s="3"/>
      <c r="AF469" s="3"/>
    </row>
    <row r="470" spans="1:32" ht="15" x14ac:dyDescent="0.25">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3"/>
      <c r="AC470" s="3"/>
      <c r="AD470" s="3"/>
      <c r="AE470" s="3"/>
      <c r="AF470" s="3"/>
    </row>
    <row r="471" spans="1:32" ht="15" x14ac:dyDescent="0.25">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3"/>
      <c r="AC471" s="3"/>
      <c r="AD471" s="3"/>
      <c r="AE471" s="3"/>
      <c r="AF471" s="3"/>
    </row>
    <row r="472" spans="1:32" ht="15" x14ac:dyDescent="0.25">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3"/>
      <c r="AC472" s="3"/>
      <c r="AD472" s="3"/>
      <c r="AE472" s="3"/>
      <c r="AF472" s="3"/>
    </row>
    <row r="473" spans="1:32" ht="15" x14ac:dyDescent="0.25">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3"/>
      <c r="AC473" s="3"/>
      <c r="AD473" s="3"/>
      <c r="AE473" s="3"/>
      <c r="AF473" s="3"/>
    </row>
    <row r="474" spans="1:32" ht="15" x14ac:dyDescent="0.25">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3"/>
      <c r="AC474" s="3"/>
      <c r="AD474" s="3"/>
      <c r="AE474" s="3"/>
      <c r="AF474" s="3"/>
    </row>
    <row r="475" spans="1:32" ht="15" x14ac:dyDescent="0.25">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3"/>
      <c r="AC475" s="3"/>
      <c r="AD475" s="3"/>
      <c r="AE475" s="3"/>
      <c r="AF475" s="3"/>
    </row>
    <row r="476" spans="1:32" ht="15" x14ac:dyDescent="0.25">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3"/>
      <c r="AC476" s="3"/>
      <c r="AD476" s="3"/>
      <c r="AE476" s="3"/>
      <c r="AF476" s="3"/>
    </row>
    <row r="477" spans="1:32" ht="15" x14ac:dyDescent="0.25">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3"/>
      <c r="AC477" s="3"/>
      <c r="AD477" s="3"/>
      <c r="AE477" s="3"/>
      <c r="AF477" s="3"/>
    </row>
    <row r="478" spans="1:32" ht="15" x14ac:dyDescent="0.25">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3"/>
      <c r="AC478" s="3"/>
      <c r="AD478" s="3"/>
      <c r="AE478" s="3"/>
      <c r="AF478" s="3"/>
    </row>
    <row r="479" spans="1:32" ht="15" x14ac:dyDescent="0.25">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3"/>
      <c r="AC479" s="3"/>
      <c r="AD479" s="3"/>
      <c r="AE479" s="3"/>
      <c r="AF479" s="3"/>
    </row>
    <row r="480" spans="1:32" ht="15" x14ac:dyDescent="0.25">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3"/>
      <c r="AC480" s="3"/>
      <c r="AD480" s="3"/>
      <c r="AE480" s="3"/>
      <c r="AF480" s="3"/>
    </row>
    <row r="481" spans="1:32" ht="15" x14ac:dyDescent="0.25">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3"/>
      <c r="AC481" s="3"/>
      <c r="AD481" s="3"/>
      <c r="AE481" s="3"/>
      <c r="AF481" s="3"/>
    </row>
    <row r="482" spans="1:32" ht="15" x14ac:dyDescent="0.25">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3"/>
      <c r="AC482" s="3"/>
      <c r="AD482" s="3"/>
      <c r="AE482" s="3"/>
      <c r="AF482" s="3"/>
    </row>
    <row r="483" spans="1:32" ht="15" x14ac:dyDescent="0.25">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3"/>
      <c r="AC483" s="3"/>
      <c r="AD483" s="3"/>
      <c r="AE483" s="3"/>
      <c r="AF483" s="3"/>
    </row>
    <row r="484" spans="1:32" ht="15" x14ac:dyDescent="0.25">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3"/>
      <c r="AC484" s="3"/>
      <c r="AD484" s="3"/>
      <c r="AE484" s="3"/>
      <c r="AF484" s="3"/>
    </row>
    <row r="485" spans="1:32" ht="15" x14ac:dyDescent="0.25">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3"/>
      <c r="AC485" s="3"/>
      <c r="AD485" s="3"/>
      <c r="AE485" s="3"/>
      <c r="AF485" s="3"/>
    </row>
    <row r="486" spans="1:32" ht="15" x14ac:dyDescent="0.25">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3"/>
      <c r="AC486" s="3"/>
      <c r="AD486" s="3"/>
      <c r="AE486" s="3"/>
      <c r="AF486" s="3"/>
    </row>
    <row r="487" spans="1:32" ht="15" x14ac:dyDescent="0.25">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3"/>
      <c r="AC487" s="3"/>
      <c r="AD487" s="3"/>
      <c r="AE487" s="3"/>
      <c r="AF487" s="3"/>
    </row>
    <row r="488" spans="1:32" ht="15" x14ac:dyDescent="0.25">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3"/>
      <c r="AC488" s="3"/>
      <c r="AD488" s="3"/>
      <c r="AE488" s="3"/>
      <c r="AF488" s="3"/>
    </row>
    <row r="489" spans="1:32" ht="15" x14ac:dyDescent="0.25">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3"/>
      <c r="AC489" s="3"/>
      <c r="AD489" s="3"/>
      <c r="AE489" s="3"/>
      <c r="AF489" s="3"/>
    </row>
    <row r="490" spans="1:32" ht="15" x14ac:dyDescent="0.25">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3"/>
      <c r="AC490" s="3"/>
      <c r="AD490" s="3"/>
      <c r="AE490" s="3"/>
      <c r="AF490" s="3"/>
    </row>
    <row r="491" spans="1:32" ht="15" x14ac:dyDescent="0.25">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3"/>
      <c r="AC491" s="3"/>
      <c r="AD491" s="3"/>
      <c r="AE491" s="3"/>
      <c r="AF491" s="3"/>
    </row>
    <row r="492" spans="1:32" ht="15" x14ac:dyDescent="0.25">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3"/>
      <c r="AC492" s="3"/>
      <c r="AD492" s="3"/>
      <c r="AE492" s="3"/>
      <c r="AF492" s="3"/>
    </row>
    <row r="493" spans="1:32" ht="15" x14ac:dyDescent="0.25">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3"/>
      <c r="AC493" s="3"/>
      <c r="AD493" s="3"/>
      <c r="AE493" s="3"/>
      <c r="AF493" s="3"/>
    </row>
    <row r="494" spans="1:32" ht="15" x14ac:dyDescent="0.25">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3"/>
      <c r="AC494" s="3"/>
      <c r="AD494" s="3"/>
      <c r="AE494" s="3"/>
      <c r="AF494" s="3"/>
    </row>
    <row r="495" spans="1:32" ht="15" x14ac:dyDescent="0.25">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3"/>
      <c r="AC495" s="3"/>
      <c r="AD495" s="3"/>
      <c r="AE495" s="3"/>
      <c r="AF495" s="3"/>
    </row>
    <row r="496" spans="1:32" ht="15" x14ac:dyDescent="0.25">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3"/>
      <c r="AC496" s="3"/>
      <c r="AD496" s="3"/>
      <c r="AE496" s="3"/>
      <c r="AF496" s="3"/>
    </row>
    <row r="497" spans="1:32" ht="15" x14ac:dyDescent="0.25">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3"/>
      <c r="AC497" s="3"/>
      <c r="AD497" s="3"/>
      <c r="AE497" s="3"/>
      <c r="AF497" s="3"/>
    </row>
    <row r="498" spans="1:32" ht="15" x14ac:dyDescent="0.25">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3"/>
      <c r="AC498" s="3"/>
      <c r="AD498" s="3"/>
      <c r="AE498" s="3"/>
      <c r="AF498" s="3"/>
    </row>
    <row r="499" spans="1:32" ht="15" x14ac:dyDescent="0.25">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3"/>
      <c r="AC499" s="3"/>
      <c r="AD499" s="3"/>
      <c r="AE499" s="3"/>
      <c r="AF499" s="3"/>
    </row>
    <row r="500" spans="1:32" ht="15" x14ac:dyDescent="0.25">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3"/>
      <c r="AC500" s="3"/>
      <c r="AD500" s="3"/>
      <c r="AE500" s="3"/>
      <c r="AF500" s="3"/>
    </row>
    <row r="501" spans="1:32" ht="15" x14ac:dyDescent="0.25">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3"/>
      <c r="AC501" s="3"/>
      <c r="AD501" s="3"/>
      <c r="AE501" s="3"/>
      <c r="AF501" s="3"/>
    </row>
    <row r="502" spans="1:32" ht="15" x14ac:dyDescent="0.25">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3"/>
      <c r="AC502" s="3"/>
      <c r="AD502" s="3"/>
      <c r="AE502" s="3"/>
      <c r="AF502" s="3"/>
    </row>
    <row r="503" spans="1:32" ht="15" x14ac:dyDescent="0.25">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3"/>
      <c r="AC503" s="3"/>
      <c r="AD503" s="3"/>
      <c r="AE503" s="3"/>
      <c r="AF503" s="3"/>
    </row>
    <row r="504" spans="1:32" ht="15" x14ac:dyDescent="0.25">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3"/>
      <c r="AC504" s="3"/>
      <c r="AD504" s="3"/>
      <c r="AE504" s="3"/>
      <c r="AF504" s="3"/>
    </row>
    <row r="505" spans="1:32" ht="15" x14ac:dyDescent="0.25">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3"/>
      <c r="AC505" s="3"/>
      <c r="AD505" s="3"/>
      <c r="AE505" s="3"/>
      <c r="AF505" s="3"/>
    </row>
    <row r="506" spans="1:32" ht="15" x14ac:dyDescent="0.25">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3"/>
      <c r="AC506" s="3"/>
      <c r="AD506" s="3"/>
      <c r="AE506" s="3"/>
      <c r="AF506" s="3"/>
    </row>
    <row r="507" spans="1:32" ht="15" x14ac:dyDescent="0.25">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3"/>
      <c r="AC507" s="3"/>
      <c r="AD507" s="3"/>
      <c r="AE507" s="3"/>
      <c r="AF507" s="3"/>
    </row>
    <row r="508" spans="1:32" ht="15" x14ac:dyDescent="0.25">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3"/>
      <c r="AC508" s="3"/>
      <c r="AD508" s="3"/>
      <c r="AE508" s="3"/>
      <c r="AF508" s="3"/>
    </row>
    <row r="509" spans="1:32" ht="15" x14ac:dyDescent="0.25">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3"/>
      <c r="AC509" s="3"/>
      <c r="AD509" s="3"/>
      <c r="AE509" s="3"/>
      <c r="AF509" s="3"/>
    </row>
    <row r="510" spans="1:32" ht="15" x14ac:dyDescent="0.25">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3"/>
      <c r="AC510" s="3"/>
      <c r="AD510" s="3"/>
      <c r="AE510" s="3"/>
      <c r="AF510" s="3"/>
    </row>
    <row r="511" spans="1:32" ht="15" x14ac:dyDescent="0.25">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3"/>
      <c r="AC511" s="3"/>
      <c r="AD511" s="3"/>
      <c r="AE511" s="3"/>
      <c r="AF511" s="3"/>
    </row>
    <row r="512" spans="1:32" ht="15" x14ac:dyDescent="0.25">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3"/>
      <c r="AC512" s="3"/>
      <c r="AD512" s="3"/>
      <c r="AE512" s="3"/>
      <c r="AF512" s="3"/>
    </row>
    <row r="513" spans="1:32" ht="15" x14ac:dyDescent="0.25">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3"/>
      <c r="AC513" s="3"/>
      <c r="AD513" s="3"/>
      <c r="AE513" s="3"/>
      <c r="AF513" s="3"/>
    </row>
    <row r="514" spans="1:32" ht="15" x14ac:dyDescent="0.25">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3"/>
      <c r="AC514" s="3"/>
      <c r="AD514" s="3"/>
      <c r="AE514" s="3"/>
      <c r="AF514" s="3"/>
    </row>
    <row r="515" spans="1:32" ht="15" x14ac:dyDescent="0.25">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3"/>
      <c r="AC515" s="3"/>
      <c r="AD515" s="3"/>
      <c r="AE515" s="3"/>
      <c r="AF515" s="3"/>
    </row>
    <row r="516" spans="1:32" ht="15" x14ac:dyDescent="0.25">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3"/>
      <c r="AC516" s="3"/>
      <c r="AD516" s="3"/>
      <c r="AE516" s="3"/>
      <c r="AF516" s="3"/>
    </row>
    <row r="517" spans="1:32" ht="15" x14ac:dyDescent="0.25">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3"/>
      <c r="AC517" s="3"/>
      <c r="AD517" s="3"/>
      <c r="AE517" s="3"/>
      <c r="AF517" s="3"/>
    </row>
    <row r="518" spans="1:32" ht="15" x14ac:dyDescent="0.25">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3"/>
      <c r="AC518" s="3"/>
      <c r="AD518" s="3"/>
      <c r="AE518" s="3"/>
      <c r="AF518" s="3"/>
    </row>
    <row r="519" spans="1:32" ht="15" x14ac:dyDescent="0.25">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3"/>
      <c r="AC519" s="3"/>
      <c r="AD519" s="3"/>
      <c r="AE519" s="3"/>
      <c r="AF519" s="3"/>
    </row>
    <row r="520" spans="1:32" ht="15" x14ac:dyDescent="0.25">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3"/>
      <c r="AC520" s="3"/>
      <c r="AD520" s="3"/>
      <c r="AE520" s="3"/>
      <c r="AF520" s="3"/>
    </row>
    <row r="521" spans="1:32" ht="15" x14ac:dyDescent="0.25">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3"/>
      <c r="AC521" s="3"/>
      <c r="AD521" s="3"/>
      <c r="AE521" s="3"/>
      <c r="AF521" s="3"/>
    </row>
    <row r="522" spans="1:32" ht="15" x14ac:dyDescent="0.25">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3"/>
      <c r="AC522" s="3"/>
      <c r="AD522" s="3"/>
      <c r="AE522" s="3"/>
      <c r="AF522" s="3"/>
    </row>
    <row r="523" spans="1:32" ht="15" x14ac:dyDescent="0.25">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3"/>
      <c r="AC523" s="3"/>
      <c r="AD523" s="3"/>
      <c r="AE523" s="3"/>
      <c r="AF523" s="3"/>
    </row>
    <row r="524" spans="1:32" ht="15" x14ac:dyDescent="0.25">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3"/>
      <c r="AC524" s="3"/>
      <c r="AD524" s="3"/>
      <c r="AE524" s="3"/>
      <c r="AF524" s="3"/>
    </row>
    <row r="525" spans="1:32" ht="15" x14ac:dyDescent="0.25">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3"/>
      <c r="AC525" s="3"/>
      <c r="AD525" s="3"/>
      <c r="AE525" s="3"/>
      <c r="AF525" s="3"/>
    </row>
    <row r="526" spans="1:32" ht="15" x14ac:dyDescent="0.25">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3"/>
      <c r="AC526" s="3"/>
      <c r="AD526" s="3"/>
      <c r="AE526" s="3"/>
      <c r="AF526" s="3"/>
    </row>
    <row r="527" spans="1:32" ht="15" x14ac:dyDescent="0.25">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3"/>
      <c r="AC527" s="3"/>
      <c r="AD527" s="3"/>
      <c r="AE527" s="3"/>
      <c r="AF527" s="3"/>
    </row>
    <row r="528" spans="1:32" ht="15" x14ac:dyDescent="0.25">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3"/>
      <c r="AC528" s="3"/>
      <c r="AD528" s="3"/>
      <c r="AE528" s="3"/>
      <c r="AF528" s="3"/>
    </row>
    <row r="529" spans="1:32" ht="15" x14ac:dyDescent="0.25">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3"/>
      <c r="AC529" s="3"/>
      <c r="AD529" s="3"/>
      <c r="AE529" s="3"/>
      <c r="AF529" s="3"/>
    </row>
    <row r="530" spans="1:32" ht="15" x14ac:dyDescent="0.25">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3"/>
      <c r="AC530" s="3"/>
      <c r="AD530" s="3"/>
      <c r="AE530" s="3"/>
      <c r="AF530" s="3"/>
    </row>
    <row r="531" spans="1:32" ht="15" x14ac:dyDescent="0.25">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3"/>
      <c r="AC531" s="3"/>
      <c r="AD531" s="3"/>
      <c r="AE531" s="3"/>
      <c r="AF531" s="3"/>
    </row>
    <row r="532" spans="1:32" ht="15" x14ac:dyDescent="0.25">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3"/>
      <c r="AC532" s="3"/>
      <c r="AD532" s="3"/>
      <c r="AE532" s="3"/>
      <c r="AF532" s="3"/>
    </row>
    <row r="533" spans="1:32" ht="15" x14ac:dyDescent="0.25">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3"/>
      <c r="AC533" s="3"/>
      <c r="AD533" s="3"/>
      <c r="AE533" s="3"/>
      <c r="AF533" s="3"/>
    </row>
    <row r="534" spans="1:32" ht="15" x14ac:dyDescent="0.25">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3"/>
      <c r="AC534" s="3"/>
      <c r="AD534" s="3"/>
      <c r="AE534" s="3"/>
      <c r="AF534" s="3"/>
    </row>
    <row r="535" spans="1:32" ht="15" x14ac:dyDescent="0.25">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3"/>
      <c r="AC535" s="3"/>
      <c r="AD535" s="3"/>
      <c r="AE535" s="3"/>
      <c r="AF535" s="3"/>
    </row>
    <row r="536" spans="1:32" ht="15" x14ac:dyDescent="0.25">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3"/>
      <c r="AC536" s="3"/>
      <c r="AD536" s="3"/>
      <c r="AE536" s="3"/>
      <c r="AF536" s="3"/>
    </row>
    <row r="537" spans="1:32" ht="15" x14ac:dyDescent="0.25">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3"/>
      <c r="AC537" s="3"/>
      <c r="AD537" s="3"/>
      <c r="AE537" s="3"/>
      <c r="AF537" s="3"/>
    </row>
    <row r="538" spans="1:32" ht="15" x14ac:dyDescent="0.25">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3"/>
      <c r="AC538" s="3"/>
      <c r="AD538" s="3"/>
      <c r="AE538" s="3"/>
      <c r="AF538" s="3"/>
    </row>
    <row r="539" spans="1:32" ht="15" x14ac:dyDescent="0.25">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3"/>
      <c r="AC539" s="3"/>
      <c r="AD539" s="3"/>
      <c r="AE539" s="3"/>
      <c r="AF539" s="3"/>
    </row>
    <row r="540" spans="1:32" ht="15" x14ac:dyDescent="0.25">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3"/>
      <c r="AC540" s="3"/>
      <c r="AD540" s="3"/>
      <c r="AE540" s="3"/>
      <c r="AF540" s="3"/>
    </row>
    <row r="541" spans="1:32" ht="15" x14ac:dyDescent="0.25">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3"/>
      <c r="AC541" s="3"/>
      <c r="AD541" s="3"/>
      <c r="AE541" s="3"/>
      <c r="AF541" s="3"/>
    </row>
    <row r="542" spans="1:32" ht="15" x14ac:dyDescent="0.25">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3"/>
      <c r="AC542" s="3"/>
      <c r="AD542" s="3"/>
      <c r="AE542" s="3"/>
      <c r="AF542" s="3"/>
    </row>
    <row r="543" spans="1:32" ht="15" x14ac:dyDescent="0.25">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3"/>
      <c r="AC543" s="3"/>
      <c r="AD543" s="3"/>
      <c r="AE543" s="3"/>
      <c r="AF543" s="3"/>
    </row>
    <row r="544" spans="1:32" ht="15" x14ac:dyDescent="0.25">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3"/>
      <c r="AC544" s="3"/>
      <c r="AD544" s="3"/>
      <c r="AE544" s="3"/>
      <c r="AF544" s="3"/>
    </row>
    <row r="545" spans="1:32" ht="15" x14ac:dyDescent="0.25">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3"/>
      <c r="AC545" s="3"/>
      <c r="AD545" s="3"/>
      <c r="AE545" s="3"/>
      <c r="AF545" s="3"/>
    </row>
    <row r="546" spans="1:32" ht="15" x14ac:dyDescent="0.25">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3"/>
      <c r="AC546" s="3"/>
      <c r="AD546" s="3"/>
      <c r="AE546" s="3"/>
      <c r="AF546" s="3"/>
    </row>
    <row r="547" spans="1:32" ht="15" x14ac:dyDescent="0.25">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3"/>
      <c r="AC547" s="3"/>
      <c r="AD547" s="3"/>
      <c r="AE547" s="3"/>
      <c r="AF547" s="3"/>
    </row>
    <row r="548" spans="1:32" ht="15" x14ac:dyDescent="0.25">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3"/>
      <c r="AC548" s="3"/>
      <c r="AD548" s="3"/>
      <c r="AE548" s="3"/>
      <c r="AF548" s="3"/>
    </row>
    <row r="549" spans="1:32" ht="15" x14ac:dyDescent="0.25">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3"/>
      <c r="AC549" s="3"/>
      <c r="AD549" s="3"/>
      <c r="AE549" s="3"/>
      <c r="AF549" s="3"/>
    </row>
    <row r="550" spans="1:32" ht="15" x14ac:dyDescent="0.25">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3"/>
      <c r="AC550" s="3"/>
      <c r="AD550" s="3"/>
      <c r="AE550" s="3"/>
      <c r="AF550" s="3"/>
    </row>
    <row r="551" spans="1:32" ht="15" x14ac:dyDescent="0.25">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3"/>
      <c r="AC551" s="3"/>
      <c r="AD551" s="3"/>
      <c r="AE551" s="3"/>
      <c r="AF551" s="3"/>
    </row>
    <row r="552" spans="1:32" ht="15" x14ac:dyDescent="0.25">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3"/>
      <c r="AC552" s="3"/>
      <c r="AD552" s="3"/>
      <c r="AE552" s="3"/>
      <c r="AF552" s="3"/>
    </row>
    <row r="553" spans="1:32" ht="15" x14ac:dyDescent="0.25">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3"/>
      <c r="AC553" s="3"/>
      <c r="AD553" s="3"/>
      <c r="AE553" s="3"/>
      <c r="AF553" s="3"/>
    </row>
    <row r="554" spans="1:32" ht="15" x14ac:dyDescent="0.25">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3"/>
      <c r="AC554" s="3"/>
      <c r="AD554" s="3"/>
      <c r="AE554" s="3"/>
      <c r="AF554" s="3"/>
    </row>
    <row r="555" spans="1:32" ht="15" x14ac:dyDescent="0.25">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3"/>
      <c r="AC555" s="3"/>
      <c r="AD555" s="3"/>
      <c r="AE555" s="3"/>
      <c r="AF555" s="3"/>
    </row>
    <row r="556" spans="1:32" ht="15" x14ac:dyDescent="0.25">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3"/>
      <c r="AC556" s="3"/>
      <c r="AD556" s="3"/>
      <c r="AE556" s="3"/>
      <c r="AF556" s="3"/>
    </row>
    <row r="557" spans="1:32" ht="15" x14ac:dyDescent="0.25">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3"/>
      <c r="AC557" s="3"/>
      <c r="AD557" s="3"/>
      <c r="AE557" s="3"/>
      <c r="AF557" s="3"/>
    </row>
    <row r="558" spans="1:32" ht="15" x14ac:dyDescent="0.25">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3"/>
      <c r="AC558" s="3"/>
      <c r="AD558" s="3"/>
      <c r="AE558" s="3"/>
      <c r="AF558" s="3"/>
    </row>
    <row r="559" spans="1:32" ht="15" x14ac:dyDescent="0.25">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3"/>
      <c r="AC559" s="3"/>
      <c r="AD559" s="3"/>
      <c r="AE559" s="3"/>
      <c r="AF559" s="3"/>
    </row>
    <row r="560" spans="1:32" ht="15" x14ac:dyDescent="0.25">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3"/>
      <c r="AC560" s="3"/>
      <c r="AD560" s="3"/>
      <c r="AE560" s="3"/>
      <c r="AF560" s="3"/>
    </row>
    <row r="561" spans="1:32" ht="15" x14ac:dyDescent="0.25">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3"/>
      <c r="AC561" s="3"/>
      <c r="AD561" s="3"/>
      <c r="AE561" s="3"/>
      <c r="AF561" s="3"/>
    </row>
    <row r="562" spans="1:32" ht="15" x14ac:dyDescent="0.25">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3"/>
      <c r="AC562" s="3"/>
      <c r="AD562" s="3"/>
      <c r="AE562" s="3"/>
      <c r="AF562" s="3"/>
    </row>
    <row r="563" spans="1:32" ht="15" x14ac:dyDescent="0.25">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3"/>
      <c r="AC563" s="3"/>
      <c r="AD563" s="3"/>
      <c r="AE563" s="3"/>
      <c r="AF563" s="3"/>
    </row>
    <row r="564" spans="1:32" ht="15" x14ac:dyDescent="0.25">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3"/>
      <c r="AC564" s="3"/>
      <c r="AD564" s="3"/>
      <c r="AE564" s="3"/>
      <c r="AF564" s="3"/>
    </row>
    <row r="565" spans="1:32" ht="15" x14ac:dyDescent="0.25">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3"/>
      <c r="AC565" s="3"/>
      <c r="AD565" s="3"/>
      <c r="AE565" s="3"/>
      <c r="AF565" s="3"/>
    </row>
    <row r="566" spans="1:32" ht="15" x14ac:dyDescent="0.25">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3"/>
      <c r="AC566" s="3"/>
      <c r="AD566" s="3"/>
      <c r="AE566" s="3"/>
      <c r="AF566" s="3"/>
    </row>
    <row r="567" spans="1:32" ht="15" x14ac:dyDescent="0.25">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3"/>
      <c r="AC567" s="3"/>
      <c r="AD567" s="3"/>
      <c r="AE567" s="3"/>
      <c r="AF567" s="3"/>
    </row>
    <row r="568" spans="1:32" ht="15" x14ac:dyDescent="0.25">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3"/>
      <c r="AC568" s="3"/>
      <c r="AD568" s="3"/>
      <c r="AE568" s="3"/>
      <c r="AF568" s="3"/>
    </row>
    <row r="569" spans="1:32" ht="15" x14ac:dyDescent="0.25">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3"/>
      <c r="AC569" s="3"/>
      <c r="AD569" s="3"/>
      <c r="AE569" s="3"/>
      <c r="AF569" s="3"/>
    </row>
    <row r="570" spans="1:32" ht="15" x14ac:dyDescent="0.25">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3"/>
      <c r="AC570" s="3"/>
      <c r="AD570" s="3"/>
      <c r="AE570" s="3"/>
      <c r="AF570" s="3"/>
    </row>
    <row r="571" spans="1:32" ht="15" x14ac:dyDescent="0.25">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3"/>
      <c r="AC571" s="3"/>
      <c r="AD571" s="3"/>
      <c r="AE571" s="3"/>
      <c r="AF571" s="3"/>
    </row>
    <row r="572" spans="1:32" ht="15" x14ac:dyDescent="0.25">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3"/>
      <c r="AC572" s="3"/>
      <c r="AD572" s="3"/>
      <c r="AE572" s="3"/>
      <c r="AF572" s="3"/>
    </row>
    <row r="573" spans="1:32" ht="15" x14ac:dyDescent="0.25">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3"/>
      <c r="AC573" s="3"/>
      <c r="AD573" s="3"/>
      <c r="AE573" s="3"/>
      <c r="AF573" s="3"/>
    </row>
    <row r="574" spans="1:32" ht="15" x14ac:dyDescent="0.25">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3"/>
      <c r="AC574" s="3"/>
      <c r="AD574" s="3"/>
      <c r="AE574" s="3"/>
      <c r="AF574" s="3"/>
    </row>
    <row r="575" spans="1:32" ht="15" x14ac:dyDescent="0.25">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3"/>
      <c r="AC575" s="3"/>
      <c r="AD575" s="3"/>
      <c r="AE575" s="3"/>
      <c r="AF575" s="3"/>
    </row>
    <row r="576" spans="1:32" ht="15" x14ac:dyDescent="0.25">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3"/>
      <c r="AC576" s="3"/>
      <c r="AD576" s="3"/>
      <c r="AE576" s="3"/>
      <c r="AF576" s="3"/>
    </row>
    <row r="577" spans="1:32" ht="15" x14ac:dyDescent="0.25">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3"/>
      <c r="AC577" s="3"/>
      <c r="AD577" s="3"/>
      <c r="AE577" s="3"/>
      <c r="AF577" s="3"/>
    </row>
    <row r="578" spans="1:32" ht="15" x14ac:dyDescent="0.25">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3"/>
      <c r="AC578" s="3"/>
      <c r="AD578" s="3"/>
      <c r="AE578" s="3"/>
      <c r="AF578" s="3"/>
    </row>
    <row r="579" spans="1:32" ht="15" x14ac:dyDescent="0.25">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3"/>
      <c r="AC579" s="3"/>
      <c r="AD579" s="3"/>
      <c r="AE579" s="3"/>
      <c r="AF579" s="3"/>
    </row>
    <row r="580" spans="1:32" ht="15" x14ac:dyDescent="0.25">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3"/>
      <c r="AC580" s="3"/>
      <c r="AD580" s="3"/>
      <c r="AE580" s="3"/>
      <c r="AF580" s="3"/>
    </row>
    <row r="581" spans="1:32" ht="15" x14ac:dyDescent="0.25">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3"/>
      <c r="AC581" s="3"/>
      <c r="AD581" s="3"/>
      <c r="AE581" s="3"/>
      <c r="AF581" s="3"/>
    </row>
    <row r="582" spans="1:32" ht="15" x14ac:dyDescent="0.25">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3"/>
      <c r="AC582" s="3"/>
      <c r="AD582" s="3"/>
      <c r="AE582" s="3"/>
      <c r="AF582" s="3"/>
    </row>
    <row r="583" spans="1:32" ht="15" x14ac:dyDescent="0.25">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3"/>
      <c r="AC583" s="3"/>
      <c r="AD583" s="3"/>
      <c r="AE583" s="3"/>
      <c r="AF583" s="3"/>
    </row>
    <row r="584" spans="1:32" ht="15" x14ac:dyDescent="0.25">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3"/>
      <c r="AC584" s="3"/>
      <c r="AD584" s="3"/>
      <c r="AE584" s="3"/>
      <c r="AF584" s="3"/>
    </row>
    <row r="585" spans="1:32" ht="15" x14ac:dyDescent="0.25">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3"/>
      <c r="AC585" s="3"/>
      <c r="AD585" s="3"/>
      <c r="AE585" s="3"/>
      <c r="AF585" s="3"/>
    </row>
    <row r="586" spans="1:32" ht="15" x14ac:dyDescent="0.25">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3"/>
      <c r="AC586" s="3"/>
      <c r="AD586" s="3"/>
      <c r="AE586" s="3"/>
      <c r="AF586" s="3"/>
    </row>
    <row r="587" spans="1:32" ht="15" x14ac:dyDescent="0.25">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3"/>
      <c r="AC587" s="3"/>
      <c r="AD587" s="3"/>
      <c r="AE587" s="3"/>
      <c r="AF587" s="3"/>
    </row>
    <row r="588" spans="1:32" ht="15" x14ac:dyDescent="0.25">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3"/>
      <c r="AC588" s="3"/>
      <c r="AD588" s="3"/>
      <c r="AE588" s="3"/>
      <c r="AF588" s="3"/>
    </row>
    <row r="589" spans="1:32" ht="15" x14ac:dyDescent="0.25">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3"/>
      <c r="AC589" s="3"/>
      <c r="AD589" s="3"/>
      <c r="AE589" s="3"/>
      <c r="AF589" s="3"/>
    </row>
    <row r="590" spans="1:32" ht="15" x14ac:dyDescent="0.25">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3"/>
      <c r="AC590" s="3"/>
      <c r="AD590" s="3"/>
      <c r="AE590" s="3"/>
      <c r="AF590" s="3"/>
    </row>
    <row r="591" spans="1:32" ht="15" x14ac:dyDescent="0.25">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3"/>
      <c r="AC591" s="3"/>
      <c r="AD591" s="3"/>
      <c r="AE591" s="3"/>
      <c r="AF591" s="3"/>
    </row>
    <row r="592" spans="1:32" ht="15" x14ac:dyDescent="0.25">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3"/>
      <c r="AC592" s="3"/>
      <c r="AD592" s="3"/>
      <c r="AE592" s="3"/>
      <c r="AF592" s="3"/>
    </row>
    <row r="593" spans="1:32" ht="15" x14ac:dyDescent="0.25">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3"/>
      <c r="AC593" s="3"/>
      <c r="AD593" s="3"/>
      <c r="AE593" s="3"/>
      <c r="AF593" s="3"/>
    </row>
    <row r="594" spans="1:32" ht="15" x14ac:dyDescent="0.25">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3"/>
      <c r="AC594" s="3"/>
      <c r="AD594" s="3"/>
      <c r="AE594" s="3"/>
      <c r="AF594" s="3"/>
    </row>
    <row r="595" spans="1:32" ht="15" x14ac:dyDescent="0.25">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3"/>
      <c r="AC595" s="3"/>
      <c r="AD595" s="3"/>
      <c r="AE595" s="3"/>
      <c r="AF595" s="3"/>
    </row>
    <row r="596" spans="1:32" ht="15" x14ac:dyDescent="0.25">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3"/>
      <c r="AC596" s="3"/>
      <c r="AD596" s="3"/>
      <c r="AE596" s="3"/>
      <c r="AF596" s="3"/>
    </row>
    <row r="597" spans="1:32" ht="15" x14ac:dyDescent="0.25">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3"/>
      <c r="AC597" s="3"/>
      <c r="AD597" s="3"/>
      <c r="AE597" s="3"/>
      <c r="AF597" s="3"/>
    </row>
    <row r="598" spans="1:32" ht="15" x14ac:dyDescent="0.25">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3"/>
      <c r="AC598" s="3"/>
      <c r="AD598" s="3"/>
      <c r="AE598" s="3"/>
      <c r="AF598" s="3"/>
    </row>
    <row r="599" spans="1:32" ht="15" x14ac:dyDescent="0.25">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3"/>
      <c r="AC599" s="3"/>
      <c r="AD599" s="3"/>
      <c r="AE599" s="3"/>
      <c r="AF599" s="3"/>
    </row>
    <row r="600" spans="1:32" ht="15" x14ac:dyDescent="0.25">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3"/>
      <c r="AC600" s="3"/>
      <c r="AD600" s="3"/>
      <c r="AE600" s="3"/>
      <c r="AF600" s="3"/>
    </row>
    <row r="601" spans="1:32" ht="15" x14ac:dyDescent="0.25">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3"/>
      <c r="AC601" s="3"/>
      <c r="AD601" s="3"/>
      <c r="AE601" s="3"/>
      <c r="AF601" s="3"/>
    </row>
    <row r="602" spans="1:32" ht="15" x14ac:dyDescent="0.25">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3"/>
      <c r="AC602" s="3"/>
      <c r="AD602" s="3"/>
      <c r="AE602" s="3"/>
      <c r="AF602" s="3"/>
    </row>
    <row r="603" spans="1:32" ht="15" x14ac:dyDescent="0.25">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3"/>
      <c r="AC603" s="3"/>
      <c r="AD603" s="3"/>
      <c r="AE603" s="3"/>
      <c r="AF603" s="3"/>
    </row>
    <row r="604" spans="1:32" ht="15" x14ac:dyDescent="0.25">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3"/>
      <c r="AC604" s="3"/>
      <c r="AD604" s="3"/>
      <c r="AE604" s="3"/>
      <c r="AF604" s="3"/>
    </row>
    <row r="605" spans="1:32" ht="15" x14ac:dyDescent="0.25">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3"/>
      <c r="AC605" s="3"/>
      <c r="AD605" s="3"/>
      <c r="AE605" s="3"/>
      <c r="AF605" s="3"/>
    </row>
    <row r="606" spans="1:32" ht="15" x14ac:dyDescent="0.25">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3"/>
      <c r="AC606" s="3"/>
      <c r="AD606" s="3"/>
      <c r="AE606" s="3"/>
      <c r="AF606" s="3"/>
    </row>
    <row r="607" spans="1:32" ht="15" x14ac:dyDescent="0.25">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3"/>
      <c r="AC607" s="3"/>
      <c r="AD607" s="3"/>
      <c r="AE607" s="3"/>
      <c r="AF607" s="3"/>
    </row>
    <row r="608" spans="1:32" ht="15" x14ac:dyDescent="0.25">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3"/>
      <c r="AC608" s="3"/>
      <c r="AD608" s="3"/>
      <c r="AE608" s="3"/>
      <c r="AF608" s="3"/>
    </row>
    <row r="609" spans="1:32" ht="15" x14ac:dyDescent="0.25">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3"/>
      <c r="AC609" s="3"/>
      <c r="AD609" s="3"/>
      <c r="AE609" s="3"/>
      <c r="AF609" s="3"/>
    </row>
    <row r="610" spans="1:32" ht="15" x14ac:dyDescent="0.25">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3"/>
      <c r="AC610" s="3"/>
      <c r="AD610" s="3"/>
      <c r="AE610" s="3"/>
      <c r="AF610" s="3"/>
    </row>
    <row r="611" spans="1:32" ht="15" x14ac:dyDescent="0.25">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3"/>
      <c r="AC611" s="3"/>
      <c r="AD611" s="3"/>
      <c r="AE611" s="3"/>
      <c r="AF611" s="3"/>
    </row>
    <row r="612" spans="1:32" ht="15" x14ac:dyDescent="0.25">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3"/>
      <c r="AC612" s="3"/>
      <c r="AD612" s="3"/>
      <c r="AE612" s="3"/>
      <c r="AF612" s="3"/>
    </row>
    <row r="613" spans="1:32" ht="15" x14ac:dyDescent="0.25">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3"/>
      <c r="AC613" s="3"/>
      <c r="AD613" s="3"/>
      <c r="AE613" s="3"/>
      <c r="AF613" s="3"/>
    </row>
    <row r="614" spans="1:32" ht="15" x14ac:dyDescent="0.25">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3"/>
      <c r="AC614" s="3"/>
      <c r="AD614" s="3"/>
      <c r="AE614" s="3"/>
      <c r="AF614" s="3"/>
    </row>
    <row r="615" spans="1:32" ht="15" x14ac:dyDescent="0.25">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3"/>
      <c r="AC615" s="3"/>
      <c r="AD615" s="3"/>
      <c r="AE615" s="3"/>
      <c r="AF615" s="3"/>
    </row>
    <row r="616" spans="1:32" ht="15" x14ac:dyDescent="0.25">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3"/>
      <c r="AC616" s="3"/>
      <c r="AD616" s="3"/>
      <c r="AE616" s="3"/>
      <c r="AF616" s="3"/>
    </row>
    <row r="617" spans="1:32" ht="15" x14ac:dyDescent="0.25">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3"/>
      <c r="AC617" s="3"/>
      <c r="AD617" s="3"/>
      <c r="AE617" s="3"/>
      <c r="AF617" s="3"/>
    </row>
    <row r="618" spans="1:32" ht="15" x14ac:dyDescent="0.25">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3"/>
      <c r="AC618" s="3"/>
      <c r="AD618" s="3"/>
      <c r="AE618" s="3"/>
      <c r="AF618" s="3"/>
    </row>
    <row r="619" spans="1:32" ht="15" x14ac:dyDescent="0.25">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3"/>
      <c r="AC619" s="3"/>
      <c r="AD619" s="3"/>
      <c r="AE619" s="3"/>
      <c r="AF619" s="3"/>
    </row>
    <row r="620" spans="1:32" ht="15" x14ac:dyDescent="0.25">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3"/>
      <c r="AC620" s="3"/>
      <c r="AD620" s="3"/>
      <c r="AE620" s="3"/>
      <c r="AF620" s="3"/>
    </row>
    <row r="621" spans="1:32" ht="15" x14ac:dyDescent="0.25">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3"/>
      <c r="AC621" s="3"/>
      <c r="AD621" s="3"/>
      <c r="AE621" s="3"/>
      <c r="AF621" s="3"/>
    </row>
    <row r="622" spans="1:32" ht="15" x14ac:dyDescent="0.25">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3"/>
      <c r="AC622" s="3"/>
      <c r="AD622" s="3"/>
      <c r="AE622" s="3"/>
      <c r="AF622" s="3"/>
    </row>
    <row r="623" spans="1:32" ht="15" x14ac:dyDescent="0.25">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3"/>
      <c r="AC623" s="3"/>
      <c r="AD623" s="3"/>
      <c r="AE623" s="3"/>
      <c r="AF623" s="3"/>
    </row>
    <row r="624" spans="1:32" ht="15" x14ac:dyDescent="0.25">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3"/>
      <c r="AC624" s="3"/>
      <c r="AD624" s="3"/>
      <c r="AE624" s="3"/>
      <c r="AF624" s="3"/>
    </row>
    <row r="625" spans="1:32" ht="15" x14ac:dyDescent="0.25">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3"/>
      <c r="AC625" s="3"/>
      <c r="AD625" s="3"/>
      <c r="AE625" s="3"/>
      <c r="AF625" s="3"/>
    </row>
    <row r="626" spans="1:32" ht="15" x14ac:dyDescent="0.25">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3"/>
      <c r="AC626" s="3"/>
      <c r="AD626" s="3"/>
      <c r="AE626" s="3"/>
      <c r="AF626" s="3"/>
    </row>
    <row r="627" spans="1:32" ht="15" x14ac:dyDescent="0.25">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3"/>
      <c r="AC627" s="3"/>
      <c r="AD627" s="3"/>
      <c r="AE627" s="3"/>
      <c r="AF627" s="3"/>
    </row>
    <row r="628" spans="1:32" ht="15" x14ac:dyDescent="0.25">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3"/>
      <c r="AC628" s="3"/>
      <c r="AD628" s="3"/>
      <c r="AE628" s="3"/>
      <c r="AF628" s="3"/>
    </row>
    <row r="629" spans="1:32" ht="15" x14ac:dyDescent="0.25">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3"/>
      <c r="AC629" s="3"/>
      <c r="AD629" s="3"/>
      <c r="AE629" s="3"/>
      <c r="AF629" s="3"/>
    </row>
    <row r="630" spans="1:32" ht="15" x14ac:dyDescent="0.25">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3"/>
      <c r="AC630" s="3"/>
      <c r="AD630" s="3"/>
      <c r="AE630" s="3"/>
      <c r="AF630" s="3"/>
    </row>
    <row r="631" spans="1:32" ht="15" x14ac:dyDescent="0.25">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3"/>
      <c r="AC631" s="3"/>
      <c r="AD631" s="3"/>
      <c r="AE631" s="3"/>
      <c r="AF631" s="3"/>
    </row>
    <row r="632" spans="1:32" ht="15" x14ac:dyDescent="0.25">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3"/>
      <c r="AC632" s="3"/>
      <c r="AD632" s="3"/>
      <c r="AE632" s="3"/>
      <c r="AF632" s="3"/>
    </row>
    <row r="633" spans="1:32" ht="15" x14ac:dyDescent="0.25">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3"/>
      <c r="AC633" s="3"/>
      <c r="AD633" s="3"/>
      <c r="AE633" s="3"/>
      <c r="AF633" s="3"/>
    </row>
    <row r="634" spans="1:32" ht="15" x14ac:dyDescent="0.25">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3"/>
      <c r="AC634" s="3"/>
      <c r="AD634" s="3"/>
      <c r="AE634" s="3"/>
      <c r="AF634" s="3"/>
    </row>
    <row r="635" spans="1:32" ht="15" x14ac:dyDescent="0.25">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3"/>
      <c r="AC635" s="3"/>
      <c r="AD635" s="3"/>
      <c r="AE635" s="3"/>
      <c r="AF635" s="3"/>
    </row>
    <row r="636" spans="1:32" ht="15" x14ac:dyDescent="0.25">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3"/>
      <c r="AC636" s="3"/>
      <c r="AD636" s="3"/>
      <c r="AE636" s="3"/>
      <c r="AF636" s="3"/>
    </row>
    <row r="637" spans="1:32" ht="15" x14ac:dyDescent="0.25">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3"/>
      <c r="AC637" s="3"/>
      <c r="AD637" s="3"/>
      <c r="AE637" s="3"/>
      <c r="AF637" s="3"/>
    </row>
    <row r="638" spans="1:32" ht="15" x14ac:dyDescent="0.25">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3"/>
      <c r="AC638" s="3"/>
      <c r="AD638" s="3"/>
      <c r="AE638" s="3"/>
      <c r="AF638" s="3"/>
    </row>
    <row r="639" spans="1:32" ht="15" x14ac:dyDescent="0.25">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3"/>
      <c r="AC639" s="3"/>
      <c r="AD639" s="3"/>
      <c r="AE639" s="3"/>
      <c r="AF639" s="3"/>
    </row>
    <row r="640" spans="1:32" ht="15" x14ac:dyDescent="0.25">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3"/>
      <c r="AC640" s="3"/>
      <c r="AD640" s="3"/>
      <c r="AE640" s="3"/>
      <c r="AF640" s="3"/>
    </row>
    <row r="641" spans="1:32" ht="15" x14ac:dyDescent="0.25">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3"/>
      <c r="AC641" s="3"/>
      <c r="AD641" s="3"/>
      <c r="AE641" s="3"/>
      <c r="AF641" s="3"/>
    </row>
    <row r="642" spans="1:32" ht="15" x14ac:dyDescent="0.25">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3"/>
      <c r="AC642" s="3"/>
      <c r="AD642" s="3"/>
      <c r="AE642" s="3"/>
      <c r="AF642" s="3"/>
    </row>
    <row r="643" spans="1:32" ht="15" x14ac:dyDescent="0.25">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3"/>
      <c r="AC643" s="3"/>
      <c r="AD643" s="3"/>
      <c r="AE643" s="3"/>
      <c r="AF643" s="3"/>
    </row>
    <row r="644" spans="1:32" ht="15" x14ac:dyDescent="0.25">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3"/>
      <c r="AC644" s="3"/>
      <c r="AD644" s="3"/>
      <c r="AE644" s="3"/>
      <c r="AF644" s="3"/>
    </row>
    <row r="645" spans="1:32" ht="15" x14ac:dyDescent="0.25">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3"/>
      <c r="AC645" s="3"/>
      <c r="AD645" s="3"/>
      <c r="AE645" s="3"/>
      <c r="AF645" s="3"/>
    </row>
    <row r="646" spans="1:32" ht="15" x14ac:dyDescent="0.25">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3"/>
      <c r="AC646" s="3"/>
      <c r="AD646" s="3"/>
      <c r="AE646" s="3"/>
      <c r="AF646" s="3"/>
    </row>
    <row r="647" spans="1:32" ht="15" x14ac:dyDescent="0.25">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3"/>
      <c r="AC647" s="3"/>
      <c r="AD647" s="3"/>
      <c r="AE647" s="3"/>
      <c r="AF647" s="3"/>
    </row>
    <row r="648" spans="1:32" ht="15" x14ac:dyDescent="0.25">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3"/>
      <c r="AC648" s="3"/>
      <c r="AD648" s="3"/>
      <c r="AE648" s="3"/>
      <c r="AF648" s="3"/>
    </row>
    <row r="649" spans="1:32" ht="15" x14ac:dyDescent="0.25">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3"/>
      <c r="AC649" s="3"/>
      <c r="AD649" s="3"/>
      <c r="AE649" s="3"/>
      <c r="AF649" s="3"/>
    </row>
    <row r="650" spans="1:32" ht="15" x14ac:dyDescent="0.25">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3"/>
      <c r="AC650" s="3"/>
      <c r="AD650" s="3"/>
      <c r="AE650" s="3"/>
      <c r="AF650" s="3"/>
    </row>
    <row r="651" spans="1:32" ht="15" x14ac:dyDescent="0.25">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3"/>
      <c r="AC651" s="3"/>
      <c r="AD651" s="3"/>
      <c r="AE651" s="3"/>
      <c r="AF651" s="3"/>
    </row>
    <row r="652" spans="1:32" ht="15" x14ac:dyDescent="0.25">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3"/>
      <c r="AC652" s="3"/>
      <c r="AD652" s="3"/>
      <c r="AE652" s="3"/>
      <c r="AF652" s="3"/>
    </row>
    <row r="653" spans="1:32" ht="15" x14ac:dyDescent="0.25">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3"/>
      <c r="AC653" s="3"/>
      <c r="AD653" s="3"/>
      <c r="AE653" s="3"/>
      <c r="AF653" s="3"/>
    </row>
    <row r="654" spans="1:32" ht="15" x14ac:dyDescent="0.25">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3"/>
      <c r="AC654" s="3"/>
      <c r="AD654" s="3"/>
      <c r="AE654" s="3"/>
      <c r="AF654" s="3"/>
    </row>
    <row r="655" spans="1:32" ht="15" x14ac:dyDescent="0.25">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3"/>
      <c r="AC655" s="3"/>
      <c r="AD655" s="3"/>
      <c r="AE655" s="3"/>
      <c r="AF655" s="3"/>
    </row>
    <row r="656" spans="1:32" ht="15" x14ac:dyDescent="0.25">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3"/>
      <c r="AC656" s="3"/>
      <c r="AD656" s="3"/>
      <c r="AE656" s="3"/>
      <c r="AF656" s="3"/>
    </row>
    <row r="657" spans="1:32" ht="15" x14ac:dyDescent="0.25">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3"/>
      <c r="AC657" s="3"/>
      <c r="AD657" s="3"/>
      <c r="AE657" s="3"/>
      <c r="AF657" s="3"/>
    </row>
    <row r="658" spans="1:32" ht="15" x14ac:dyDescent="0.25">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3"/>
      <c r="AC658" s="3"/>
      <c r="AD658" s="3"/>
      <c r="AE658" s="3"/>
      <c r="AF658" s="3"/>
    </row>
    <row r="659" spans="1:32" ht="15" x14ac:dyDescent="0.25">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3"/>
      <c r="AC659" s="3"/>
      <c r="AD659" s="3"/>
      <c r="AE659" s="3"/>
      <c r="AF659" s="3"/>
    </row>
    <row r="660" spans="1:32" ht="15" x14ac:dyDescent="0.25">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3"/>
      <c r="AC660" s="3"/>
      <c r="AD660" s="3"/>
      <c r="AE660" s="3"/>
      <c r="AF660" s="3"/>
    </row>
    <row r="661" spans="1:32" ht="15" x14ac:dyDescent="0.25">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3"/>
      <c r="AC661" s="3"/>
      <c r="AD661" s="3"/>
      <c r="AE661" s="3"/>
      <c r="AF661" s="3"/>
    </row>
    <row r="662" spans="1:32" ht="15" x14ac:dyDescent="0.25">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3"/>
      <c r="AC662" s="3"/>
      <c r="AD662" s="3"/>
      <c r="AE662" s="3"/>
      <c r="AF662" s="3"/>
    </row>
    <row r="663" spans="1:32" ht="15" x14ac:dyDescent="0.25">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3"/>
      <c r="AC663" s="3"/>
      <c r="AD663" s="3"/>
      <c r="AE663" s="3"/>
      <c r="AF663" s="3"/>
    </row>
    <row r="664" spans="1:32" ht="15" x14ac:dyDescent="0.25">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3"/>
      <c r="AC664" s="3"/>
      <c r="AD664" s="3"/>
      <c r="AE664" s="3"/>
      <c r="AF664" s="3"/>
    </row>
    <row r="665" spans="1:32" ht="15" x14ac:dyDescent="0.25">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3"/>
      <c r="AC665" s="3"/>
      <c r="AD665" s="3"/>
      <c r="AE665" s="3"/>
      <c r="AF665" s="3"/>
    </row>
    <row r="666" spans="1:32" ht="15" x14ac:dyDescent="0.25">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3"/>
      <c r="AC666" s="3"/>
      <c r="AD666" s="3"/>
      <c r="AE666" s="3"/>
      <c r="AF666" s="3"/>
    </row>
    <row r="667" spans="1:32" ht="15" x14ac:dyDescent="0.25">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3"/>
      <c r="AC667" s="3"/>
      <c r="AD667" s="3"/>
      <c r="AE667" s="3"/>
      <c r="AF667" s="3"/>
    </row>
    <row r="668" spans="1:32" ht="15" x14ac:dyDescent="0.25">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3"/>
      <c r="AC668" s="3"/>
      <c r="AD668" s="3"/>
      <c r="AE668" s="3"/>
      <c r="AF668" s="3"/>
    </row>
    <row r="669" spans="1:32" ht="15" x14ac:dyDescent="0.25">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3"/>
      <c r="AC669" s="3"/>
      <c r="AD669" s="3"/>
      <c r="AE669" s="3"/>
      <c r="AF669" s="3"/>
    </row>
    <row r="670" spans="1:32" ht="15" x14ac:dyDescent="0.25">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3"/>
      <c r="AC670" s="3"/>
      <c r="AD670" s="3"/>
      <c r="AE670" s="3"/>
      <c r="AF670" s="3"/>
    </row>
    <row r="671" spans="1:32" ht="15" x14ac:dyDescent="0.25">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3"/>
      <c r="AC671" s="3"/>
      <c r="AD671" s="3"/>
      <c r="AE671" s="3"/>
      <c r="AF671" s="3"/>
    </row>
    <row r="672" spans="1:32" ht="15" x14ac:dyDescent="0.25">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3"/>
      <c r="AC672" s="3"/>
      <c r="AD672" s="3"/>
      <c r="AE672" s="3"/>
      <c r="AF672" s="3"/>
    </row>
    <row r="673" spans="1:32" ht="15" x14ac:dyDescent="0.25">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3"/>
      <c r="AC673" s="3"/>
      <c r="AD673" s="3"/>
      <c r="AE673" s="3"/>
      <c r="AF673" s="3"/>
    </row>
    <row r="674" spans="1:32" ht="15" x14ac:dyDescent="0.25">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3"/>
      <c r="AC674" s="3"/>
      <c r="AD674" s="3"/>
      <c r="AE674" s="3"/>
      <c r="AF674" s="3"/>
    </row>
    <row r="675" spans="1:32" ht="15" x14ac:dyDescent="0.25">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3"/>
      <c r="AC675" s="3"/>
      <c r="AD675" s="3"/>
      <c r="AE675" s="3"/>
      <c r="AF675" s="3"/>
    </row>
    <row r="676" spans="1:32" ht="15" x14ac:dyDescent="0.25">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3"/>
      <c r="AC676" s="3"/>
      <c r="AD676" s="3"/>
      <c r="AE676" s="3"/>
      <c r="AF676" s="3"/>
    </row>
    <row r="677" spans="1:32" ht="15" x14ac:dyDescent="0.25">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3"/>
      <c r="AC677" s="3"/>
      <c r="AD677" s="3"/>
      <c r="AE677" s="3"/>
      <c r="AF677" s="3"/>
    </row>
    <row r="678" spans="1:32" ht="15" x14ac:dyDescent="0.25">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3"/>
      <c r="AC678" s="3"/>
      <c r="AD678" s="3"/>
      <c r="AE678" s="3"/>
      <c r="AF678" s="3"/>
    </row>
    <row r="679" spans="1:32" ht="15" x14ac:dyDescent="0.25">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3"/>
      <c r="AC679" s="3"/>
      <c r="AD679" s="3"/>
      <c r="AE679" s="3"/>
      <c r="AF679" s="3"/>
    </row>
    <row r="680" spans="1:32" ht="15" x14ac:dyDescent="0.25">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3"/>
      <c r="AC680" s="3"/>
      <c r="AD680" s="3"/>
      <c r="AE680" s="3"/>
      <c r="AF680" s="3"/>
    </row>
    <row r="681" spans="1:32" ht="15" x14ac:dyDescent="0.25">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3"/>
      <c r="AC681" s="3"/>
      <c r="AD681" s="3"/>
      <c r="AE681" s="3"/>
      <c r="AF681" s="3"/>
    </row>
    <row r="682" spans="1:32" ht="15" x14ac:dyDescent="0.25">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3"/>
      <c r="AC682" s="3"/>
      <c r="AD682" s="3"/>
      <c r="AE682" s="3"/>
      <c r="AF682" s="3"/>
    </row>
    <row r="683" spans="1:32" ht="15" x14ac:dyDescent="0.25">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3"/>
      <c r="AC683" s="3"/>
      <c r="AD683" s="3"/>
      <c r="AE683" s="3"/>
      <c r="AF683" s="3"/>
    </row>
    <row r="684" spans="1:32" ht="15" x14ac:dyDescent="0.25">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3"/>
      <c r="AC684" s="3"/>
      <c r="AD684" s="3"/>
      <c r="AE684" s="3"/>
      <c r="AF684" s="3"/>
    </row>
    <row r="685" spans="1:32" ht="15" x14ac:dyDescent="0.25">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3"/>
      <c r="AC685" s="3"/>
      <c r="AD685" s="3"/>
      <c r="AE685" s="3"/>
      <c r="AF685" s="3"/>
    </row>
    <row r="686" spans="1:32" ht="15" x14ac:dyDescent="0.25">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3"/>
      <c r="AC686" s="3"/>
      <c r="AD686" s="3"/>
      <c r="AE686" s="3"/>
      <c r="AF686" s="3"/>
    </row>
    <row r="687" spans="1:32" ht="15" x14ac:dyDescent="0.25">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3"/>
      <c r="AC687" s="3"/>
      <c r="AD687" s="3"/>
      <c r="AE687" s="3"/>
      <c r="AF687" s="3"/>
    </row>
    <row r="688" spans="1:32" ht="15" x14ac:dyDescent="0.25">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3"/>
      <c r="AC688" s="3"/>
      <c r="AD688" s="3"/>
      <c r="AE688" s="3"/>
      <c r="AF688" s="3"/>
    </row>
    <row r="689" spans="1:32" ht="15" x14ac:dyDescent="0.25">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3"/>
      <c r="AC689" s="3"/>
      <c r="AD689" s="3"/>
      <c r="AE689" s="3"/>
      <c r="AF689" s="3"/>
    </row>
    <row r="690" spans="1:32" ht="15" x14ac:dyDescent="0.25">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3"/>
      <c r="AC690" s="3"/>
      <c r="AD690" s="3"/>
      <c r="AE690" s="3"/>
      <c r="AF690" s="3"/>
    </row>
    <row r="691" spans="1:32" ht="15" x14ac:dyDescent="0.25">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3"/>
      <c r="AC691" s="3"/>
      <c r="AD691" s="3"/>
      <c r="AE691" s="3"/>
      <c r="AF691" s="3"/>
    </row>
    <row r="692" spans="1:32" ht="15" x14ac:dyDescent="0.25">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3"/>
      <c r="AC692" s="3"/>
      <c r="AD692" s="3"/>
      <c r="AE692" s="3"/>
      <c r="AF692" s="3"/>
    </row>
    <row r="693" spans="1:32" ht="15" x14ac:dyDescent="0.25">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3"/>
      <c r="AC693" s="3"/>
      <c r="AD693" s="3"/>
      <c r="AE693" s="3"/>
      <c r="AF693" s="3"/>
    </row>
    <row r="694" spans="1:32" ht="15" x14ac:dyDescent="0.25">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3"/>
      <c r="AC694" s="3"/>
      <c r="AD694" s="3"/>
      <c r="AE694" s="3"/>
      <c r="AF694" s="3"/>
    </row>
    <row r="695" spans="1:32" ht="15" x14ac:dyDescent="0.25">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3"/>
      <c r="AC695" s="3"/>
      <c r="AD695" s="3"/>
      <c r="AE695" s="3"/>
      <c r="AF695" s="3"/>
    </row>
    <row r="696" spans="1:32" ht="15" x14ac:dyDescent="0.25">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3"/>
      <c r="AC696" s="3"/>
      <c r="AD696" s="3"/>
      <c r="AE696" s="3"/>
      <c r="AF696" s="3"/>
    </row>
    <row r="697" spans="1:32" ht="15" x14ac:dyDescent="0.25">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3"/>
      <c r="AC697" s="3"/>
      <c r="AD697" s="3"/>
      <c r="AE697" s="3"/>
      <c r="AF697" s="3"/>
    </row>
    <row r="698" spans="1:32" ht="15" x14ac:dyDescent="0.25">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3"/>
      <c r="AC698" s="3"/>
      <c r="AD698" s="3"/>
      <c r="AE698" s="3"/>
      <c r="AF698" s="3"/>
    </row>
    <row r="699" spans="1:32" ht="15" x14ac:dyDescent="0.25">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3"/>
      <c r="AC699" s="3"/>
      <c r="AD699" s="3"/>
      <c r="AE699" s="3"/>
      <c r="AF699" s="3"/>
    </row>
    <row r="700" spans="1:32" ht="15" x14ac:dyDescent="0.25">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3"/>
      <c r="AC700" s="3"/>
      <c r="AD700" s="3"/>
      <c r="AE700" s="3"/>
      <c r="AF700" s="3"/>
    </row>
    <row r="701" spans="1:32" ht="15" x14ac:dyDescent="0.25">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3"/>
      <c r="AC701" s="3"/>
      <c r="AD701" s="3"/>
      <c r="AE701" s="3"/>
      <c r="AF701" s="3"/>
    </row>
    <row r="702" spans="1:32" ht="15" x14ac:dyDescent="0.25">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3"/>
      <c r="AC702" s="3"/>
      <c r="AD702" s="3"/>
      <c r="AE702" s="3"/>
      <c r="AF702" s="3"/>
    </row>
    <row r="703" spans="1:32" ht="15" x14ac:dyDescent="0.25">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3"/>
      <c r="AC703" s="3"/>
      <c r="AD703" s="3"/>
      <c r="AE703" s="3"/>
      <c r="AF703" s="3"/>
    </row>
    <row r="704" spans="1:32" ht="15" x14ac:dyDescent="0.25">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3"/>
      <c r="AC704" s="3"/>
      <c r="AD704" s="3"/>
      <c r="AE704" s="3"/>
      <c r="AF704" s="3"/>
    </row>
    <row r="705" spans="1:32" ht="15" x14ac:dyDescent="0.25">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3"/>
      <c r="AC705" s="3"/>
      <c r="AD705" s="3"/>
      <c r="AE705" s="3"/>
      <c r="AF705" s="3"/>
    </row>
    <row r="706" spans="1:32" ht="15" x14ac:dyDescent="0.25">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3"/>
      <c r="AC706" s="3"/>
      <c r="AD706" s="3"/>
      <c r="AE706" s="3"/>
      <c r="AF706" s="3"/>
    </row>
    <row r="707" spans="1:32" ht="15" x14ac:dyDescent="0.25">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3"/>
      <c r="AC707" s="3"/>
      <c r="AD707" s="3"/>
      <c r="AE707" s="3"/>
      <c r="AF707" s="3"/>
    </row>
    <row r="708" spans="1:32" ht="15" x14ac:dyDescent="0.25">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3"/>
      <c r="AC708" s="3"/>
      <c r="AD708" s="3"/>
      <c r="AE708" s="3"/>
      <c r="AF708" s="3"/>
    </row>
    <row r="709" spans="1:32" ht="15" x14ac:dyDescent="0.25">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3"/>
      <c r="AC709" s="3"/>
      <c r="AD709" s="3"/>
      <c r="AE709" s="3"/>
      <c r="AF709" s="3"/>
    </row>
    <row r="710" spans="1:32" ht="15" x14ac:dyDescent="0.25">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3"/>
      <c r="AC710" s="3"/>
      <c r="AD710" s="3"/>
      <c r="AE710" s="3"/>
      <c r="AF710" s="3"/>
    </row>
    <row r="711" spans="1:32" ht="15" x14ac:dyDescent="0.25">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3"/>
      <c r="AC711" s="3"/>
      <c r="AD711" s="3"/>
      <c r="AE711" s="3"/>
      <c r="AF711" s="3"/>
    </row>
    <row r="712" spans="1:32" ht="15" x14ac:dyDescent="0.25">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3"/>
      <c r="AC712" s="3"/>
      <c r="AD712" s="3"/>
      <c r="AE712" s="3"/>
      <c r="AF712" s="3"/>
    </row>
    <row r="713" spans="1:32" ht="15" x14ac:dyDescent="0.25">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3"/>
      <c r="AC713" s="3"/>
      <c r="AD713" s="3"/>
      <c r="AE713" s="3"/>
      <c r="AF713" s="3"/>
    </row>
    <row r="714" spans="1:32" ht="15" x14ac:dyDescent="0.25">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3"/>
      <c r="AC714" s="3"/>
      <c r="AD714" s="3"/>
      <c r="AE714" s="3"/>
      <c r="AF714" s="3"/>
    </row>
    <row r="715" spans="1:32" ht="15" x14ac:dyDescent="0.25">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3"/>
      <c r="AC715" s="3"/>
      <c r="AD715" s="3"/>
      <c r="AE715" s="3"/>
      <c r="AF715" s="3"/>
    </row>
    <row r="716" spans="1:32" ht="15" x14ac:dyDescent="0.25">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3"/>
      <c r="AC716" s="3"/>
      <c r="AD716" s="3"/>
      <c r="AE716" s="3"/>
      <c r="AF716" s="3"/>
    </row>
    <row r="717" spans="1:32" ht="15" x14ac:dyDescent="0.25">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3"/>
      <c r="AC717" s="3"/>
      <c r="AD717" s="3"/>
      <c r="AE717" s="3"/>
      <c r="AF717" s="3"/>
    </row>
    <row r="718" spans="1:32" ht="15" x14ac:dyDescent="0.25">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3"/>
      <c r="AC718" s="3"/>
      <c r="AD718" s="3"/>
      <c r="AE718" s="3"/>
      <c r="AF718" s="3"/>
    </row>
    <row r="719" spans="1:32" ht="15" x14ac:dyDescent="0.25">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3"/>
      <c r="AC719" s="3"/>
      <c r="AD719" s="3"/>
      <c r="AE719" s="3"/>
      <c r="AF719" s="3"/>
    </row>
    <row r="720" spans="1:32" ht="15" x14ac:dyDescent="0.25">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3"/>
      <c r="AC720" s="3"/>
      <c r="AD720" s="3"/>
      <c r="AE720" s="3"/>
      <c r="AF720" s="3"/>
    </row>
    <row r="721" spans="1:32" ht="15" x14ac:dyDescent="0.25">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3"/>
      <c r="AC721" s="3"/>
      <c r="AD721" s="3"/>
      <c r="AE721" s="3"/>
      <c r="AF721" s="3"/>
    </row>
    <row r="722" spans="1:32" ht="15" x14ac:dyDescent="0.25">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3"/>
      <c r="AC722" s="3"/>
      <c r="AD722" s="3"/>
      <c r="AE722" s="3"/>
      <c r="AF722" s="3"/>
    </row>
    <row r="723" spans="1:32" ht="15" x14ac:dyDescent="0.25">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3"/>
      <c r="AC723" s="3"/>
      <c r="AD723" s="3"/>
      <c r="AE723" s="3"/>
      <c r="AF723" s="3"/>
    </row>
    <row r="724" spans="1:32" ht="15" x14ac:dyDescent="0.25">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3"/>
      <c r="AC724" s="3"/>
      <c r="AD724" s="3"/>
      <c r="AE724" s="3"/>
      <c r="AF724" s="3"/>
    </row>
    <row r="725" spans="1:32" ht="15" x14ac:dyDescent="0.25">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3"/>
      <c r="AC725" s="3"/>
      <c r="AD725" s="3"/>
      <c r="AE725" s="3"/>
      <c r="AF725" s="3"/>
    </row>
    <row r="726" spans="1:32" ht="15" x14ac:dyDescent="0.25">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3"/>
      <c r="AC726" s="3"/>
      <c r="AD726" s="3"/>
      <c r="AE726" s="3"/>
      <c r="AF726" s="3"/>
    </row>
    <row r="727" spans="1:32" ht="15" x14ac:dyDescent="0.25">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3"/>
      <c r="AC727" s="3"/>
      <c r="AD727" s="3"/>
      <c r="AE727" s="3"/>
      <c r="AF727" s="3"/>
    </row>
    <row r="728" spans="1:32" ht="15" x14ac:dyDescent="0.25">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3"/>
      <c r="AC728" s="3"/>
      <c r="AD728" s="3"/>
      <c r="AE728" s="3"/>
      <c r="AF728" s="3"/>
    </row>
    <row r="729" spans="1:32" ht="15" x14ac:dyDescent="0.25">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3"/>
      <c r="AC729" s="3"/>
      <c r="AD729" s="3"/>
      <c r="AE729" s="3"/>
      <c r="AF729" s="3"/>
    </row>
    <row r="730" spans="1:32" ht="15" x14ac:dyDescent="0.25">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3"/>
      <c r="AC730" s="3"/>
      <c r="AD730" s="3"/>
      <c r="AE730" s="3"/>
      <c r="AF730" s="3"/>
    </row>
    <row r="731" spans="1:32" ht="15" x14ac:dyDescent="0.25">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3"/>
      <c r="AC731" s="3"/>
      <c r="AD731" s="3"/>
      <c r="AE731" s="3"/>
      <c r="AF731" s="3"/>
    </row>
    <row r="732" spans="1:32" ht="15" x14ac:dyDescent="0.25">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3"/>
      <c r="AC732" s="3"/>
      <c r="AD732" s="3"/>
      <c r="AE732" s="3"/>
      <c r="AF732" s="3"/>
    </row>
    <row r="733" spans="1:32" ht="15" x14ac:dyDescent="0.25">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3"/>
      <c r="AC733" s="3"/>
      <c r="AD733" s="3"/>
      <c r="AE733" s="3"/>
      <c r="AF733" s="3"/>
    </row>
    <row r="734" spans="1:32" ht="15" x14ac:dyDescent="0.25">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3"/>
      <c r="AC734" s="3"/>
      <c r="AD734" s="3"/>
      <c r="AE734" s="3"/>
      <c r="AF734" s="3"/>
    </row>
    <row r="735" spans="1:32" ht="15" x14ac:dyDescent="0.25">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3"/>
      <c r="AC735" s="3"/>
      <c r="AD735" s="3"/>
      <c r="AE735" s="3"/>
      <c r="AF735" s="3"/>
    </row>
    <row r="736" spans="1:32" ht="15" x14ac:dyDescent="0.25">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3"/>
      <c r="AC736" s="3"/>
      <c r="AD736" s="3"/>
      <c r="AE736" s="3"/>
      <c r="AF736" s="3"/>
    </row>
    <row r="737" spans="1:32" ht="15" x14ac:dyDescent="0.25">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3"/>
      <c r="AC737" s="3"/>
      <c r="AD737" s="3"/>
      <c r="AE737" s="3"/>
      <c r="AF737" s="3"/>
    </row>
    <row r="738" spans="1:32" ht="15" x14ac:dyDescent="0.25">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3"/>
      <c r="AC738" s="3"/>
      <c r="AD738" s="3"/>
      <c r="AE738" s="3"/>
      <c r="AF738" s="3"/>
    </row>
    <row r="739" spans="1:32" ht="15" x14ac:dyDescent="0.25">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3"/>
      <c r="AC739" s="3"/>
      <c r="AD739" s="3"/>
      <c r="AE739" s="3"/>
      <c r="AF739" s="3"/>
    </row>
    <row r="740" spans="1:32" ht="15" x14ac:dyDescent="0.25">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3"/>
      <c r="AC740" s="3"/>
      <c r="AD740" s="3"/>
      <c r="AE740" s="3"/>
      <c r="AF740" s="3"/>
    </row>
    <row r="741" spans="1:32" ht="15" x14ac:dyDescent="0.25">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3"/>
      <c r="AC741" s="3"/>
      <c r="AD741" s="3"/>
      <c r="AE741" s="3"/>
      <c r="AF741" s="3"/>
    </row>
    <row r="742" spans="1:32" ht="15" x14ac:dyDescent="0.25">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3"/>
      <c r="AC742" s="3"/>
      <c r="AD742" s="3"/>
      <c r="AE742" s="3"/>
      <c r="AF742" s="3"/>
    </row>
    <row r="743" spans="1:32" ht="15" x14ac:dyDescent="0.25">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3"/>
      <c r="AC743" s="3"/>
      <c r="AD743" s="3"/>
      <c r="AE743" s="3"/>
      <c r="AF743" s="3"/>
    </row>
    <row r="744" spans="1:32" ht="15" x14ac:dyDescent="0.25">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3"/>
      <c r="AC744" s="3"/>
      <c r="AD744" s="3"/>
      <c r="AE744" s="3"/>
      <c r="AF744" s="3"/>
    </row>
    <row r="745" spans="1:32" ht="15" x14ac:dyDescent="0.25">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3"/>
      <c r="AC745" s="3"/>
      <c r="AD745" s="3"/>
      <c r="AE745" s="3"/>
      <c r="AF745" s="3"/>
    </row>
    <row r="746" spans="1:32" ht="15" x14ac:dyDescent="0.25">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3"/>
      <c r="AC746" s="3"/>
      <c r="AD746" s="3"/>
      <c r="AE746" s="3"/>
      <c r="AF746" s="3"/>
    </row>
    <row r="747" spans="1:32" ht="15" x14ac:dyDescent="0.25">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3"/>
      <c r="AC747" s="3"/>
      <c r="AD747" s="3"/>
      <c r="AE747" s="3"/>
      <c r="AF747" s="3"/>
    </row>
    <row r="748" spans="1:32" ht="15" x14ac:dyDescent="0.25">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3"/>
      <c r="AC748" s="3"/>
      <c r="AD748" s="3"/>
      <c r="AE748" s="3"/>
      <c r="AF748" s="3"/>
    </row>
    <row r="749" spans="1:32" ht="15" x14ac:dyDescent="0.25">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3"/>
      <c r="AC749" s="3"/>
      <c r="AD749" s="3"/>
      <c r="AE749" s="3"/>
      <c r="AF749" s="3"/>
    </row>
    <row r="750" spans="1:32" ht="15" x14ac:dyDescent="0.25">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3"/>
      <c r="AC750" s="3"/>
      <c r="AD750" s="3"/>
      <c r="AE750" s="3"/>
      <c r="AF750" s="3"/>
    </row>
    <row r="751" spans="1:32" ht="15" x14ac:dyDescent="0.25">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3"/>
      <c r="AC751" s="3"/>
      <c r="AD751" s="3"/>
      <c r="AE751" s="3"/>
      <c r="AF751" s="3"/>
    </row>
    <row r="752" spans="1:32" ht="15" x14ac:dyDescent="0.25">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3"/>
      <c r="AC752" s="3"/>
      <c r="AD752" s="3"/>
      <c r="AE752" s="3"/>
      <c r="AF752" s="3"/>
    </row>
    <row r="753" spans="1:32" ht="15" x14ac:dyDescent="0.25">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3"/>
      <c r="AC753" s="3"/>
      <c r="AD753" s="3"/>
      <c r="AE753" s="3"/>
      <c r="AF753" s="3"/>
    </row>
    <row r="754" spans="1:32" ht="15" x14ac:dyDescent="0.25">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3"/>
      <c r="AC754" s="3"/>
      <c r="AD754" s="3"/>
      <c r="AE754" s="3"/>
      <c r="AF754" s="3"/>
    </row>
    <row r="755" spans="1:32" ht="15" x14ac:dyDescent="0.25">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3"/>
      <c r="AC755" s="3"/>
      <c r="AD755" s="3"/>
      <c r="AE755" s="3"/>
      <c r="AF755" s="3"/>
    </row>
    <row r="756" spans="1:32" ht="15" x14ac:dyDescent="0.25">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3"/>
      <c r="AC756" s="3"/>
      <c r="AD756" s="3"/>
      <c r="AE756" s="3"/>
      <c r="AF756" s="3"/>
    </row>
    <row r="757" spans="1:32" ht="15" x14ac:dyDescent="0.25">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3"/>
      <c r="AC757" s="3"/>
      <c r="AD757" s="3"/>
      <c r="AE757" s="3"/>
      <c r="AF757" s="3"/>
    </row>
    <row r="758" spans="1:32" ht="15" x14ac:dyDescent="0.25">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3"/>
      <c r="AC758" s="3"/>
      <c r="AD758" s="3"/>
      <c r="AE758" s="3"/>
      <c r="AF758" s="3"/>
    </row>
    <row r="759" spans="1:32" ht="15" x14ac:dyDescent="0.25">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3"/>
      <c r="AC759" s="3"/>
      <c r="AD759" s="3"/>
      <c r="AE759" s="3"/>
      <c r="AF759" s="3"/>
    </row>
    <row r="760" spans="1:32" ht="15" x14ac:dyDescent="0.25">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3"/>
      <c r="AC760" s="3"/>
      <c r="AD760" s="3"/>
      <c r="AE760" s="3"/>
      <c r="AF760" s="3"/>
    </row>
    <row r="761" spans="1:32" ht="15" x14ac:dyDescent="0.25">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3"/>
      <c r="AC761" s="3"/>
      <c r="AD761" s="3"/>
      <c r="AE761" s="3"/>
      <c r="AF761" s="3"/>
    </row>
    <row r="762" spans="1:32" ht="15" x14ac:dyDescent="0.25">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3"/>
      <c r="AC762" s="3"/>
      <c r="AD762" s="3"/>
      <c r="AE762" s="3"/>
      <c r="AF762" s="3"/>
    </row>
    <row r="763" spans="1:32" ht="15" x14ac:dyDescent="0.25">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3"/>
      <c r="AC763" s="3"/>
      <c r="AD763" s="3"/>
      <c r="AE763" s="3"/>
      <c r="AF763" s="3"/>
    </row>
    <row r="764" spans="1:32" ht="15" x14ac:dyDescent="0.25">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3"/>
      <c r="AC764" s="3"/>
      <c r="AD764" s="3"/>
      <c r="AE764" s="3"/>
      <c r="AF764" s="3"/>
    </row>
    <row r="765" spans="1:32" ht="15" x14ac:dyDescent="0.25">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3"/>
      <c r="AC765" s="3"/>
      <c r="AD765" s="3"/>
      <c r="AE765" s="3"/>
      <c r="AF765" s="3"/>
    </row>
    <row r="766" spans="1:32" ht="15" x14ac:dyDescent="0.25">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3"/>
      <c r="AC766" s="3"/>
      <c r="AD766" s="3"/>
      <c r="AE766" s="3"/>
      <c r="AF766" s="3"/>
    </row>
    <row r="767" spans="1:32" ht="15" x14ac:dyDescent="0.25">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3"/>
      <c r="AC767" s="3"/>
      <c r="AD767" s="3"/>
      <c r="AE767" s="3"/>
      <c r="AF767" s="3"/>
    </row>
    <row r="768" spans="1:32" ht="15" x14ac:dyDescent="0.25">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3"/>
      <c r="AC768" s="3"/>
      <c r="AD768" s="3"/>
      <c r="AE768" s="3"/>
      <c r="AF768" s="3"/>
    </row>
    <row r="769" spans="1:32" ht="15" x14ac:dyDescent="0.25">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3"/>
      <c r="AC769" s="3"/>
      <c r="AD769" s="3"/>
      <c r="AE769" s="3"/>
      <c r="AF769" s="3"/>
    </row>
    <row r="770" spans="1:32" ht="15" x14ac:dyDescent="0.25">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3"/>
      <c r="AC770" s="3"/>
      <c r="AD770" s="3"/>
      <c r="AE770" s="3"/>
      <c r="AF770" s="3"/>
    </row>
    <row r="771" spans="1:32" ht="15" x14ac:dyDescent="0.25">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3"/>
      <c r="AC771" s="3"/>
      <c r="AD771" s="3"/>
      <c r="AE771" s="3"/>
      <c r="AF771" s="3"/>
    </row>
    <row r="772" spans="1:32" ht="15" x14ac:dyDescent="0.25">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3"/>
      <c r="AC772" s="3"/>
      <c r="AD772" s="3"/>
      <c r="AE772" s="3"/>
      <c r="AF772" s="3"/>
    </row>
    <row r="773" spans="1:32" ht="15" x14ac:dyDescent="0.25">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3"/>
      <c r="AC773" s="3"/>
      <c r="AD773" s="3"/>
      <c r="AE773" s="3"/>
      <c r="AF773" s="3"/>
    </row>
    <row r="774" spans="1:32" ht="15" x14ac:dyDescent="0.25">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3"/>
      <c r="AB774" s="3"/>
      <c r="AC774" s="3"/>
      <c r="AD774" s="3"/>
      <c r="AE774" s="3"/>
      <c r="AF774" s="3"/>
    </row>
    <row r="775" spans="1:32" ht="15" x14ac:dyDescent="0.25">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3"/>
      <c r="AB775" s="3"/>
      <c r="AC775" s="3"/>
      <c r="AD775" s="3"/>
      <c r="AE775" s="3"/>
      <c r="AF775" s="3"/>
    </row>
    <row r="776" spans="1:32" ht="15" x14ac:dyDescent="0.25">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3"/>
      <c r="AB776" s="3"/>
      <c r="AC776" s="3"/>
      <c r="AD776" s="3"/>
      <c r="AE776" s="3"/>
      <c r="AF776" s="3"/>
    </row>
    <row r="777" spans="1:32" ht="15" x14ac:dyDescent="0.25">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3"/>
      <c r="AB777" s="3"/>
      <c r="AC777" s="3"/>
      <c r="AD777" s="3"/>
      <c r="AE777" s="3"/>
      <c r="AF777" s="3"/>
    </row>
    <row r="778" spans="1:32" ht="15" x14ac:dyDescent="0.25">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3"/>
      <c r="AB778" s="3"/>
      <c r="AC778" s="3"/>
      <c r="AD778" s="3"/>
      <c r="AE778" s="3"/>
      <c r="AF778" s="3"/>
    </row>
    <row r="779" spans="1:32" ht="15" x14ac:dyDescent="0.25">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3"/>
      <c r="AB779" s="3"/>
      <c r="AC779" s="3"/>
      <c r="AD779" s="3"/>
      <c r="AE779" s="3"/>
      <c r="AF779" s="3"/>
    </row>
    <row r="780" spans="1:32" ht="15" x14ac:dyDescent="0.25">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3"/>
      <c r="AB780" s="3"/>
      <c r="AC780" s="3"/>
      <c r="AD780" s="3"/>
      <c r="AE780" s="3"/>
      <c r="AF780" s="3"/>
    </row>
    <row r="781" spans="1:32" ht="15" x14ac:dyDescent="0.25">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3"/>
      <c r="AB781" s="3"/>
      <c r="AC781" s="3"/>
      <c r="AD781" s="3"/>
      <c r="AE781" s="3"/>
      <c r="AF781" s="3"/>
    </row>
    <row r="782" spans="1:32" ht="15" x14ac:dyDescent="0.25">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3"/>
      <c r="AB782" s="3"/>
      <c r="AC782" s="3"/>
      <c r="AD782" s="3"/>
      <c r="AE782" s="3"/>
      <c r="AF782" s="3"/>
    </row>
    <row r="783" spans="1:32" ht="15" x14ac:dyDescent="0.25">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3"/>
      <c r="AB783" s="3"/>
      <c r="AC783" s="3"/>
      <c r="AD783" s="3"/>
      <c r="AE783" s="3"/>
      <c r="AF783" s="3"/>
    </row>
    <row r="784" spans="1:32" ht="15" x14ac:dyDescent="0.25">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3"/>
      <c r="AB784" s="3"/>
      <c r="AC784" s="3"/>
      <c r="AD784" s="3"/>
      <c r="AE784" s="3"/>
      <c r="AF784" s="3"/>
    </row>
    <row r="785" spans="1:32" ht="15" x14ac:dyDescent="0.25">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3"/>
      <c r="AB785" s="3"/>
      <c r="AC785" s="3"/>
      <c r="AD785" s="3"/>
      <c r="AE785" s="3"/>
      <c r="AF785" s="3"/>
    </row>
    <row r="786" spans="1:32" ht="15" x14ac:dyDescent="0.25">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3"/>
      <c r="AB786" s="3"/>
      <c r="AC786" s="3"/>
      <c r="AD786" s="3"/>
      <c r="AE786" s="3"/>
      <c r="AF786" s="3"/>
    </row>
    <row r="787" spans="1:32" ht="15" x14ac:dyDescent="0.25">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3"/>
      <c r="AB787" s="3"/>
      <c r="AC787" s="3"/>
      <c r="AD787" s="3"/>
      <c r="AE787" s="3"/>
      <c r="AF787" s="3"/>
    </row>
    <row r="788" spans="1:32" ht="15" x14ac:dyDescent="0.25">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3"/>
      <c r="AB788" s="3"/>
      <c r="AC788" s="3"/>
      <c r="AD788" s="3"/>
      <c r="AE788" s="3"/>
      <c r="AF788" s="3"/>
    </row>
    <row r="789" spans="1:32" ht="15" x14ac:dyDescent="0.25">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3"/>
      <c r="AB789" s="3"/>
      <c r="AC789" s="3"/>
      <c r="AD789" s="3"/>
      <c r="AE789" s="3"/>
      <c r="AF789" s="3"/>
    </row>
    <row r="790" spans="1:32" ht="15" x14ac:dyDescent="0.25">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3"/>
      <c r="AB790" s="3"/>
      <c r="AC790" s="3"/>
      <c r="AD790" s="3"/>
      <c r="AE790" s="3"/>
      <c r="AF790" s="3"/>
    </row>
    <row r="791" spans="1:32" ht="15" x14ac:dyDescent="0.25">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3"/>
      <c r="AB791" s="3"/>
      <c r="AC791" s="3"/>
      <c r="AD791" s="3"/>
      <c r="AE791" s="3"/>
      <c r="AF791" s="3"/>
    </row>
    <row r="792" spans="1:32" ht="15" x14ac:dyDescent="0.25">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3"/>
      <c r="AB792" s="3"/>
      <c r="AC792" s="3"/>
      <c r="AD792" s="3"/>
      <c r="AE792" s="3"/>
      <c r="AF792" s="3"/>
    </row>
    <row r="793" spans="1:32" ht="15" x14ac:dyDescent="0.25">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3"/>
      <c r="AB793" s="3"/>
      <c r="AC793" s="3"/>
      <c r="AD793" s="3"/>
      <c r="AE793" s="3"/>
      <c r="AF793" s="3"/>
    </row>
    <row r="794" spans="1:32" ht="15" x14ac:dyDescent="0.25">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3"/>
      <c r="AB794" s="3"/>
      <c r="AC794" s="3"/>
      <c r="AD794" s="3"/>
      <c r="AE794" s="3"/>
      <c r="AF794" s="3"/>
    </row>
    <row r="795" spans="1:32" ht="15" x14ac:dyDescent="0.25">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3"/>
      <c r="AB795" s="3"/>
      <c r="AC795" s="3"/>
      <c r="AD795" s="3"/>
      <c r="AE795" s="3"/>
      <c r="AF795" s="3"/>
    </row>
    <row r="796" spans="1:32" ht="15" x14ac:dyDescent="0.25">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3"/>
      <c r="AB796" s="3"/>
      <c r="AC796" s="3"/>
      <c r="AD796" s="3"/>
      <c r="AE796" s="3"/>
      <c r="AF796" s="3"/>
    </row>
    <row r="797" spans="1:32" ht="15" x14ac:dyDescent="0.25">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3"/>
      <c r="AB797" s="3"/>
      <c r="AC797" s="3"/>
      <c r="AD797" s="3"/>
      <c r="AE797" s="3"/>
      <c r="AF797" s="3"/>
    </row>
    <row r="798" spans="1:32" ht="15" x14ac:dyDescent="0.25">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3"/>
      <c r="AB798" s="3"/>
      <c r="AC798" s="3"/>
      <c r="AD798" s="3"/>
      <c r="AE798" s="3"/>
      <c r="AF798" s="3"/>
    </row>
    <row r="799" spans="1:32" ht="15" x14ac:dyDescent="0.25">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3"/>
      <c r="AB799" s="3"/>
      <c r="AC799" s="3"/>
      <c r="AD799" s="3"/>
      <c r="AE799" s="3"/>
      <c r="AF799" s="3"/>
    </row>
    <row r="800" spans="1:32" ht="15" x14ac:dyDescent="0.25">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3"/>
      <c r="AB800" s="3"/>
      <c r="AC800" s="3"/>
      <c r="AD800" s="3"/>
      <c r="AE800" s="3"/>
      <c r="AF800" s="3"/>
    </row>
    <row r="801" spans="1:32" ht="15" x14ac:dyDescent="0.25">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c r="AA801" s="3"/>
      <c r="AB801" s="3"/>
      <c r="AC801" s="3"/>
      <c r="AD801" s="3"/>
      <c r="AE801" s="3"/>
      <c r="AF801" s="3"/>
    </row>
    <row r="802" spans="1:32" ht="15" x14ac:dyDescent="0.25">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c r="AA802" s="3"/>
      <c r="AB802" s="3"/>
      <c r="AC802" s="3"/>
      <c r="AD802" s="3"/>
      <c r="AE802" s="3"/>
      <c r="AF802" s="3"/>
    </row>
    <row r="803" spans="1:32" ht="15" x14ac:dyDescent="0.25">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c r="AA803" s="3"/>
      <c r="AB803" s="3"/>
      <c r="AC803" s="3"/>
      <c r="AD803" s="3"/>
      <c r="AE803" s="3"/>
      <c r="AF803" s="3"/>
    </row>
    <row r="804" spans="1:32" ht="15" x14ac:dyDescent="0.25">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c r="AA804" s="3"/>
      <c r="AB804" s="3"/>
      <c r="AC804" s="3"/>
      <c r="AD804" s="3"/>
      <c r="AE804" s="3"/>
      <c r="AF804" s="3"/>
    </row>
    <row r="805" spans="1:32" ht="15" x14ac:dyDescent="0.25">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c r="AA805" s="3"/>
      <c r="AB805" s="3"/>
      <c r="AC805" s="3"/>
      <c r="AD805" s="3"/>
      <c r="AE805" s="3"/>
      <c r="AF805" s="3"/>
    </row>
    <row r="806" spans="1:32" ht="15" x14ac:dyDescent="0.25">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c r="AA806" s="3"/>
      <c r="AB806" s="3"/>
      <c r="AC806" s="3"/>
      <c r="AD806" s="3"/>
      <c r="AE806" s="3"/>
      <c r="AF806" s="3"/>
    </row>
    <row r="807" spans="1:32" ht="15" x14ac:dyDescent="0.25">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c r="AA807" s="3"/>
      <c r="AB807" s="3"/>
      <c r="AC807" s="3"/>
      <c r="AD807" s="3"/>
      <c r="AE807" s="3"/>
      <c r="AF807" s="3"/>
    </row>
    <row r="808" spans="1:32" ht="15" x14ac:dyDescent="0.25">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c r="AA808" s="3"/>
      <c r="AB808" s="3"/>
      <c r="AC808" s="3"/>
      <c r="AD808" s="3"/>
      <c r="AE808" s="3"/>
      <c r="AF808" s="3"/>
    </row>
    <row r="809" spans="1:32" ht="15" x14ac:dyDescent="0.25">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c r="AA809" s="3"/>
      <c r="AB809" s="3"/>
      <c r="AC809" s="3"/>
      <c r="AD809" s="3"/>
      <c r="AE809" s="3"/>
      <c r="AF809" s="3"/>
    </row>
    <row r="810" spans="1:32" ht="15" x14ac:dyDescent="0.25">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c r="AA810" s="3"/>
      <c r="AB810" s="3"/>
      <c r="AC810" s="3"/>
      <c r="AD810" s="3"/>
      <c r="AE810" s="3"/>
      <c r="AF810" s="3"/>
    </row>
    <row r="811" spans="1:32" ht="15" x14ac:dyDescent="0.25">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c r="AA811" s="3"/>
      <c r="AB811" s="3"/>
      <c r="AC811" s="3"/>
      <c r="AD811" s="3"/>
      <c r="AE811" s="3"/>
      <c r="AF811" s="3"/>
    </row>
    <row r="812" spans="1:32" ht="15" x14ac:dyDescent="0.25">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c r="AA812" s="3"/>
      <c r="AB812" s="3"/>
      <c r="AC812" s="3"/>
      <c r="AD812" s="3"/>
      <c r="AE812" s="3"/>
      <c r="AF812" s="3"/>
    </row>
    <row r="813" spans="1:32" ht="15" x14ac:dyDescent="0.25">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c r="AA813" s="3"/>
      <c r="AB813" s="3"/>
      <c r="AC813" s="3"/>
      <c r="AD813" s="3"/>
      <c r="AE813" s="3"/>
      <c r="AF813" s="3"/>
    </row>
    <row r="814" spans="1:32" ht="15" x14ac:dyDescent="0.25">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c r="AA814" s="3"/>
      <c r="AB814" s="3"/>
      <c r="AC814" s="3"/>
      <c r="AD814" s="3"/>
      <c r="AE814" s="3"/>
      <c r="AF814" s="3"/>
    </row>
    <row r="815" spans="1:32" ht="15" x14ac:dyDescent="0.25">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c r="AA815" s="3"/>
      <c r="AB815" s="3"/>
      <c r="AC815" s="3"/>
      <c r="AD815" s="3"/>
      <c r="AE815" s="3"/>
      <c r="AF815" s="3"/>
    </row>
    <row r="816" spans="1:32" ht="15" x14ac:dyDescent="0.25">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c r="AA816" s="3"/>
      <c r="AB816" s="3"/>
      <c r="AC816" s="3"/>
      <c r="AD816" s="3"/>
      <c r="AE816" s="3"/>
      <c r="AF816" s="3"/>
    </row>
    <row r="817" spans="1:32" ht="15" x14ac:dyDescent="0.25">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c r="AA817" s="3"/>
      <c r="AB817" s="3"/>
      <c r="AC817" s="3"/>
      <c r="AD817" s="3"/>
      <c r="AE817" s="3"/>
      <c r="AF817" s="3"/>
    </row>
    <row r="818" spans="1:32" ht="15" x14ac:dyDescent="0.25">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c r="AA818" s="3"/>
      <c r="AB818" s="3"/>
      <c r="AC818" s="3"/>
      <c r="AD818" s="3"/>
      <c r="AE818" s="3"/>
      <c r="AF818" s="3"/>
    </row>
    <row r="819" spans="1:32" ht="15" x14ac:dyDescent="0.25">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c r="AA819" s="3"/>
      <c r="AB819" s="3"/>
      <c r="AC819" s="3"/>
      <c r="AD819" s="3"/>
      <c r="AE819" s="3"/>
      <c r="AF819" s="3"/>
    </row>
    <row r="820" spans="1:32" ht="15" x14ac:dyDescent="0.25">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c r="AA820" s="3"/>
      <c r="AB820" s="3"/>
      <c r="AC820" s="3"/>
      <c r="AD820" s="3"/>
      <c r="AE820" s="3"/>
      <c r="AF820" s="3"/>
    </row>
    <row r="821" spans="1:32" ht="15" x14ac:dyDescent="0.25">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c r="AA821" s="3"/>
      <c r="AB821" s="3"/>
      <c r="AC821" s="3"/>
      <c r="AD821" s="3"/>
      <c r="AE821" s="3"/>
      <c r="AF821" s="3"/>
    </row>
    <row r="822" spans="1:32" ht="15" x14ac:dyDescent="0.25">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c r="AA822" s="3"/>
      <c r="AB822" s="3"/>
      <c r="AC822" s="3"/>
      <c r="AD822" s="3"/>
      <c r="AE822" s="3"/>
      <c r="AF822" s="3"/>
    </row>
    <row r="823" spans="1:32" ht="15" x14ac:dyDescent="0.25">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c r="AA823" s="3"/>
      <c r="AB823" s="3"/>
      <c r="AC823" s="3"/>
      <c r="AD823" s="3"/>
      <c r="AE823" s="3"/>
      <c r="AF823" s="3"/>
    </row>
    <row r="824" spans="1:32" ht="15" x14ac:dyDescent="0.25">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c r="AA824" s="3"/>
      <c r="AB824" s="3"/>
      <c r="AC824" s="3"/>
      <c r="AD824" s="3"/>
      <c r="AE824" s="3"/>
      <c r="AF824" s="3"/>
    </row>
    <row r="825" spans="1:32" ht="15" x14ac:dyDescent="0.25">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c r="AA825" s="3"/>
      <c r="AB825" s="3"/>
      <c r="AC825" s="3"/>
      <c r="AD825" s="3"/>
      <c r="AE825" s="3"/>
      <c r="AF825" s="3"/>
    </row>
    <row r="826" spans="1:32" ht="15" x14ac:dyDescent="0.25">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c r="AA826" s="3"/>
      <c r="AB826" s="3"/>
      <c r="AC826" s="3"/>
      <c r="AD826" s="3"/>
      <c r="AE826" s="3"/>
      <c r="AF826" s="3"/>
    </row>
    <row r="827" spans="1:32" ht="15" x14ac:dyDescent="0.25">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c r="AA827" s="3"/>
      <c r="AB827" s="3"/>
      <c r="AC827" s="3"/>
      <c r="AD827" s="3"/>
      <c r="AE827" s="3"/>
      <c r="AF827" s="3"/>
    </row>
    <row r="828" spans="1:32" ht="15" x14ac:dyDescent="0.25">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c r="AA828" s="3"/>
      <c r="AB828" s="3"/>
      <c r="AC828" s="3"/>
      <c r="AD828" s="3"/>
      <c r="AE828" s="3"/>
      <c r="AF828" s="3"/>
    </row>
    <row r="829" spans="1:32" ht="15" x14ac:dyDescent="0.25">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c r="AA829" s="3"/>
      <c r="AB829" s="3"/>
      <c r="AC829" s="3"/>
      <c r="AD829" s="3"/>
      <c r="AE829" s="3"/>
      <c r="AF829" s="3"/>
    </row>
    <row r="830" spans="1:32" ht="15" x14ac:dyDescent="0.25">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c r="AA830" s="3"/>
      <c r="AB830" s="3"/>
      <c r="AC830" s="3"/>
      <c r="AD830" s="3"/>
      <c r="AE830" s="3"/>
      <c r="AF830" s="3"/>
    </row>
    <row r="831" spans="1:32" ht="15" x14ac:dyDescent="0.25">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c r="AA831" s="3"/>
      <c r="AB831" s="3"/>
      <c r="AC831" s="3"/>
      <c r="AD831" s="3"/>
      <c r="AE831" s="3"/>
      <c r="AF831" s="3"/>
    </row>
    <row r="832" spans="1:32" ht="15" x14ac:dyDescent="0.25">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c r="AA832" s="3"/>
      <c r="AB832" s="3"/>
      <c r="AC832" s="3"/>
      <c r="AD832" s="3"/>
      <c r="AE832" s="3"/>
      <c r="AF832" s="3"/>
    </row>
    <row r="833" spans="1:32" ht="15" x14ac:dyDescent="0.25">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c r="AA833" s="3"/>
      <c r="AB833" s="3"/>
      <c r="AC833" s="3"/>
      <c r="AD833" s="3"/>
      <c r="AE833" s="3"/>
      <c r="AF833" s="3"/>
    </row>
    <row r="834" spans="1:32" ht="15" x14ac:dyDescent="0.25">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c r="AA834" s="3"/>
      <c r="AB834" s="3"/>
      <c r="AC834" s="3"/>
      <c r="AD834" s="3"/>
      <c r="AE834" s="3"/>
      <c r="AF834" s="3"/>
    </row>
    <row r="835" spans="1:32" ht="15" x14ac:dyDescent="0.25">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c r="AA835" s="3"/>
      <c r="AB835" s="3"/>
      <c r="AC835" s="3"/>
      <c r="AD835" s="3"/>
      <c r="AE835" s="3"/>
      <c r="AF835" s="3"/>
    </row>
    <row r="836" spans="1:32" ht="15" x14ac:dyDescent="0.25">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c r="AA836" s="3"/>
      <c r="AB836" s="3"/>
      <c r="AC836" s="3"/>
      <c r="AD836" s="3"/>
      <c r="AE836" s="3"/>
      <c r="AF836" s="3"/>
    </row>
    <row r="837" spans="1:32" ht="15" x14ac:dyDescent="0.25">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c r="AA837" s="3"/>
      <c r="AB837" s="3"/>
      <c r="AC837" s="3"/>
      <c r="AD837" s="3"/>
      <c r="AE837" s="3"/>
      <c r="AF837" s="3"/>
    </row>
    <row r="838" spans="1:32" ht="15" x14ac:dyDescent="0.25">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c r="AA838" s="3"/>
      <c r="AB838" s="3"/>
      <c r="AC838" s="3"/>
      <c r="AD838" s="3"/>
      <c r="AE838" s="3"/>
      <c r="AF838" s="3"/>
    </row>
    <row r="839" spans="1:32" ht="15" x14ac:dyDescent="0.25">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c r="AA839" s="3"/>
      <c r="AB839" s="3"/>
      <c r="AC839" s="3"/>
      <c r="AD839" s="3"/>
      <c r="AE839" s="3"/>
      <c r="AF839" s="3"/>
    </row>
    <row r="840" spans="1:32" ht="15" x14ac:dyDescent="0.25">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c r="AA840" s="3"/>
      <c r="AB840" s="3"/>
      <c r="AC840" s="3"/>
      <c r="AD840" s="3"/>
      <c r="AE840" s="3"/>
      <c r="AF840" s="3"/>
    </row>
    <row r="841" spans="1:32" ht="15" x14ac:dyDescent="0.25">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c r="AA841" s="3"/>
      <c r="AB841" s="3"/>
      <c r="AC841" s="3"/>
      <c r="AD841" s="3"/>
      <c r="AE841" s="3"/>
      <c r="AF841" s="3"/>
    </row>
    <row r="842" spans="1:32" ht="15" x14ac:dyDescent="0.25">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c r="AA842" s="3"/>
      <c r="AB842" s="3"/>
      <c r="AC842" s="3"/>
      <c r="AD842" s="3"/>
      <c r="AE842" s="3"/>
      <c r="AF842" s="3"/>
    </row>
    <row r="843" spans="1:32" ht="15" x14ac:dyDescent="0.25">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c r="AA843" s="3"/>
      <c r="AB843" s="3"/>
      <c r="AC843" s="3"/>
      <c r="AD843" s="3"/>
      <c r="AE843" s="3"/>
      <c r="AF843" s="3"/>
    </row>
    <row r="844" spans="1:32" ht="15" x14ac:dyDescent="0.25">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c r="AA844" s="3"/>
      <c r="AB844" s="3"/>
      <c r="AC844" s="3"/>
      <c r="AD844" s="3"/>
      <c r="AE844" s="3"/>
      <c r="AF844" s="3"/>
    </row>
    <row r="845" spans="1:32" ht="15" x14ac:dyDescent="0.25">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c r="AA845" s="3"/>
      <c r="AB845" s="3"/>
      <c r="AC845" s="3"/>
      <c r="AD845" s="3"/>
      <c r="AE845" s="3"/>
      <c r="AF845" s="3"/>
    </row>
    <row r="846" spans="1:32" ht="15" x14ac:dyDescent="0.25">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c r="AA846" s="3"/>
      <c r="AB846" s="3"/>
      <c r="AC846" s="3"/>
      <c r="AD846" s="3"/>
      <c r="AE846" s="3"/>
      <c r="AF846" s="3"/>
    </row>
    <row r="847" spans="1:32" ht="15" x14ac:dyDescent="0.25">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c r="AA847" s="3"/>
      <c r="AB847" s="3"/>
      <c r="AC847" s="3"/>
      <c r="AD847" s="3"/>
      <c r="AE847" s="3"/>
      <c r="AF847" s="3"/>
    </row>
    <row r="848" spans="1:32" ht="15" x14ac:dyDescent="0.25">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c r="AA848" s="3"/>
      <c r="AB848" s="3"/>
      <c r="AC848" s="3"/>
      <c r="AD848" s="3"/>
      <c r="AE848" s="3"/>
      <c r="AF848" s="3"/>
    </row>
    <row r="849" spans="1:32" ht="15" x14ac:dyDescent="0.25">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c r="AA849" s="3"/>
      <c r="AB849" s="3"/>
      <c r="AC849" s="3"/>
      <c r="AD849" s="3"/>
      <c r="AE849" s="3"/>
      <c r="AF849" s="3"/>
    </row>
    <row r="850" spans="1:32" ht="15" x14ac:dyDescent="0.25">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c r="AA850" s="3"/>
      <c r="AB850" s="3"/>
      <c r="AC850" s="3"/>
      <c r="AD850" s="3"/>
      <c r="AE850" s="3"/>
      <c r="AF850" s="3"/>
    </row>
    <row r="851" spans="1:32" ht="15" x14ac:dyDescent="0.25">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c r="AA851" s="3"/>
      <c r="AB851" s="3"/>
      <c r="AC851" s="3"/>
      <c r="AD851" s="3"/>
      <c r="AE851" s="3"/>
      <c r="AF851" s="3"/>
    </row>
    <row r="852" spans="1:32" ht="15" x14ac:dyDescent="0.25">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c r="AA852" s="3"/>
      <c r="AB852" s="3"/>
      <c r="AC852" s="3"/>
      <c r="AD852" s="3"/>
      <c r="AE852" s="3"/>
      <c r="AF852" s="3"/>
    </row>
    <row r="853" spans="1:32" ht="15" x14ac:dyDescent="0.25">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c r="AA853" s="3"/>
      <c r="AB853" s="3"/>
      <c r="AC853" s="3"/>
      <c r="AD853" s="3"/>
      <c r="AE853" s="3"/>
      <c r="AF853" s="3"/>
    </row>
    <row r="854" spans="1:32" ht="15" x14ac:dyDescent="0.25">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c r="AA854" s="3"/>
      <c r="AB854" s="3"/>
      <c r="AC854" s="3"/>
      <c r="AD854" s="3"/>
      <c r="AE854" s="3"/>
      <c r="AF854" s="3"/>
    </row>
    <row r="855" spans="1:32" ht="15" x14ac:dyDescent="0.25">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c r="AA855" s="3"/>
      <c r="AB855" s="3"/>
      <c r="AC855" s="3"/>
      <c r="AD855" s="3"/>
      <c r="AE855" s="3"/>
      <c r="AF855" s="3"/>
    </row>
    <row r="856" spans="1:32" ht="15" x14ac:dyDescent="0.25">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c r="AA856" s="3"/>
      <c r="AB856" s="3"/>
      <c r="AC856" s="3"/>
      <c r="AD856" s="3"/>
      <c r="AE856" s="3"/>
      <c r="AF856" s="3"/>
    </row>
    <row r="857" spans="1:32" ht="15" x14ac:dyDescent="0.25">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c r="AA857" s="3"/>
      <c r="AB857" s="3"/>
      <c r="AC857" s="3"/>
      <c r="AD857" s="3"/>
      <c r="AE857" s="3"/>
      <c r="AF857" s="3"/>
    </row>
    <row r="858" spans="1:32" ht="15" x14ac:dyDescent="0.25">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c r="AA858" s="3"/>
      <c r="AB858" s="3"/>
      <c r="AC858" s="3"/>
      <c r="AD858" s="3"/>
      <c r="AE858" s="3"/>
      <c r="AF858" s="3"/>
    </row>
    <row r="859" spans="1:32" ht="15" x14ac:dyDescent="0.25">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c r="AA859" s="3"/>
      <c r="AB859" s="3"/>
      <c r="AC859" s="3"/>
      <c r="AD859" s="3"/>
      <c r="AE859" s="3"/>
      <c r="AF859" s="3"/>
    </row>
    <row r="860" spans="1:32" ht="15" x14ac:dyDescent="0.25">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c r="AA860" s="3"/>
      <c r="AB860" s="3"/>
      <c r="AC860" s="3"/>
      <c r="AD860" s="3"/>
      <c r="AE860" s="3"/>
      <c r="AF860" s="3"/>
    </row>
    <row r="861" spans="1:32" ht="15" x14ac:dyDescent="0.25">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c r="AA861" s="3"/>
      <c r="AB861" s="3"/>
      <c r="AC861" s="3"/>
      <c r="AD861" s="3"/>
      <c r="AE861" s="3"/>
      <c r="AF861" s="3"/>
    </row>
    <row r="862" spans="1:32" ht="15" x14ac:dyDescent="0.25">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c r="AA862" s="3"/>
      <c r="AB862" s="3"/>
      <c r="AC862" s="3"/>
      <c r="AD862" s="3"/>
      <c r="AE862" s="3"/>
      <c r="AF862" s="3"/>
    </row>
    <row r="863" spans="1:32" ht="15" x14ac:dyDescent="0.25">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c r="AA863" s="3"/>
      <c r="AB863" s="3"/>
      <c r="AC863" s="3"/>
      <c r="AD863" s="3"/>
      <c r="AE863" s="3"/>
      <c r="AF863" s="3"/>
    </row>
    <row r="864" spans="1:32" ht="15" x14ac:dyDescent="0.25">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c r="AA864" s="3"/>
      <c r="AB864" s="3"/>
      <c r="AC864" s="3"/>
      <c r="AD864" s="3"/>
      <c r="AE864" s="3"/>
      <c r="AF864" s="3"/>
    </row>
    <row r="865" spans="1:32" ht="15" x14ac:dyDescent="0.25">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c r="AA865" s="3"/>
      <c r="AB865" s="3"/>
      <c r="AC865" s="3"/>
      <c r="AD865" s="3"/>
      <c r="AE865" s="3"/>
      <c r="AF865" s="3"/>
    </row>
    <row r="866" spans="1:32" ht="15" x14ac:dyDescent="0.25">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c r="AA866" s="3"/>
      <c r="AB866" s="3"/>
      <c r="AC866" s="3"/>
      <c r="AD866" s="3"/>
      <c r="AE866" s="3"/>
      <c r="AF866" s="3"/>
    </row>
    <row r="867" spans="1:32" ht="15" x14ac:dyDescent="0.25">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c r="AA867" s="3"/>
      <c r="AB867" s="3"/>
      <c r="AC867" s="3"/>
      <c r="AD867" s="3"/>
      <c r="AE867" s="3"/>
      <c r="AF867" s="3"/>
    </row>
    <row r="868" spans="1:32" ht="15" x14ac:dyDescent="0.25">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c r="AA868" s="3"/>
      <c r="AB868" s="3"/>
      <c r="AC868" s="3"/>
      <c r="AD868" s="3"/>
      <c r="AE868" s="3"/>
      <c r="AF868" s="3"/>
    </row>
    <row r="869" spans="1:32" ht="15" x14ac:dyDescent="0.25">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c r="AA869" s="3"/>
      <c r="AB869" s="3"/>
      <c r="AC869" s="3"/>
      <c r="AD869" s="3"/>
      <c r="AE869" s="3"/>
      <c r="AF869" s="3"/>
    </row>
    <row r="870" spans="1:32" ht="15" x14ac:dyDescent="0.25">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c r="AA870" s="3"/>
      <c r="AB870" s="3"/>
      <c r="AC870" s="3"/>
      <c r="AD870" s="3"/>
      <c r="AE870" s="3"/>
      <c r="AF870" s="3"/>
    </row>
    <row r="871" spans="1:32" ht="15" x14ac:dyDescent="0.25">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c r="AA871" s="3"/>
      <c r="AB871" s="3"/>
      <c r="AC871" s="3"/>
      <c r="AD871" s="3"/>
      <c r="AE871" s="3"/>
      <c r="AF871" s="3"/>
    </row>
    <row r="872" spans="1:32" ht="15" x14ac:dyDescent="0.25">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c r="AA872" s="3"/>
      <c r="AB872" s="3"/>
      <c r="AC872" s="3"/>
      <c r="AD872" s="3"/>
      <c r="AE872" s="3"/>
      <c r="AF872" s="3"/>
    </row>
    <row r="873" spans="1:32" ht="15" x14ac:dyDescent="0.25">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c r="AA873" s="3"/>
      <c r="AB873" s="3"/>
      <c r="AC873" s="3"/>
      <c r="AD873" s="3"/>
      <c r="AE873" s="3"/>
      <c r="AF873" s="3"/>
    </row>
    <row r="874" spans="1:32" ht="15" x14ac:dyDescent="0.25">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c r="AA874" s="3"/>
      <c r="AB874" s="3"/>
      <c r="AC874" s="3"/>
      <c r="AD874" s="3"/>
      <c r="AE874" s="3"/>
      <c r="AF874" s="3"/>
    </row>
    <row r="875" spans="1:32" ht="15" x14ac:dyDescent="0.25">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c r="AA875" s="3"/>
      <c r="AB875" s="3"/>
      <c r="AC875" s="3"/>
      <c r="AD875" s="3"/>
      <c r="AE875" s="3"/>
      <c r="AF875" s="3"/>
    </row>
    <row r="876" spans="1:32" ht="15" x14ac:dyDescent="0.25">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c r="AA876" s="3"/>
      <c r="AB876" s="3"/>
      <c r="AC876" s="3"/>
      <c r="AD876" s="3"/>
      <c r="AE876" s="3"/>
      <c r="AF876" s="3"/>
    </row>
    <row r="877" spans="1:32" ht="15" x14ac:dyDescent="0.25">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c r="AA877" s="3"/>
      <c r="AB877" s="3"/>
      <c r="AC877" s="3"/>
      <c r="AD877" s="3"/>
      <c r="AE877" s="3"/>
      <c r="AF877" s="3"/>
    </row>
    <row r="878" spans="1:32" ht="15" x14ac:dyDescent="0.25">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c r="AA878" s="3"/>
      <c r="AB878" s="3"/>
      <c r="AC878" s="3"/>
      <c r="AD878" s="3"/>
      <c r="AE878" s="3"/>
      <c r="AF878" s="3"/>
    </row>
    <row r="879" spans="1:32" ht="15" x14ac:dyDescent="0.25">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c r="AA879" s="3"/>
      <c r="AB879" s="3"/>
      <c r="AC879" s="3"/>
      <c r="AD879" s="3"/>
      <c r="AE879" s="3"/>
      <c r="AF879" s="3"/>
    </row>
    <row r="880" spans="1:32" ht="15" x14ac:dyDescent="0.25">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c r="AA880" s="3"/>
      <c r="AB880" s="3"/>
      <c r="AC880" s="3"/>
      <c r="AD880" s="3"/>
      <c r="AE880" s="3"/>
      <c r="AF880" s="3"/>
    </row>
    <row r="881" spans="1:32" ht="15" x14ac:dyDescent="0.25">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c r="AA881" s="3"/>
      <c r="AB881" s="3"/>
      <c r="AC881" s="3"/>
      <c r="AD881" s="3"/>
      <c r="AE881" s="3"/>
      <c r="AF881" s="3"/>
    </row>
    <row r="882" spans="1:32" ht="15" x14ac:dyDescent="0.25">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c r="AA882" s="3"/>
      <c r="AB882" s="3"/>
      <c r="AC882" s="3"/>
      <c r="AD882" s="3"/>
      <c r="AE882" s="3"/>
      <c r="AF882" s="3"/>
    </row>
    <row r="883" spans="1:32" ht="15" x14ac:dyDescent="0.25">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c r="AA883" s="3"/>
      <c r="AB883" s="3"/>
      <c r="AC883" s="3"/>
      <c r="AD883" s="3"/>
      <c r="AE883" s="3"/>
      <c r="AF883" s="3"/>
    </row>
    <row r="884" spans="1:32" ht="15" x14ac:dyDescent="0.25">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c r="AA884" s="3"/>
      <c r="AB884" s="3"/>
      <c r="AC884" s="3"/>
      <c r="AD884" s="3"/>
      <c r="AE884" s="3"/>
      <c r="AF884" s="3"/>
    </row>
    <row r="885" spans="1:32" ht="15" x14ac:dyDescent="0.25">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c r="AA885" s="3"/>
      <c r="AB885" s="3"/>
      <c r="AC885" s="3"/>
      <c r="AD885" s="3"/>
      <c r="AE885" s="3"/>
      <c r="AF885" s="3"/>
    </row>
    <row r="886" spans="1:32" ht="15" x14ac:dyDescent="0.25">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c r="AA886" s="3"/>
      <c r="AB886" s="3"/>
      <c r="AC886" s="3"/>
      <c r="AD886" s="3"/>
      <c r="AE886" s="3"/>
      <c r="AF886" s="3"/>
    </row>
    <row r="887" spans="1:32" ht="15" x14ac:dyDescent="0.25">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c r="AA887" s="3"/>
      <c r="AB887" s="3"/>
      <c r="AC887" s="3"/>
      <c r="AD887" s="3"/>
      <c r="AE887" s="3"/>
      <c r="AF887" s="3"/>
    </row>
    <row r="888" spans="1:32" ht="15" x14ac:dyDescent="0.25">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c r="AA888" s="3"/>
      <c r="AB888" s="3"/>
      <c r="AC888" s="3"/>
      <c r="AD888" s="3"/>
      <c r="AE888" s="3"/>
      <c r="AF888" s="3"/>
    </row>
    <row r="889" spans="1:32" ht="15" x14ac:dyDescent="0.25">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c r="AA889" s="3"/>
      <c r="AB889" s="3"/>
      <c r="AC889" s="3"/>
      <c r="AD889" s="3"/>
      <c r="AE889" s="3"/>
      <c r="AF889" s="3"/>
    </row>
    <row r="890" spans="1:32" ht="15" x14ac:dyDescent="0.25">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c r="AA890" s="3"/>
      <c r="AB890" s="3"/>
      <c r="AC890" s="3"/>
      <c r="AD890" s="3"/>
      <c r="AE890" s="3"/>
      <c r="AF890" s="3"/>
    </row>
    <row r="891" spans="1:32" ht="15" x14ac:dyDescent="0.25">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c r="AA891" s="3"/>
      <c r="AB891" s="3"/>
      <c r="AC891" s="3"/>
      <c r="AD891" s="3"/>
      <c r="AE891" s="3"/>
      <c r="AF891" s="3"/>
    </row>
    <row r="892" spans="1:32" ht="15" x14ac:dyDescent="0.25">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c r="AA892" s="3"/>
      <c r="AB892" s="3"/>
      <c r="AC892" s="3"/>
      <c r="AD892" s="3"/>
      <c r="AE892" s="3"/>
      <c r="AF892" s="3"/>
    </row>
    <row r="893" spans="1:32" ht="15" x14ac:dyDescent="0.25">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c r="AA893" s="3"/>
      <c r="AB893" s="3"/>
      <c r="AC893" s="3"/>
      <c r="AD893" s="3"/>
      <c r="AE893" s="3"/>
      <c r="AF893" s="3"/>
    </row>
    <row r="894" spans="1:32" ht="15" x14ac:dyDescent="0.25">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c r="AA894" s="3"/>
      <c r="AB894" s="3"/>
      <c r="AC894" s="3"/>
      <c r="AD894" s="3"/>
      <c r="AE894" s="3"/>
      <c r="AF894" s="3"/>
    </row>
    <row r="895" spans="1:32" ht="15" x14ac:dyDescent="0.25">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c r="AA895" s="3"/>
      <c r="AB895" s="3"/>
      <c r="AC895" s="3"/>
      <c r="AD895" s="3"/>
      <c r="AE895" s="3"/>
      <c r="AF895" s="3"/>
    </row>
    <row r="896" spans="1:32" ht="15" x14ac:dyDescent="0.25">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c r="AA896" s="3"/>
      <c r="AB896" s="3"/>
      <c r="AC896" s="3"/>
      <c r="AD896" s="3"/>
      <c r="AE896" s="3"/>
      <c r="AF896" s="3"/>
    </row>
    <row r="897" spans="1:32" ht="15" x14ac:dyDescent="0.25">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c r="AA897" s="3"/>
      <c r="AB897" s="3"/>
      <c r="AC897" s="3"/>
      <c r="AD897" s="3"/>
      <c r="AE897" s="3"/>
      <c r="AF897" s="3"/>
    </row>
    <row r="898" spans="1:32" ht="15" x14ac:dyDescent="0.25">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c r="AA898" s="3"/>
      <c r="AB898" s="3"/>
      <c r="AC898" s="3"/>
      <c r="AD898" s="3"/>
      <c r="AE898" s="3"/>
      <c r="AF898" s="3"/>
    </row>
    <row r="899" spans="1:32" ht="15" x14ac:dyDescent="0.25">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c r="AA899" s="3"/>
      <c r="AB899" s="3"/>
      <c r="AC899" s="3"/>
      <c r="AD899" s="3"/>
      <c r="AE899" s="3"/>
      <c r="AF899" s="3"/>
    </row>
    <row r="900" spans="1:32" ht="15" x14ac:dyDescent="0.25">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c r="AA900" s="3"/>
      <c r="AB900" s="3"/>
      <c r="AC900" s="3"/>
      <c r="AD900" s="3"/>
      <c r="AE900" s="3"/>
      <c r="AF900" s="3"/>
    </row>
    <row r="901" spans="1:32" ht="15" x14ac:dyDescent="0.25">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c r="AA901" s="3"/>
      <c r="AB901" s="3"/>
      <c r="AC901" s="3"/>
      <c r="AD901" s="3"/>
      <c r="AE901" s="3"/>
      <c r="AF901" s="3"/>
    </row>
    <row r="902" spans="1:32" ht="15" x14ac:dyDescent="0.25">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c r="AA902" s="3"/>
      <c r="AB902" s="3"/>
      <c r="AC902" s="3"/>
      <c r="AD902" s="3"/>
      <c r="AE902" s="3"/>
      <c r="AF902" s="3"/>
    </row>
    <row r="903" spans="1:32" ht="15" x14ac:dyDescent="0.25">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c r="AA903" s="3"/>
      <c r="AB903" s="3"/>
      <c r="AC903" s="3"/>
      <c r="AD903" s="3"/>
      <c r="AE903" s="3"/>
      <c r="AF903" s="3"/>
    </row>
    <row r="904" spans="1:32" ht="15" x14ac:dyDescent="0.25">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c r="AA904" s="3"/>
      <c r="AB904" s="3"/>
      <c r="AC904" s="3"/>
      <c r="AD904" s="3"/>
      <c r="AE904" s="3"/>
      <c r="AF904" s="3"/>
    </row>
    <row r="905" spans="1:32" ht="15" x14ac:dyDescent="0.25">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c r="AA905" s="3"/>
      <c r="AB905" s="3"/>
      <c r="AC905" s="3"/>
      <c r="AD905" s="3"/>
      <c r="AE905" s="3"/>
      <c r="AF905" s="3"/>
    </row>
    <row r="906" spans="1:32" ht="15" x14ac:dyDescent="0.25">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c r="AA906" s="3"/>
      <c r="AB906" s="3"/>
      <c r="AC906" s="3"/>
      <c r="AD906" s="3"/>
      <c r="AE906" s="3"/>
      <c r="AF906" s="3"/>
    </row>
    <row r="907" spans="1:32" ht="15" x14ac:dyDescent="0.25">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c r="AA907" s="3"/>
      <c r="AB907" s="3"/>
      <c r="AC907" s="3"/>
      <c r="AD907" s="3"/>
      <c r="AE907" s="3"/>
      <c r="AF907" s="3"/>
    </row>
    <row r="908" spans="1:32" ht="15" x14ac:dyDescent="0.25">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c r="AA908" s="3"/>
      <c r="AB908" s="3"/>
      <c r="AC908" s="3"/>
      <c r="AD908" s="3"/>
      <c r="AE908" s="3"/>
      <c r="AF908" s="3"/>
    </row>
    <row r="909" spans="1:32" ht="15" x14ac:dyDescent="0.25">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c r="AA909" s="3"/>
      <c r="AB909" s="3"/>
      <c r="AC909" s="3"/>
      <c r="AD909" s="3"/>
      <c r="AE909" s="3"/>
      <c r="AF909" s="3"/>
    </row>
    <row r="910" spans="1:32" ht="15" x14ac:dyDescent="0.25">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c r="AA910" s="3"/>
      <c r="AB910" s="3"/>
      <c r="AC910" s="3"/>
      <c r="AD910" s="3"/>
      <c r="AE910" s="3"/>
      <c r="AF910" s="3"/>
    </row>
    <row r="911" spans="1:32" ht="15" x14ac:dyDescent="0.25">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c r="AA911" s="3"/>
      <c r="AB911" s="3"/>
      <c r="AC911" s="3"/>
      <c r="AD911" s="3"/>
      <c r="AE911" s="3"/>
      <c r="AF911" s="3"/>
    </row>
    <row r="912" spans="1:32" ht="15" x14ac:dyDescent="0.25">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c r="AA912" s="3"/>
      <c r="AB912" s="3"/>
      <c r="AC912" s="3"/>
      <c r="AD912" s="3"/>
      <c r="AE912" s="3"/>
      <c r="AF912" s="3"/>
    </row>
    <row r="913" spans="1:32" ht="15" x14ac:dyDescent="0.25">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c r="AA913" s="3"/>
      <c r="AB913" s="3"/>
      <c r="AC913" s="3"/>
      <c r="AD913" s="3"/>
      <c r="AE913" s="3"/>
      <c r="AF913" s="3"/>
    </row>
    <row r="914" spans="1:32" ht="15" x14ac:dyDescent="0.25">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c r="AA914" s="3"/>
      <c r="AB914" s="3"/>
      <c r="AC914" s="3"/>
      <c r="AD914" s="3"/>
      <c r="AE914" s="3"/>
      <c r="AF914" s="3"/>
    </row>
    <row r="915" spans="1:32" ht="15" x14ac:dyDescent="0.25">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c r="AA915" s="3"/>
      <c r="AB915" s="3"/>
      <c r="AC915" s="3"/>
      <c r="AD915" s="3"/>
      <c r="AE915" s="3"/>
      <c r="AF915" s="3"/>
    </row>
    <row r="916" spans="1:32" ht="15" x14ac:dyDescent="0.25">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c r="AA916" s="3"/>
      <c r="AB916" s="3"/>
      <c r="AC916" s="3"/>
      <c r="AD916" s="3"/>
      <c r="AE916" s="3"/>
      <c r="AF916" s="3"/>
    </row>
    <row r="917" spans="1:32" ht="15" x14ac:dyDescent="0.25">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c r="AA917" s="3"/>
      <c r="AB917" s="3"/>
      <c r="AC917" s="3"/>
      <c r="AD917" s="3"/>
      <c r="AE917" s="3"/>
      <c r="AF917" s="3"/>
    </row>
    <row r="918" spans="1:32" ht="15" x14ac:dyDescent="0.25">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c r="AA918" s="3"/>
      <c r="AB918" s="3"/>
      <c r="AC918" s="3"/>
      <c r="AD918" s="3"/>
      <c r="AE918" s="3"/>
      <c r="AF918" s="3"/>
    </row>
    <row r="919" spans="1:32" ht="15" x14ac:dyDescent="0.25">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c r="AA919" s="3"/>
      <c r="AB919" s="3"/>
      <c r="AC919" s="3"/>
      <c r="AD919" s="3"/>
      <c r="AE919" s="3"/>
      <c r="AF919" s="3"/>
    </row>
    <row r="920" spans="1:32" ht="15" x14ac:dyDescent="0.25">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c r="AA920" s="3"/>
      <c r="AB920" s="3"/>
      <c r="AC920" s="3"/>
      <c r="AD920" s="3"/>
      <c r="AE920" s="3"/>
      <c r="AF920" s="3"/>
    </row>
    <row r="921" spans="1:32" ht="15" x14ac:dyDescent="0.25">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c r="AA921" s="3"/>
      <c r="AB921" s="3"/>
      <c r="AC921" s="3"/>
      <c r="AD921" s="3"/>
      <c r="AE921" s="3"/>
      <c r="AF921" s="3"/>
    </row>
    <row r="922" spans="1:32" ht="15" x14ac:dyDescent="0.25">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c r="AA922" s="3"/>
      <c r="AB922" s="3"/>
      <c r="AC922" s="3"/>
      <c r="AD922" s="3"/>
      <c r="AE922" s="3"/>
      <c r="AF922" s="3"/>
    </row>
    <row r="923" spans="1:32" ht="15" x14ac:dyDescent="0.25">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c r="AA923" s="3"/>
      <c r="AB923" s="3"/>
      <c r="AC923" s="3"/>
      <c r="AD923" s="3"/>
      <c r="AE923" s="3"/>
      <c r="AF923" s="3"/>
    </row>
    <row r="924" spans="1:32" ht="15" x14ac:dyDescent="0.25">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c r="AA924" s="3"/>
      <c r="AB924" s="3"/>
      <c r="AC924" s="3"/>
      <c r="AD924" s="3"/>
      <c r="AE924" s="3"/>
      <c r="AF924" s="3"/>
    </row>
    <row r="925" spans="1:32" ht="15" x14ac:dyDescent="0.25">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c r="AA925" s="3"/>
      <c r="AB925" s="3"/>
      <c r="AC925" s="3"/>
      <c r="AD925" s="3"/>
      <c r="AE925" s="3"/>
      <c r="AF925" s="3"/>
    </row>
    <row r="926" spans="1:32" ht="15" x14ac:dyDescent="0.25">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c r="AA926" s="3"/>
      <c r="AB926" s="3"/>
      <c r="AC926" s="3"/>
      <c r="AD926" s="3"/>
      <c r="AE926" s="3"/>
      <c r="AF926" s="3"/>
    </row>
    <row r="927" spans="1:32" ht="15" x14ac:dyDescent="0.25">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c r="AA927" s="3"/>
      <c r="AB927" s="3"/>
      <c r="AC927" s="3"/>
      <c r="AD927" s="3"/>
      <c r="AE927" s="3"/>
      <c r="AF927" s="3"/>
    </row>
    <row r="928" spans="1:32" ht="15" x14ac:dyDescent="0.25">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c r="AA928" s="3"/>
      <c r="AB928" s="3"/>
      <c r="AC928" s="3"/>
      <c r="AD928" s="3"/>
      <c r="AE928" s="3"/>
      <c r="AF928" s="3"/>
    </row>
    <row r="929" spans="1:32" ht="15" x14ac:dyDescent="0.25">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c r="AA929" s="3"/>
      <c r="AB929" s="3"/>
      <c r="AC929" s="3"/>
      <c r="AD929" s="3"/>
      <c r="AE929" s="3"/>
      <c r="AF929" s="3"/>
    </row>
    <row r="930" spans="1:32" ht="15" x14ac:dyDescent="0.25">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c r="AA930" s="3"/>
      <c r="AB930" s="3"/>
      <c r="AC930" s="3"/>
      <c r="AD930" s="3"/>
      <c r="AE930" s="3"/>
      <c r="AF930" s="3"/>
    </row>
    <row r="931" spans="1:32" ht="15" x14ac:dyDescent="0.25">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c r="AA931" s="3"/>
      <c r="AB931" s="3"/>
      <c r="AC931" s="3"/>
      <c r="AD931" s="3"/>
      <c r="AE931" s="3"/>
      <c r="AF931" s="3"/>
    </row>
    <row r="932" spans="1:32" ht="15" x14ac:dyDescent="0.25">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c r="AA932" s="3"/>
      <c r="AB932" s="3"/>
      <c r="AC932" s="3"/>
      <c r="AD932" s="3"/>
      <c r="AE932" s="3"/>
      <c r="AF932" s="3"/>
    </row>
    <row r="933" spans="1:32" ht="15" x14ac:dyDescent="0.25">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c r="AA933" s="3"/>
      <c r="AB933" s="3"/>
      <c r="AC933" s="3"/>
      <c r="AD933" s="3"/>
      <c r="AE933" s="3"/>
      <c r="AF933" s="3"/>
    </row>
    <row r="934" spans="1:32" ht="15" x14ac:dyDescent="0.25">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c r="AA934" s="3"/>
      <c r="AB934" s="3"/>
      <c r="AC934" s="3"/>
      <c r="AD934" s="3"/>
      <c r="AE934" s="3"/>
      <c r="AF934" s="3"/>
    </row>
    <row r="935" spans="1:32" ht="15" x14ac:dyDescent="0.25">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c r="AA935" s="3"/>
      <c r="AB935" s="3"/>
      <c r="AC935" s="3"/>
      <c r="AD935" s="3"/>
      <c r="AE935" s="3"/>
      <c r="AF935" s="3"/>
    </row>
    <row r="936" spans="1:32" ht="15" x14ac:dyDescent="0.25">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c r="AA936" s="3"/>
      <c r="AB936" s="3"/>
      <c r="AC936" s="3"/>
      <c r="AD936" s="3"/>
      <c r="AE936" s="3"/>
      <c r="AF936" s="3"/>
    </row>
    <row r="937" spans="1:32" ht="15" x14ac:dyDescent="0.25">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c r="AA937" s="3"/>
      <c r="AB937" s="3"/>
      <c r="AC937" s="3"/>
      <c r="AD937" s="3"/>
      <c r="AE937" s="3"/>
      <c r="AF937" s="3"/>
    </row>
    <row r="938" spans="1:32" ht="15" x14ac:dyDescent="0.25">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c r="AA938" s="3"/>
      <c r="AB938" s="3"/>
      <c r="AC938" s="3"/>
      <c r="AD938" s="3"/>
      <c r="AE938" s="3"/>
      <c r="AF938" s="3"/>
    </row>
    <row r="939" spans="1:32" ht="15" x14ac:dyDescent="0.25">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c r="AA939" s="3"/>
      <c r="AB939" s="3"/>
      <c r="AC939" s="3"/>
      <c r="AD939" s="3"/>
      <c r="AE939" s="3"/>
      <c r="AF939" s="3"/>
    </row>
    <row r="940" spans="1:32" ht="15" x14ac:dyDescent="0.25">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c r="AA940" s="3"/>
      <c r="AB940" s="3"/>
      <c r="AC940" s="3"/>
      <c r="AD940" s="3"/>
      <c r="AE940" s="3"/>
      <c r="AF940" s="3"/>
    </row>
    <row r="941" spans="1:32" ht="15" x14ac:dyDescent="0.25">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c r="AA941" s="3"/>
      <c r="AB941" s="3"/>
      <c r="AC941" s="3"/>
      <c r="AD941" s="3"/>
      <c r="AE941" s="3"/>
      <c r="AF941" s="3"/>
    </row>
    <row r="942" spans="1:32" ht="15" x14ac:dyDescent="0.25">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c r="AA942" s="3"/>
      <c r="AB942" s="3"/>
      <c r="AC942" s="3"/>
      <c r="AD942" s="3"/>
      <c r="AE942" s="3"/>
      <c r="AF942" s="3"/>
    </row>
    <row r="943" spans="1:32" ht="15" x14ac:dyDescent="0.25">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c r="AA943" s="3"/>
      <c r="AB943" s="3"/>
      <c r="AC943" s="3"/>
      <c r="AD943" s="3"/>
      <c r="AE943" s="3"/>
      <c r="AF943" s="3"/>
    </row>
    <row r="944" spans="1:32" ht="15" x14ac:dyDescent="0.25">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c r="AA944" s="3"/>
      <c r="AB944" s="3"/>
      <c r="AC944" s="3"/>
      <c r="AD944" s="3"/>
      <c r="AE944" s="3"/>
      <c r="AF944" s="3"/>
    </row>
    <row r="945" spans="1:32" ht="15" x14ac:dyDescent="0.25">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c r="AA945" s="3"/>
      <c r="AB945" s="3"/>
      <c r="AC945" s="3"/>
      <c r="AD945" s="3"/>
      <c r="AE945" s="3"/>
      <c r="AF945" s="3"/>
    </row>
    <row r="946" spans="1:32" ht="15" x14ac:dyDescent="0.25">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c r="AA946" s="3"/>
      <c r="AB946" s="3"/>
      <c r="AC946" s="3"/>
      <c r="AD946" s="3"/>
      <c r="AE946" s="3"/>
      <c r="AF946" s="3"/>
    </row>
    <row r="947" spans="1:32" ht="15" x14ac:dyDescent="0.25">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c r="AA947" s="3"/>
      <c r="AB947" s="3"/>
      <c r="AC947" s="3"/>
      <c r="AD947" s="3"/>
      <c r="AE947" s="3"/>
      <c r="AF947" s="3"/>
    </row>
    <row r="948" spans="1:32" ht="15" x14ac:dyDescent="0.25">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c r="AA948" s="3"/>
      <c r="AB948" s="3"/>
      <c r="AC948" s="3"/>
      <c r="AD948" s="3"/>
      <c r="AE948" s="3"/>
      <c r="AF948" s="3"/>
    </row>
    <row r="949" spans="1:32" ht="15" x14ac:dyDescent="0.25">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c r="AA949" s="3"/>
      <c r="AB949" s="3"/>
      <c r="AC949" s="3"/>
      <c r="AD949" s="3"/>
      <c r="AE949" s="3"/>
      <c r="AF949" s="3"/>
    </row>
    <row r="950" spans="1:32" ht="15" x14ac:dyDescent="0.25">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c r="AA950" s="3"/>
      <c r="AB950" s="3"/>
      <c r="AC950" s="3"/>
      <c r="AD950" s="3"/>
      <c r="AE950" s="3"/>
      <c r="AF950" s="3"/>
    </row>
    <row r="951" spans="1:32" ht="15" x14ac:dyDescent="0.25">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c r="AA951" s="3"/>
      <c r="AB951" s="3"/>
      <c r="AC951" s="3"/>
      <c r="AD951" s="3"/>
      <c r="AE951" s="3"/>
      <c r="AF951" s="3"/>
    </row>
    <row r="952" spans="1:32" ht="15" x14ac:dyDescent="0.25">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c r="AA952" s="3"/>
      <c r="AB952" s="3"/>
      <c r="AC952" s="3"/>
      <c r="AD952" s="3"/>
      <c r="AE952" s="3"/>
      <c r="AF952" s="3"/>
    </row>
    <row r="953" spans="1:32" ht="15" x14ac:dyDescent="0.25">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c r="AA953" s="3"/>
      <c r="AB953" s="3"/>
      <c r="AC953" s="3"/>
      <c r="AD953" s="3"/>
      <c r="AE953" s="3"/>
      <c r="AF953" s="3"/>
    </row>
    <row r="954" spans="1:32" ht="15" x14ac:dyDescent="0.25">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c r="AA954" s="3"/>
      <c r="AB954" s="3"/>
      <c r="AC954" s="3"/>
      <c r="AD954" s="3"/>
      <c r="AE954" s="3"/>
      <c r="AF954" s="3"/>
    </row>
    <row r="955" spans="1:32" ht="15" x14ac:dyDescent="0.25">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c r="AA955" s="3"/>
      <c r="AB955" s="3"/>
      <c r="AC955" s="3"/>
      <c r="AD955" s="3"/>
      <c r="AE955" s="3"/>
      <c r="AF955" s="3"/>
    </row>
    <row r="956" spans="1:32" ht="15" x14ac:dyDescent="0.25">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c r="AA956" s="3"/>
      <c r="AB956" s="3"/>
      <c r="AC956" s="3"/>
      <c r="AD956" s="3"/>
      <c r="AE956" s="3"/>
      <c r="AF956" s="3"/>
    </row>
    <row r="957" spans="1:32" ht="15" x14ac:dyDescent="0.25">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c r="AA957" s="3"/>
      <c r="AB957" s="3"/>
      <c r="AC957" s="3"/>
      <c r="AD957" s="3"/>
      <c r="AE957" s="3"/>
      <c r="AF957" s="3"/>
    </row>
    <row r="958" spans="1:32" ht="15" x14ac:dyDescent="0.25">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c r="AA958" s="3"/>
      <c r="AB958" s="3"/>
      <c r="AC958" s="3"/>
      <c r="AD958" s="3"/>
      <c r="AE958" s="3"/>
      <c r="AF958" s="3"/>
    </row>
    <row r="959" spans="1:32" ht="15" x14ac:dyDescent="0.25">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c r="AA959" s="3"/>
      <c r="AB959" s="3"/>
      <c r="AC959" s="3"/>
      <c r="AD959" s="3"/>
      <c r="AE959" s="3"/>
      <c r="AF959" s="3"/>
    </row>
    <row r="960" spans="1:32" ht="15" x14ac:dyDescent="0.25">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c r="AA960" s="3"/>
      <c r="AB960" s="3"/>
      <c r="AC960" s="3"/>
      <c r="AD960" s="3"/>
      <c r="AE960" s="3"/>
      <c r="AF960" s="3"/>
    </row>
    <row r="961" spans="1:32" ht="15" x14ac:dyDescent="0.25">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c r="AA961" s="3"/>
      <c r="AB961" s="3"/>
      <c r="AC961" s="3"/>
      <c r="AD961" s="3"/>
      <c r="AE961" s="3"/>
      <c r="AF961" s="3"/>
    </row>
    <row r="962" spans="1:32" ht="15" x14ac:dyDescent="0.25">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c r="AA962" s="3"/>
      <c r="AB962" s="3"/>
      <c r="AC962" s="3"/>
      <c r="AD962" s="3"/>
      <c r="AE962" s="3"/>
      <c r="AF962" s="3"/>
    </row>
    <row r="963" spans="1:32" ht="15" x14ac:dyDescent="0.25">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c r="AA963" s="3"/>
      <c r="AB963" s="3"/>
      <c r="AC963" s="3"/>
      <c r="AD963" s="3"/>
      <c r="AE963" s="3"/>
      <c r="AF963" s="3"/>
    </row>
    <row r="964" spans="1:32" ht="15" x14ac:dyDescent="0.25">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c r="AA964" s="3"/>
      <c r="AB964" s="3"/>
      <c r="AC964" s="3"/>
      <c r="AD964" s="3"/>
      <c r="AE964" s="3"/>
      <c r="AF964" s="3"/>
    </row>
    <row r="965" spans="1:32" ht="15" x14ac:dyDescent="0.25">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c r="AA965" s="3"/>
      <c r="AB965" s="3"/>
      <c r="AC965" s="3"/>
      <c r="AD965" s="3"/>
      <c r="AE965" s="3"/>
      <c r="AF965" s="3"/>
    </row>
    <row r="966" spans="1:32" ht="15" x14ac:dyDescent="0.25">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c r="AA966" s="3"/>
      <c r="AB966" s="3"/>
      <c r="AC966" s="3"/>
      <c r="AD966" s="3"/>
      <c r="AE966" s="3"/>
      <c r="AF966" s="3"/>
    </row>
    <row r="967" spans="1:32" ht="15" x14ac:dyDescent="0.25">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c r="AA967" s="3"/>
      <c r="AB967" s="3"/>
      <c r="AC967" s="3"/>
      <c r="AD967" s="3"/>
      <c r="AE967" s="3"/>
      <c r="AF967" s="3"/>
    </row>
    <row r="968" spans="1:32" ht="15" x14ac:dyDescent="0.25">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c r="AA968" s="3"/>
      <c r="AB968" s="3"/>
      <c r="AC968" s="3"/>
      <c r="AD968" s="3"/>
      <c r="AE968" s="3"/>
      <c r="AF968" s="3"/>
    </row>
    <row r="969" spans="1:32" ht="15" x14ac:dyDescent="0.25">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c r="AA969" s="3"/>
      <c r="AB969" s="3"/>
      <c r="AC969" s="3"/>
      <c r="AD969" s="3"/>
      <c r="AE969" s="3"/>
      <c r="AF969" s="3"/>
    </row>
    <row r="970" spans="1:32" ht="15" x14ac:dyDescent="0.25">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c r="AA970" s="3"/>
      <c r="AB970" s="3"/>
      <c r="AC970" s="3"/>
      <c r="AD970" s="3"/>
      <c r="AE970" s="3"/>
      <c r="AF970" s="3"/>
    </row>
    <row r="971" spans="1:32" ht="15" x14ac:dyDescent="0.25">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c r="AA971" s="3"/>
      <c r="AB971" s="3"/>
      <c r="AC971" s="3"/>
      <c r="AD971" s="3"/>
      <c r="AE971" s="3"/>
      <c r="AF971" s="3"/>
    </row>
    <row r="972" spans="1:32" ht="15" x14ac:dyDescent="0.25">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c r="AA972" s="3"/>
      <c r="AB972" s="3"/>
      <c r="AC972" s="3"/>
      <c r="AD972" s="3"/>
      <c r="AE972" s="3"/>
      <c r="AF972" s="3"/>
    </row>
    <row r="973" spans="1:32" ht="15" x14ac:dyDescent="0.25">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c r="AA973" s="3"/>
      <c r="AB973" s="3"/>
      <c r="AC973" s="3"/>
      <c r="AD973" s="3"/>
      <c r="AE973" s="3"/>
      <c r="AF973" s="3"/>
    </row>
    <row r="974" spans="1:32" ht="15" x14ac:dyDescent="0.25">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c r="AA974" s="3"/>
      <c r="AB974" s="3"/>
      <c r="AC974" s="3"/>
      <c r="AD974" s="3"/>
      <c r="AE974" s="3"/>
      <c r="AF974" s="3"/>
    </row>
    <row r="975" spans="1:32" ht="15" x14ac:dyDescent="0.25">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c r="AA975" s="3"/>
      <c r="AB975" s="3"/>
      <c r="AC975" s="3"/>
      <c r="AD975" s="3"/>
      <c r="AE975" s="3"/>
      <c r="AF975" s="3"/>
    </row>
    <row r="976" spans="1:32" ht="15" x14ac:dyDescent="0.25">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c r="AA976" s="3"/>
      <c r="AB976" s="3"/>
      <c r="AC976" s="3"/>
      <c r="AD976" s="3"/>
      <c r="AE976" s="3"/>
      <c r="AF976" s="3"/>
    </row>
    <row r="977" spans="1:32" ht="15" x14ac:dyDescent="0.25">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c r="AA977" s="3"/>
      <c r="AB977" s="3"/>
      <c r="AC977" s="3"/>
      <c r="AD977" s="3"/>
      <c r="AE977" s="3"/>
      <c r="AF977" s="3"/>
    </row>
    <row r="978" spans="1:32" ht="15" x14ac:dyDescent="0.25">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c r="AA978" s="3"/>
      <c r="AB978" s="3"/>
      <c r="AC978" s="3"/>
      <c r="AD978" s="3"/>
      <c r="AE978" s="3"/>
      <c r="AF978" s="3"/>
    </row>
    <row r="979" spans="1:32" ht="15" x14ac:dyDescent="0.25">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c r="AA979" s="3"/>
      <c r="AB979" s="3"/>
      <c r="AC979" s="3"/>
      <c r="AD979" s="3"/>
      <c r="AE979" s="3"/>
      <c r="AF979" s="3"/>
    </row>
    <row r="980" spans="1:32" ht="15" x14ac:dyDescent="0.25">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c r="AA980" s="3"/>
      <c r="AB980" s="3"/>
      <c r="AC980" s="3"/>
      <c r="AD980" s="3"/>
      <c r="AE980" s="3"/>
      <c r="AF980" s="3"/>
    </row>
    <row r="981" spans="1:32" ht="15" x14ac:dyDescent="0.25">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c r="AA981" s="3"/>
      <c r="AB981" s="3"/>
      <c r="AC981" s="3"/>
      <c r="AD981" s="3"/>
      <c r="AE981" s="3"/>
      <c r="AF981" s="3"/>
    </row>
    <row r="982" spans="1:32" ht="15" x14ac:dyDescent="0.25">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c r="AA982" s="3"/>
      <c r="AB982" s="3"/>
      <c r="AC982" s="3"/>
      <c r="AD982" s="3"/>
      <c r="AE982" s="3"/>
      <c r="AF982" s="3"/>
    </row>
    <row r="983" spans="1:32" ht="15" x14ac:dyDescent="0.25">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c r="AA983" s="3"/>
      <c r="AB983" s="3"/>
      <c r="AC983" s="3"/>
      <c r="AD983" s="3"/>
      <c r="AE983" s="3"/>
      <c r="AF983" s="3"/>
    </row>
    <row r="984" spans="1:32" ht="15" x14ac:dyDescent="0.25">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c r="AA984" s="3"/>
      <c r="AB984" s="3"/>
      <c r="AC984" s="3"/>
      <c r="AD984" s="3"/>
      <c r="AE984" s="3"/>
      <c r="AF984" s="3"/>
    </row>
    <row r="985" spans="1:32" ht="15" x14ac:dyDescent="0.25">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c r="AA985" s="3"/>
      <c r="AB985" s="3"/>
      <c r="AC985" s="3"/>
      <c r="AD985" s="3"/>
      <c r="AE985" s="3"/>
      <c r="AF985" s="3"/>
    </row>
    <row r="986" spans="1:32" ht="15" x14ac:dyDescent="0.25">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c r="AA986" s="3"/>
      <c r="AB986" s="3"/>
      <c r="AC986" s="3"/>
      <c r="AD986" s="3"/>
      <c r="AE986" s="3"/>
      <c r="AF986" s="3"/>
    </row>
    <row r="987" spans="1:32" ht="15" x14ac:dyDescent="0.25">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c r="AA987" s="3"/>
      <c r="AB987" s="3"/>
      <c r="AC987" s="3"/>
      <c r="AD987" s="3"/>
      <c r="AE987" s="3"/>
      <c r="AF987" s="3"/>
    </row>
    <row r="988" spans="1:32" ht="15" x14ac:dyDescent="0.25">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c r="AA988" s="3"/>
      <c r="AB988" s="3"/>
      <c r="AC988" s="3"/>
      <c r="AD988" s="3"/>
      <c r="AE988" s="3"/>
      <c r="AF988" s="3"/>
    </row>
    <row r="989" spans="1:32" ht="15" x14ac:dyDescent="0.25">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c r="AA989" s="3"/>
      <c r="AB989" s="3"/>
      <c r="AC989" s="3"/>
      <c r="AD989" s="3"/>
      <c r="AE989" s="3"/>
      <c r="AF989" s="3"/>
    </row>
    <row r="990" spans="1:32" ht="15" x14ac:dyDescent="0.25">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c r="AA990" s="3"/>
      <c r="AB990" s="3"/>
      <c r="AC990" s="3"/>
      <c r="AD990" s="3"/>
      <c r="AE990" s="3"/>
      <c r="AF990" s="3"/>
    </row>
    <row r="991" spans="1:32" ht="15" x14ac:dyDescent="0.25">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c r="AA991" s="3"/>
      <c r="AB991" s="3"/>
      <c r="AC991" s="3"/>
      <c r="AD991" s="3"/>
      <c r="AE991" s="3"/>
      <c r="AF991" s="3"/>
    </row>
    <row r="992" spans="1:32" ht="15" x14ac:dyDescent="0.25">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c r="AA992" s="3"/>
      <c r="AB992" s="3"/>
      <c r="AC992" s="3"/>
      <c r="AD992" s="3"/>
      <c r="AE992" s="3"/>
      <c r="AF992" s="3"/>
    </row>
    <row r="993" spans="1:32" ht="15" x14ac:dyDescent="0.25">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c r="AA993" s="3"/>
      <c r="AB993" s="3"/>
      <c r="AC993" s="3"/>
      <c r="AD993" s="3"/>
      <c r="AE993" s="3"/>
      <c r="AF993" s="3"/>
    </row>
    <row r="994" spans="1:32" ht="15" x14ac:dyDescent="0.25">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c r="AA994" s="3"/>
      <c r="AB994" s="3"/>
      <c r="AC994" s="3"/>
      <c r="AD994" s="3"/>
      <c r="AE994" s="3"/>
      <c r="AF994" s="3"/>
    </row>
    <row r="995" spans="1:32" ht="15" x14ac:dyDescent="0.25">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c r="AA995" s="3"/>
      <c r="AB995" s="3"/>
      <c r="AC995" s="3"/>
      <c r="AD995" s="3"/>
      <c r="AE995" s="3"/>
      <c r="AF995" s="3"/>
    </row>
    <row r="996" spans="1:32" ht="15" x14ac:dyDescent="0.25">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c r="AA996" s="3"/>
      <c r="AB996" s="3"/>
      <c r="AC996" s="3"/>
      <c r="AD996" s="3"/>
      <c r="AE996" s="3"/>
      <c r="AF996" s="3"/>
    </row>
    <row r="997" spans="1:32" ht="15" x14ac:dyDescent="0.25">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c r="AA997" s="3"/>
      <c r="AB997" s="3"/>
      <c r="AC997" s="3"/>
      <c r="AD997" s="3"/>
      <c r="AE997" s="3"/>
      <c r="AF997" s="3"/>
    </row>
    <row r="998" spans="1:32" ht="15" x14ac:dyDescent="0.25">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c r="AA998" s="3"/>
      <c r="AB998" s="3"/>
      <c r="AC998" s="3"/>
      <c r="AD998" s="3"/>
      <c r="AE998" s="3"/>
      <c r="AF998" s="3"/>
    </row>
    <row r="999" spans="1:32" ht="15" x14ac:dyDescent="0.25">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c r="AA999" s="3"/>
      <c r="AB999" s="3"/>
      <c r="AC999" s="3"/>
      <c r="AD999" s="3"/>
      <c r="AE999" s="3"/>
      <c r="AF999" s="3"/>
    </row>
    <row r="1000" spans="1:32" ht="15" x14ac:dyDescent="0.25">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row>
    <row r="1001" spans="1:32" ht="15" x14ac:dyDescent="0.25">
      <c r="A1001" s="3"/>
      <c r="B1001" s="3"/>
      <c r="C1001" s="3"/>
      <c r="D1001" s="3"/>
      <c r="E1001" s="3"/>
      <c r="F1001" s="3"/>
      <c r="G1001" s="3"/>
      <c r="H1001" s="3"/>
      <c r="I1001" s="3"/>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row>
    <row r="1002" spans="1:32" ht="15" x14ac:dyDescent="0.25">
      <c r="A1002" s="3"/>
      <c r="B1002" s="3"/>
      <c r="C1002" s="3"/>
      <c r="D1002" s="3"/>
      <c r="E1002" s="3"/>
      <c r="F1002" s="3"/>
      <c r="G1002" s="3"/>
      <c r="H1002" s="3"/>
      <c r="I1002" s="3"/>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row>
    <row r="1003" spans="1:32" ht="15" x14ac:dyDescent="0.25">
      <c r="A1003" s="3"/>
      <c r="B1003" s="3"/>
      <c r="C1003" s="3"/>
      <c r="D1003" s="3"/>
      <c r="E1003" s="3"/>
      <c r="F1003" s="3"/>
      <c r="G1003" s="3"/>
      <c r="H1003" s="3"/>
      <c r="I1003" s="3"/>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row>
    <row r="1004" spans="1:32" ht="15" x14ac:dyDescent="0.25">
      <c r="A1004" s="3"/>
      <c r="B1004" s="3"/>
      <c r="C1004" s="3"/>
      <c r="D1004" s="3"/>
      <c r="E1004" s="3"/>
      <c r="F1004" s="3"/>
      <c r="G1004" s="3"/>
      <c r="H1004" s="3"/>
      <c r="I1004" s="3"/>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row>
    <row r="1005" spans="1:32" ht="15" x14ac:dyDescent="0.25">
      <c r="A1005" s="3"/>
      <c r="B1005" s="3"/>
      <c r="C1005" s="3"/>
      <c r="D1005" s="3"/>
      <c r="E1005" s="3"/>
      <c r="F1005" s="3"/>
      <c r="G1005" s="3"/>
      <c r="H1005" s="3"/>
      <c r="I1005" s="3"/>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row>
    <row r="1006" spans="1:32" ht="15" x14ac:dyDescent="0.25">
      <c r="A1006" s="3"/>
      <c r="B1006" s="3"/>
      <c r="C1006" s="3"/>
      <c r="D1006" s="3"/>
      <c r="E1006" s="3"/>
      <c r="F1006" s="3"/>
      <c r="G1006" s="3"/>
      <c r="H1006" s="3"/>
      <c r="I1006" s="3"/>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row>
    <row r="1007" spans="1:32" ht="15" x14ac:dyDescent="0.25">
      <c r="A1007" s="3"/>
      <c r="B1007" s="3"/>
      <c r="C1007" s="3"/>
      <c r="D1007" s="3"/>
      <c r="E1007" s="3"/>
      <c r="F1007" s="3"/>
      <c r="G1007" s="3"/>
      <c r="H1007" s="3"/>
      <c r="I1007" s="3"/>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row>
    <row r="1008" spans="1:32" ht="15" x14ac:dyDescent="0.25">
      <c r="A1008" s="3"/>
      <c r="B1008" s="3"/>
      <c r="C1008" s="3"/>
      <c r="D1008" s="3"/>
      <c r="E1008" s="3"/>
      <c r="F1008" s="3"/>
      <c r="G1008" s="3"/>
      <c r="H1008" s="3"/>
      <c r="I1008" s="3"/>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row>
    <row r="1009" spans="1:32" ht="15" x14ac:dyDescent="0.25">
      <c r="A1009" s="3"/>
      <c r="B1009" s="3"/>
      <c r="C1009" s="3"/>
      <c r="D1009" s="3"/>
      <c r="E1009" s="3"/>
      <c r="F1009" s="3"/>
      <c r="G1009" s="3"/>
      <c r="H1009" s="3"/>
      <c r="I1009" s="3"/>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row>
    <row r="1010" spans="1:32" ht="15" x14ac:dyDescent="0.25">
      <c r="A1010" s="3"/>
      <c r="B1010" s="3"/>
      <c r="C1010" s="3"/>
      <c r="D1010" s="3"/>
      <c r="E1010" s="3"/>
      <c r="F1010" s="3"/>
      <c r="G1010" s="3"/>
      <c r="H1010" s="3"/>
      <c r="I1010" s="3"/>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row>
    <row r="1011" spans="1:32" ht="15" x14ac:dyDescent="0.25">
      <c r="A1011" s="3"/>
      <c r="B1011" s="3"/>
      <c r="C1011" s="3"/>
      <c r="D1011" s="3"/>
      <c r="E1011" s="3"/>
      <c r="F1011" s="3"/>
      <c r="G1011" s="3"/>
      <c r="H1011" s="3"/>
      <c r="I1011" s="3"/>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row>
    <row r="1012" spans="1:32" ht="15" x14ac:dyDescent="0.25">
      <c r="A1012" s="3"/>
      <c r="B1012" s="3"/>
      <c r="C1012" s="3"/>
      <c r="D1012" s="3"/>
      <c r="E1012" s="3"/>
      <c r="F1012" s="3"/>
      <c r="G1012" s="3"/>
      <c r="H1012" s="3"/>
      <c r="I1012" s="3"/>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row>
    <row r="1013" spans="1:32" ht="15" x14ac:dyDescent="0.25">
      <c r="A1013" s="3"/>
      <c r="B1013" s="3"/>
      <c r="C1013" s="3"/>
      <c r="D1013" s="3"/>
      <c r="E1013" s="3"/>
      <c r="F1013" s="3"/>
      <c r="G1013" s="3"/>
      <c r="H1013" s="3"/>
      <c r="I1013" s="3"/>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row>
    <row r="1014" spans="1:32" ht="15" x14ac:dyDescent="0.25">
      <c r="A1014" s="3"/>
      <c r="B1014" s="3"/>
      <c r="C1014" s="3"/>
      <c r="D1014" s="3"/>
      <c r="E1014" s="3"/>
      <c r="F1014" s="3"/>
      <c r="G1014" s="3"/>
      <c r="H1014" s="3"/>
      <c r="I1014" s="3"/>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row>
    <row r="1015" spans="1:32" ht="15" x14ac:dyDescent="0.25">
      <c r="A1015" s="3"/>
      <c r="B1015" s="3"/>
      <c r="C1015" s="3"/>
      <c r="D1015" s="3"/>
      <c r="E1015" s="3"/>
      <c r="F1015" s="3"/>
      <c r="G1015" s="3"/>
      <c r="H1015" s="3"/>
      <c r="I1015" s="3"/>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row>
    <row r="1016" spans="1:32" ht="15" x14ac:dyDescent="0.25">
      <c r="A1016" s="3"/>
      <c r="B1016" s="3"/>
      <c r="C1016" s="3"/>
      <c r="D1016" s="3"/>
      <c r="E1016" s="3"/>
      <c r="F1016" s="3"/>
      <c r="G1016" s="3"/>
      <c r="H1016" s="3"/>
      <c r="I1016" s="3"/>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row>
    <row r="1017" spans="1:32" ht="15" x14ac:dyDescent="0.25">
      <c r="A1017" s="3"/>
      <c r="B1017" s="3"/>
      <c r="C1017" s="3"/>
      <c r="D1017" s="3"/>
      <c r="E1017" s="3"/>
      <c r="F1017" s="3"/>
      <c r="G1017" s="3"/>
      <c r="H1017" s="3"/>
      <c r="I1017" s="3"/>
      <c r="J1017" s="3"/>
      <c r="K1017" s="3"/>
      <c r="L1017" s="3"/>
      <c r="M1017" s="3"/>
      <c r="N1017" s="3"/>
      <c r="O1017" s="3"/>
      <c r="P1017" s="3"/>
      <c r="Q1017" s="3"/>
      <c r="R1017" s="3"/>
      <c r="S1017" s="3"/>
      <c r="T1017" s="3"/>
      <c r="U1017" s="3"/>
      <c r="V1017" s="3"/>
      <c r="W1017" s="3"/>
      <c r="X1017" s="3"/>
      <c r="Y1017" s="3"/>
      <c r="Z1017" s="3"/>
      <c r="AA1017" s="3"/>
      <c r="AB1017" s="3"/>
      <c r="AC1017" s="3"/>
      <c r="AD1017" s="3"/>
      <c r="AE1017" s="3"/>
      <c r="AF1017" s="3"/>
    </row>
    <row r="1018" spans="1:32" ht="15" x14ac:dyDescent="0.25">
      <c r="A1018" s="3"/>
      <c r="B1018" s="3"/>
      <c r="C1018" s="3"/>
      <c r="D1018" s="3"/>
      <c r="E1018" s="3"/>
      <c r="F1018" s="3"/>
      <c r="G1018" s="3"/>
      <c r="H1018" s="3"/>
      <c r="I1018" s="3"/>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row>
    <row r="1019" spans="1:32" ht="15" x14ac:dyDescent="0.25">
      <c r="A1019" s="3"/>
      <c r="B1019" s="3"/>
      <c r="C1019" s="3"/>
      <c r="D1019" s="3"/>
      <c r="E1019" s="3"/>
      <c r="F1019" s="3"/>
      <c r="G1019" s="3"/>
      <c r="H1019" s="3"/>
      <c r="I1019" s="3"/>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row>
    <row r="1020" spans="1:32" ht="15" x14ac:dyDescent="0.25">
      <c r="A1020" s="3"/>
      <c r="B1020" s="3"/>
      <c r="C1020" s="3"/>
      <c r="D1020" s="3"/>
      <c r="E1020" s="3"/>
      <c r="F1020" s="3"/>
      <c r="G1020" s="3"/>
      <c r="H1020" s="3"/>
      <c r="I1020" s="3"/>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row>
    <row r="1021" spans="1:32" ht="15" x14ac:dyDescent="0.25">
      <c r="A1021" s="3"/>
      <c r="B1021" s="3"/>
      <c r="C1021" s="3"/>
      <c r="D1021" s="3"/>
      <c r="E1021" s="3"/>
      <c r="F1021" s="3"/>
      <c r="G1021" s="3"/>
      <c r="H1021" s="3"/>
      <c r="I1021" s="3"/>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row>
    <row r="1022" spans="1:32" ht="15" x14ac:dyDescent="0.25">
      <c r="A1022" s="3"/>
      <c r="B1022" s="3"/>
      <c r="C1022" s="3"/>
      <c r="D1022" s="3"/>
      <c r="E1022" s="3"/>
      <c r="F1022" s="3"/>
      <c r="G1022" s="3"/>
      <c r="H1022" s="3"/>
      <c r="I1022" s="3"/>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row>
    <row r="1023" spans="1:32" ht="15" x14ac:dyDescent="0.25">
      <c r="A1023" s="3"/>
      <c r="B1023" s="3"/>
      <c r="C1023" s="3"/>
      <c r="D1023" s="3"/>
      <c r="E1023" s="3"/>
      <c r="F1023" s="3"/>
      <c r="G1023" s="3"/>
      <c r="H1023" s="3"/>
      <c r="I1023" s="3"/>
      <c r="J1023" s="3"/>
      <c r="K1023" s="3"/>
      <c r="L1023" s="3"/>
      <c r="M1023" s="3"/>
      <c r="N1023" s="3"/>
      <c r="O1023" s="3"/>
      <c r="P1023" s="3"/>
      <c r="Q1023" s="3"/>
      <c r="R1023" s="3"/>
      <c r="S1023" s="3"/>
      <c r="T1023" s="3"/>
      <c r="U1023" s="3"/>
      <c r="V1023" s="3"/>
      <c r="W1023" s="3"/>
      <c r="X1023" s="3"/>
      <c r="Y1023" s="3"/>
      <c r="Z1023" s="3"/>
      <c r="AA1023" s="3"/>
      <c r="AB1023" s="3"/>
      <c r="AC1023" s="3"/>
      <c r="AD1023" s="3"/>
      <c r="AE1023" s="3"/>
      <c r="AF1023" s="3"/>
    </row>
    <row r="1024" spans="1:32" ht="15" x14ac:dyDescent="0.25">
      <c r="A1024" s="3"/>
      <c r="B1024" s="3"/>
      <c r="C1024" s="3"/>
      <c r="D1024" s="3"/>
      <c r="E1024" s="3"/>
      <c r="F1024" s="3"/>
      <c r="G1024" s="3"/>
      <c r="H1024" s="3"/>
      <c r="I1024" s="3"/>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row>
    <row r="1025" spans="1:32" ht="15" x14ac:dyDescent="0.25">
      <c r="A1025" s="3"/>
      <c r="B1025" s="3"/>
      <c r="C1025" s="3"/>
      <c r="D1025" s="3"/>
      <c r="E1025" s="3"/>
      <c r="F1025" s="3"/>
      <c r="G1025" s="3"/>
      <c r="H1025" s="3"/>
      <c r="I1025" s="3"/>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row>
    <row r="1026" spans="1:32" ht="15" x14ac:dyDescent="0.25">
      <c r="A1026" s="3"/>
      <c r="B1026" s="3"/>
      <c r="C1026" s="3"/>
      <c r="D1026" s="3"/>
      <c r="E1026" s="3"/>
      <c r="F1026" s="3"/>
      <c r="G1026" s="3"/>
      <c r="H1026" s="3"/>
      <c r="I1026" s="3"/>
      <c r="J1026" s="3"/>
      <c r="K1026" s="3"/>
      <c r="L1026" s="3"/>
      <c r="M1026" s="3"/>
      <c r="N1026" s="3"/>
      <c r="O1026" s="3"/>
      <c r="P1026" s="3"/>
      <c r="Q1026" s="3"/>
      <c r="R1026" s="3"/>
      <c r="S1026" s="3"/>
      <c r="T1026" s="3"/>
      <c r="U1026" s="3"/>
      <c r="V1026" s="3"/>
      <c r="W1026" s="3"/>
      <c r="X1026" s="3"/>
      <c r="Y1026" s="3"/>
      <c r="Z1026" s="3"/>
      <c r="AA1026" s="3"/>
      <c r="AB1026" s="3"/>
      <c r="AC1026" s="3"/>
      <c r="AD1026" s="3"/>
      <c r="AE1026" s="3"/>
      <c r="AF1026" s="3"/>
    </row>
    <row r="1027" spans="1:32" ht="15" x14ac:dyDescent="0.25">
      <c r="A1027" s="3"/>
      <c r="B1027" s="3"/>
      <c r="C1027" s="3"/>
      <c r="D1027" s="3"/>
      <c r="E1027" s="3"/>
      <c r="F1027" s="3"/>
      <c r="G1027" s="3"/>
      <c r="H1027" s="3"/>
      <c r="I1027" s="3"/>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row>
    <row r="1028" spans="1:32" ht="15" x14ac:dyDescent="0.25">
      <c r="A1028" s="3"/>
      <c r="B1028" s="3"/>
      <c r="C1028" s="3"/>
      <c r="D1028" s="3"/>
      <c r="E1028" s="3"/>
      <c r="F1028" s="3"/>
      <c r="G1028" s="3"/>
      <c r="H1028" s="3"/>
      <c r="I1028" s="3"/>
      <c r="J1028" s="3"/>
      <c r="K1028" s="3"/>
      <c r="L1028" s="3"/>
      <c r="M1028" s="3"/>
      <c r="N1028" s="3"/>
      <c r="O1028" s="3"/>
      <c r="P1028" s="3"/>
      <c r="Q1028" s="3"/>
      <c r="R1028" s="3"/>
      <c r="S1028" s="3"/>
      <c r="T1028" s="3"/>
      <c r="U1028" s="3"/>
      <c r="V1028" s="3"/>
      <c r="W1028" s="3"/>
      <c r="X1028" s="3"/>
      <c r="Y1028" s="3"/>
      <c r="Z1028" s="3"/>
      <c r="AA1028" s="3"/>
      <c r="AB1028" s="3"/>
      <c r="AC1028" s="3"/>
      <c r="AD1028" s="3"/>
      <c r="AE1028" s="3"/>
      <c r="AF1028" s="3"/>
    </row>
    <row r="1029" spans="1:32" ht="15" x14ac:dyDescent="0.25">
      <c r="A1029" s="3"/>
      <c r="B1029" s="3"/>
      <c r="C1029" s="3"/>
      <c r="D1029" s="3"/>
      <c r="E1029" s="3"/>
      <c r="F1029" s="3"/>
      <c r="G1029" s="3"/>
      <c r="H1029" s="3"/>
      <c r="I1029" s="3"/>
      <c r="J1029" s="3"/>
      <c r="K1029" s="3"/>
      <c r="L1029" s="3"/>
      <c r="M1029" s="3"/>
      <c r="N1029" s="3"/>
      <c r="O1029" s="3"/>
      <c r="P1029" s="3"/>
      <c r="Q1029" s="3"/>
      <c r="R1029" s="3"/>
      <c r="S1029" s="3"/>
      <c r="T1029" s="3"/>
      <c r="U1029" s="3"/>
      <c r="V1029" s="3"/>
      <c r="W1029" s="3"/>
      <c r="X1029" s="3"/>
      <c r="Y1029" s="3"/>
      <c r="Z1029" s="3"/>
      <c r="AA1029" s="3"/>
      <c r="AB1029" s="3"/>
      <c r="AC1029" s="3"/>
      <c r="AD1029" s="3"/>
      <c r="AE1029" s="3"/>
      <c r="AF1029" s="3"/>
    </row>
    <row r="1030" spans="1:32" ht="15" x14ac:dyDescent="0.25">
      <c r="A1030" s="3"/>
      <c r="B1030" s="3"/>
      <c r="C1030" s="3"/>
      <c r="D1030" s="3"/>
      <c r="E1030" s="3"/>
      <c r="F1030" s="3"/>
      <c r="G1030" s="3"/>
      <c r="H1030" s="3"/>
      <c r="I1030" s="3"/>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row>
    <row r="1031" spans="1:32" ht="15" x14ac:dyDescent="0.25">
      <c r="A1031" s="3"/>
      <c r="B1031" s="3"/>
      <c r="C1031" s="3"/>
      <c r="D1031" s="3"/>
      <c r="E1031" s="3"/>
      <c r="F1031" s="3"/>
      <c r="G1031" s="3"/>
      <c r="H1031" s="3"/>
      <c r="I1031" s="3"/>
      <c r="J1031" s="3"/>
      <c r="K1031" s="3"/>
      <c r="L1031" s="3"/>
      <c r="M1031" s="3"/>
      <c r="N1031" s="3"/>
      <c r="O1031" s="3"/>
      <c r="P1031" s="3"/>
      <c r="Q1031" s="3"/>
      <c r="R1031" s="3"/>
      <c r="S1031" s="3"/>
      <c r="T1031" s="3"/>
      <c r="U1031" s="3"/>
      <c r="V1031" s="3"/>
      <c r="W1031" s="3"/>
      <c r="X1031" s="3"/>
      <c r="Y1031" s="3"/>
      <c r="Z1031" s="3"/>
      <c r="AA1031" s="3"/>
      <c r="AB1031" s="3"/>
      <c r="AC1031" s="3"/>
      <c r="AD1031" s="3"/>
      <c r="AE1031" s="3"/>
      <c r="AF1031" s="3"/>
    </row>
    <row r="1032" spans="1:32" ht="15" x14ac:dyDescent="0.25">
      <c r="A1032" s="3"/>
      <c r="B1032" s="3"/>
      <c r="C1032" s="3"/>
      <c r="D1032" s="3"/>
      <c r="E1032" s="3"/>
      <c r="F1032" s="3"/>
      <c r="G1032" s="3"/>
      <c r="H1032" s="3"/>
      <c r="I1032" s="3"/>
      <c r="J1032" s="3"/>
      <c r="K1032" s="3"/>
      <c r="L1032" s="3"/>
      <c r="M1032" s="3"/>
      <c r="N1032" s="3"/>
      <c r="O1032" s="3"/>
      <c r="P1032" s="3"/>
      <c r="Q1032" s="3"/>
      <c r="R1032" s="3"/>
      <c r="S1032" s="3"/>
      <c r="T1032" s="3"/>
      <c r="U1032" s="3"/>
      <c r="V1032" s="3"/>
      <c r="W1032" s="3"/>
      <c r="X1032" s="3"/>
      <c r="Y1032" s="3"/>
      <c r="Z1032" s="3"/>
      <c r="AA1032" s="3"/>
      <c r="AB1032" s="3"/>
      <c r="AC1032" s="3"/>
      <c r="AD1032" s="3"/>
      <c r="AE1032" s="3"/>
      <c r="AF1032" s="3"/>
    </row>
    <row r="1033" spans="1:32" ht="15" x14ac:dyDescent="0.25">
      <c r="A1033" s="3"/>
      <c r="B1033" s="3"/>
      <c r="C1033" s="3"/>
      <c r="D1033" s="3"/>
      <c r="E1033" s="3"/>
      <c r="F1033" s="3"/>
      <c r="G1033" s="3"/>
      <c r="H1033" s="3"/>
      <c r="I1033" s="3"/>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row>
    <row r="1034" spans="1:32" ht="15" x14ac:dyDescent="0.25">
      <c r="A1034" s="3"/>
      <c r="B1034" s="3"/>
      <c r="C1034" s="3"/>
      <c r="D1034" s="3"/>
      <c r="E1034" s="3"/>
      <c r="F1034" s="3"/>
      <c r="G1034" s="3"/>
      <c r="H1034" s="3"/>
      <c r="I1034" s="3"/>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row>
    <row r="1035" spans="1:32" ht="15" x14ac:dyDescent="0.25">
      <c r="A1035" s="3"/>
      <c r="B1035" s="3"/>
      <c r="C1035" s="3"/>
      <c r="D1035" s="3"/>
      <c r="E1035" s="3"/>
      <c r="F1035" s="3"/>
      <c r="G1035" s="3"/>
      <c r="H1035" s="3"/>
      <c r="I1035" s="3"/>
      <c r="J1035" s="3"/>
      <c r="K1035" s="3"/>
      <c r="L1035" s="3"/>
      <c r="M1035" s="3"/>
      <c r="N1035" s="3"/>
      <c r="O1035" s="3"/>
      <c r="P1035" s="3"/>
      <c r="Q1035" s="3"/>
      <c r="R1035" s="3"/>
      <c r="S1035" s="3"/>
      <c r="T1035" s="3"/>
      <c r="U1035" s="3"/>
      <c r="V1035" s="3"/>
      <c r="W1035" s="3"/>
      <c r="X1035" s="3"/>
      <c r="Y1035" s="3"/>
      <c r="Z1035" s="3"/>
      <c r="AA1035" s="3"/>
      <c r="AB1035" s="3"/>
      <c r="AC1035" s="3"/>
      <c r="AD1035" s="3"/>
      <c r="AE1035" s="3"/>
      <c r="AF1035" s="3"/>
    </row>
    <row r="1036" spans="1:32" ht="15" x14ac:dyDescent="0.25">
      <c r="A1036" s="3"/>
      <c r="B1036" s="3"/>
      <c r="C1036" s="3"/>
      <c r="D1036" s="3"/>
      <c r="E1036" s="3"/>
      <c r="F1036" s="3"/>
      <c r="G1036" s="3"/>
      <c r="H1036" s="3"/>
      <c r="I1036" s="3"/>
      <c r="J1036" s="3"/>
      <c r="K1036" s="3"/>
      <c r="L1036" s="3"/>
      <c r="M1036" s="3"/>
      <c r="N1036" s="3"/>
      <c r="O1036" s="3"/>
      <c r="P1036" s="3"/>
      <c r="Q1036" s="3"/>
      <c r="R1036" s="3"/>
      <c r="S1036" s="3"/>
      <c r="T1036" s="3"/>
      <c r="U1036" s="3"/>
      <c r="V1036" s="3"/>
      <c r="W1036" s="3"/>
      <c r="X1036" s="3"/>
      <c r="Y1036" s="3"/>
      <c r="Z1036" s="3"/>
      <c r="AA1036" s="3"/>
      <c r="AB1036" s="3"/>
      <c r="AC1036" s="3"/>
      <c r="AD1036" s="3"/>
      <c r="AE1036" s="3"/>
      <c r="AF1036" s="3"/>
    </row>
    <row r="1037" spans="1:32" ht="15" x14ac:dyDescent="0.25">
      <c r="A1037" s="3"/>
      <c r="B1037" s="3"/>
      <c r="C1037" s="3"/>
      <c r="D1037" s="3"/>
      <c r="E1037" s="3"/>
      <c r="F1037" s="3"/>
      <c r="G1037" s="3"/>
      <c r="H1037" s="3"/>
      <c r="I1037" s="3"/>
      <c r="J1037" s="3"/>
      <c r="K1037" s="3"/>
      <c r="L1037" s="3"/>
      <c r="M1037" s="3"/>
      <c r="N1037" s="3"/>
      <c r="O1037" s="3"/>
      <c r="P1037" s="3"/>
      <c r="Q1037" s="3"/>
      <c r="R1037" s="3"/>
      <c r="S1037" s="3"/>
      <c r="T1037" s="3"/>
      <c r="U1037" s="3"/>
      <c r="V1037" s="3"/>
      <c r="W1037" s="3"/>
      <c r="X1037" s="3"/>
      <c r="Y1037" s="3"/>
      <c r="Z1037" s="3"/>
      <c r="AA1037" s="3"/>
      <c r="AB1037" s="3"/>
      <c r="AC1037" s="3"/>
      <c r="AD1037" s="3"/>
      <c r="AE1037" s="3"/>
      <c r="AF1037" s="3"/>
    </row>
    <row r="1038" spans="1:32" ht="15" x14ac:dyDescent="0.25">
      <c r="A1038" s="3"/>
      <c r="B1038" s="3"/>
      <c r="C1038" s="3"/>
      <c r="D1038" s="3"/>
      <c r="E1038" s="3"/>
      <c r="F1038" s="3"/>
      <c r="G1038" s="3"/>
      <c r="H1038" s="3"/>
      <c r="I1038" s="3"/>
      <c r="J1038" s="3"/>
      <c r="K1038" s="3"/>
      <c r="L1038" s="3"/>
      <c r="M1038" s="3"/>
      <c r="N1038" s="3"/>
      <c r="O1038" s="3"/>
      <c r="P1038" s="3"/>
      <c r="Q1038" s="3"/>
      <c r="R1038" s="3"/>
      <c r="S1038" s="3"/>
      <c r="T1038" s="3"/>
      <c r="U1038" s="3"/>
      <c r="V1038" s="3"/>
      <c r="W1038" s="3"/>
      <c r="X1038" s="3"/>
      <c r="Y1038" s="3"/>
      <c r="Z1038" s="3"/>
      <c r="AA1038" s="3"/>
      <c r="AB1038" s="3"/>
      <c r="AC1038" s="3"/>
      <c r="AD1038" s="3"/>
      <c r="AE1038" s="3"/>
      <c r="AF1038" s="3"/>
    </row>
    <row r="1039" spans="1:32" ht="15" x14ac:dyDescent="0.25">
      <c r="A1039" s="3"/>
      <c r="B1039" s="3"/>
      <c r="C1039" s="3"/>
      <c r="D1039" s="3"/>
      <c r="E1039" s="3"/>
      <c r="F1039" s="3"/>
      <c r="G1039" s="3"/>
      <c r="H1039" s="3"/>
      <c r="I1039" s="3"/>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row>
    <row r="1040" spans="1:32" ht="15" x14ac:dyDescent="0.25">
      <c r="A1040" s="3"/>
      <c r="B1040" s="3"/>
      <c r="C1040" s="3"/>
      <c r="D1040" s="3"/>
      <c r="E1040" s="3"/>
      <c r="F1040" s="3"/>
      <c r="G1040" s="3"/>
      <c r="H1040" s="3"/>
      <c r="I1040" s="3"/>
      <c r="J1040" s="3"/>
      <c r="K1040" s="3"/>
      <c r="L1040" s="3"/>
      <c r="M1040" s="3"/>
      <c r="N1040" s="3"/>
      <c r="O1040" s="3"/>
      <c r="P1040" s="3"/>
      <c r="Q1040" s="3"/>
      <c r="R1040" s="3"/>
      <c r="S1040" s="3"/>
      <c r="T1040" s="3"/>
      <c r="U1040" s="3"/>
      <c r="V1040" s="3"/>
      <c r="W1040" s="3"/>
      <c r="X1040" s="3"/>
      <c r="Y1040" s="3"/>
      <c r="Z1040" s="3"/>
      <c r="AA1040" s="3"/>
      <c r="AB1040" s="3"/>
      <c r="AC1040" s="3"/>
      <c r="AD1040" s="3"/>
      <c r="AE1040" s="3"/>
      <c r="AF1040" s="3"/>
    </row>
    <row r="1041" spans="1:32" ht="15" x14ac:dyDescent="0.25">
      <c r="A1041" s="3"/>
      <c r="B1041" s="3"/>
      <c r="C1041" s="3"/>
      <c r="D1041" s="3"/>
      <c r="E1041" s="3"/>
      <c r="F1041" s="3"/>
      <c r="G1041" s="3"/>
      <c r="H1041" s="3"/>
      <c r="I1041" s="3"/>
      <c r="J1041" s="3"/>
      <c r="K1041" s="3"/>
      <c r="L1041" s="3"/>
      <c r="M1041" s="3"/>
      <c r="N1041" s="3"/>
      <c r="O1041" s="3"/>
      <c r="P1041" s="3"/>
      <c r="Q1041" s="3"/>
      <c r="R1041" s="3"/>
      <c r="S1041" s="3"/>
      <c r="T1041" s="3"/>
      <c r="U1041" s="3"/>
      <c r="V1041" s="3"/>
      <c r="W1041" s="3"/>
      <c r="X1041" s="3"/>
      <c r="Y1041" s="3"/>
      <c r="Z1041" s="3"/>
      <c r="AA1041" s="3"/>
      <c r="AB1041" s="3"/>
      <c r="AC1041" s="3"/>
      <c r="AD1041" s="3"/>
      <c r="AE1041" s="3"/>
      <c r="AF1041" s="3"/>
    </row>
    <row r="1042" spans="1:32" ht="15" x14ac:dyDescent="0.25">
      <c r="A1042" s="3"/>
      <c r="B1042" s="3"/>
      <c r="C1042" s="3"/>
      <c r="D1042" s="3"/>
      <c r="E1042" s="3"/>
      <c r="F1042" s="3"/>
      <c r="G1042" s="3"/>
      <c r="H1042" s="3"/>
      <c r="I1042" s="3"/>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row>
    <row r="1043" spans="1:32" ht="15" x14ac:dyDescent="0.25">
      <c r="A1043" s="3"/>
      <c r="B1043" s="3"/>
      <c r="C1043" s="3"/>
      <c r="D1043" s="3"/>
      <c r="E1043" s="3"/>
      <c r="F1043" s="3"/>
      <c r="G1043" s="3"/>
      <c r="H1043" s="3"/>
      <c r="I1043" s="3"/>
      <c r="J1043" s="3"/>
      <c r="K1043" s="3"/>
      <c r="L1043" s="3"/>
      <c r="M1043" s="3"/>
      <c r="N1043" s="3"/>
      <c r="O1043" s="3"/>
      <c r="P1043" s="3"/>
      <c r="Q1043" s="3"/>
      <c r="R1043" s="3"/>
      <c r="S1043" s="3"/>
      <c r="T1043" s="3"/>
      <c r="U1043" s="3"/>
      <c r="V1043" s="3"/>
      <c r="W1043" s="3"/>
      <c r="X1043" s="3"/>
      <c r="Y1043" s="3"/>
      <c r="Z1043" s="3"/>
      <c r="AA1043" s="3"/>
      <c r="AB1043" s="3"/>
      <c r="AC1043" s="3"/>
      <c r="AD1043" s="3"/>
      <c r="AE1043" s="3"/>
      <c r="AF1043" s="3"/>
    </row>
    <row r="1044" spans="1:32" ht="15" x14ac:dyDescent="0.25">
      <c r="A1044" s="3"/>
      <c r="B1044" s="3"/>
      <c r="C1044" s="3"/>
      <c r="D1044" s="3"/>
      <c r="E1044" s="3"/>
      <c r="F1044" s="3"/>
      <c r="G1044" s="3"/>
      <c r="H1044" s="3"/>
      <c r="I1044" s="3"/>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row>
    <row r="1045" spans="1:32" ht="15" x14ac:dyDescent="0.25">
      <c r="A1045" s="3"/>
      <c r="B1045" s="3"/>
      <c r="C1045" s="3"/>
      <c r="D1045" s="3"/>
      <c r="E1045" s="3"/>
      <c r="F1045" s="3"/>
      <c r="G1045" s="3"/>
      <c r="H1045" s="3"/>
      <c r="I1045" s="3"/>
      <c r="J1045" s="3"/>
      <c r="K1045" s="3"/>
      <c r="L1045" s="3"/>
      <c r="M1045" s="3"/>
      <c r="N1045" s="3"/>
      <c r="O1045" s="3"/>
      <c r="P1045" s="3"/>
      <c r="Q1045" s="3"/>
      <c r="R1045" s="3"/>
      <c r="S1045" s="3"/>
      <c r="T1045" s="3"/>
      <c r="U1045" s="3"/>
      <c r="V1045" s="3"/>
      <c r="W1045" s="3"/>
      <c r="X1045" s="3"/>
      <c r="Y1045" s="3"/>
      <c r="Z1045" s="3"/>
      <c r="AA1045" s="3"/>
      <c r="AB1045" s="3"/>
      <c r="AC1045" s="3"/>
      <c r="AD1045" s="3"/>
      <c r="AE1045" s="3"/>
      <c r="AF1045" s="3"/>
    </row>
    <row r="1046" spans="1:32" ht="15" x14ac:dyDescent="0.25">
      <c r="A1046" s="3"/>
      <c r="B1046" s="3"/>
      <c r="C1046" s="3"/>
      <c r="D1046" s="3"/>
      <c r="E1046" s="3"/>
      <c r="F1046" s="3"/>
      <c r="G1046" s="3"/>
      <c r="H1046" s="3"/>
      <c r="I1046" s="3"/>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row>
    <row r="1047" spans="1:32" ht="15" x14ac:dyDescent="0.25">
      <c r="A1047" s="3"/>
      <c r="B1047" s="3"/>
      <c r="C1047" s="3"/>
      <c r="D1047" s="3"/>
      <c r="E1047" s="3"/>
      <c r="F1047" s="3"/>
      <c r="G1047" s="3"/>
      <c r="H1047" s="3"/>
      <c r="I1047" s="3"/>
      <c r="J1047" s="3"/>
      <c r="K1047" s="3"/>
      <c r="L1047" s="3"/>
      <c r="M1047" s="3"/>
      <c r="N1047" s="3"/>
      <c r="O1047" s="3"/>
      <c r="P1047" s="3"/>
      <c r="Q1047" s="3"/>
      <c r="R1047" s="3"/>
      <c r="S1047" s="3"/>
      <c r="T1047" s="3"/>
      <c r="U1047" s="3"/>
      <c r="V1047" s="3"/>
      <c r="W1047" s="3"/>
      <c r="X1047" s="3"/>
      <c r="Y1047" s="3"/>
      <c r="Z1047" s="3"/>
      <c r="AA1047" s="3"/>
      <c r="AB1047" s="3"/>
      <c r="AC1047" s="3"/>
      <c r="AD1047" s="3"/>
      <c r="AE1047" s="3"/>
      <c r="AF1047" s="3"/>
    </row>
    <row r="1048" spans="1:32" ht="15" x14ac:dyDescent="0.25">
      <c r="A1048" s="3"/>
      <c r="B1048" s="3"/>
      <c r="C1048" s="3"/>
      <c r="D1048" s="3"/>
      <c r="E1048" s="3"/>
      <c r="F1048" s="3"/>
      <c r="G1048" s="3"/>
      <c r="H1048" s="3"/>
      <c r="I1048" s="3"/>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row>
    <row r="1049" spans="1:32" ht="15" x14ac:dyDescent="0.25">
      <c r="A1049" s="3"/>
      <c r="B1049" s="3"/>
      <c r="C1049" s="3"/>
      <c r="D1049" s="3"/>
      <c r="E1049" s="3"/>
      <c r="F1049" s="3"/>
      <c r="G1049" s="3"/>
      <c r="H1049" s="3"/>
      <c r="I1049" s="3"/>
      <c r="J1049" s="3"/>
      <c r="K1049" s="3"/>
      <c r="L1049" s="3"/>
      <c r="M1049" s="3"/>
      <c r="N1049" s="3"/>
      <c r="O1049" s="3"/>
      <c r="P1049" s="3"/>
      <c r="Q1049" s="3"/>
      <c r="R1049" s="3"/>
      <c r="S1049" s="3"/>
      <c r="T1049" s="3"/>
      <c r="U1049" s="3"/>
      <c r="V1049" s="3"/>
      <c r="W1049" s="3"/>
      <c r="X1049" s="3"/>
      <c r="Y1049" s="3"/>
      <c r="Z1049" s="3"/>
      <c r="AA1049" s="3"/>
      <c r="AB1049" s="3"/>
      <c r="AC1049" s="3"/>
      <c r="AD1049" s="3"/>
      <c r="AE1049" s="3"/>
      <c r="AF1049" s="3"/>
    </row>
    <row r="1050" spans="1:32" ht="15" x14ac:dyDescent="0.25">
      <c r="A1050" s="3"/>
      <c r="B1050" s="3"/>
      <c r="C1050" s="3"/>
      <c r="D1050" s="3"/>
      <c r="E1050" s="3"/>
      <c r="F1050" s="3"/>
      <c r="G1050" s="3"/>
      <c r="H1050" s="3"/>
      <c r="I1050" s="3"/>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row>
    <row r="1051" spans="1:32" ht="15" x14ac:dyDescent="0.25">
      <c r="A1051" s="3"/>
      <c r="B1051" s="3"/>
      <c r="C1051" s="3"/>
      <c r="D1051" s="3"/>
      <c r="E1051" s="3"/>
      <c r="F1051" s="3"/>
      <c r="G1051" s="3"/>
      <c r="H1051" s="3"/>
      <c r="I1051" s="3"/>
      <c r="J1051" s="3"/>
      <c r="K1051" s="3"/>
      <c r="L1051" s="3"/>
      <c r="M1051" s="3"/>
      <c r="N1051" s="3"/>
      <c r="O1051" s="3"/>
      <c r="P1051" s="3"/>
      <c r="Q1051" s="3"/>
      <c r="R1051" s="3"/>
      <c r="S1051" s="3"/>
      <c r="T1051" s="3"/>
      <c r="U1051" s="3"/>
      <c r="V1051" s="3"/>
      <c r="W1051" s="3"/>
      <c r="X1051" s="3"/>
      <c r="Y1051" s="3"/>
      <c r="Z1051" s="3"/>
      <c r="AA1051" s="3"/>
      <c r="AB1051" s="3"/>
      <c r="AC1051" s="3"/>
      <c r="AD1051" s="3"/>
      <c r="AE1051" s="3"/>
      <c r="AF1051" s="3"/>
    </row>
    <row r="1052" spans="1:32" ht="15" x14ac:dyDescent="0.25">
      <c r="A1052" s="3"/>
      <c r="B1052" s="3"/>
      <c r="C1052" s="3"/>
      <c r="D1052" s="3"/>
      <c r="E1052" s="3"/>
      <c r="F1052" s="3"/>
      <c r="G1052" s="3"/>
      <c r="H1052" s="3"/>
      <c r="I1052" s="3"/>
      <c r="J1052" s="3"/>
      <c r="K1052" s="3"/>
      <c r="L1052" s="3"/>
      <c r="M1052" s="3"/>
      <c r="N1052" s="3"/>
      <c r="O1052" s="3"/>
      <c r="P1052" s="3"/>
      <c r="Q1052" s="3"/>
      <c r="R1052" s="3"/>
      <c r="S1052" s="3"/>
      <c r="T1052" s="3"/>
      <c r="U1052" s="3"/>
      <c r="V1052" s="3"/>
      <c r="W1052" s="3"/>
      <c r="X1052" s="3"/>
      <c r="Y1052" s="3"/>
      <c r="Z1052" s="3"/>
      <c r="AA1052" s="3"/>
      <c r="AB1052" s="3"/>
      <c r="AC1052" s="3"/>
      <c r="AD1052" s="3"/>
      <c r="AE1052" s="3"/>
      <c r="AF1052" s="3"/>
    </row>
    <row r="1053" spans="1:32" ht="15" x14ac:dyDescent="0.25">
      <c r="A1053" s="3"/>
      <c r="B1053" s="3"/>
      <c r="C1053" s="3"/>
      <c r="D1053" s="3"/>
      <c r="E1053" s="3"/>
      <c r="F1053" s="3"/>
      <c r="G1053" s="3"/>
      <c r="H1053" s="3"/>
      <c r="I1053" s="3"/>
      <c r="J1053" s="3"/>
      <c r="K1053" s="3"/>
      <c r="L1053" s="3"/>
      <c r="M1053" s="3"/>
      <c r="N1053" s="3"/>
      <c r="O1053" s="3"/>
      <c r="P1053" s="3"/>
      <c r="Q1053" s="3"/>
      <c r="R1053" s="3"/>
      <c r="S1053" s="3"/>
      <c r="T1053" s="3"/>
      <c r="U1053" s="3"/>
      <c r="V1053" s="3"/>
      <c r="W1053" s="3"/>
      <c r="X1053" s="3"/>
      <c r="Y1053" s="3"/>
      <c r="Z1053" s="3"/>
      <c r="AA1053" s="3"/>
      <c r="AB1053" s="3"/>
      <c r="AC1053" s="3"/>
      <c r="AD1053" s="3"/>
      <c r="AE1053" s="3"/>
      <c r="AF1053" s="3"/>
    </row>
    <row r="1054" spans="1:32" ht="15" x14ac:dyDescent="0.25">
      <c r="A1054" s="3"/>
      <c r="B1054" s="3"/>
      <c r="C1054" s="3"/>
      <c r="D1054" s="3"/>
      <c r="E1054" s="3"/>
      <c r="F1054" s="3"/>
      <c r="G1054" s="3"/>
      <c r="H1054" s="3"/>
      <c r="I1054" s="3"/>
      <c r="J1054" s="3"/>
      <c r="K1054" s="3"/>
      <c r="L1054" s="3"/>
      <c r="M1054" s="3"/>
      <c r="N1054" s="3"/>
      <c r="O1054" s="3"/>
      <c r="P1054" s="3"/>
      <c r="Q1054" s="3"/>
      <c r="R1054" s="3"/>
      <c r="S1054" s="3"/>
      <c r="T1054" s="3"/>
      <c r="U1054" s="3"/>
      <c r="V1054" s="3"/>
      <c r="W1054" s="3"/>
      <c r="X1054" s="3"/>
      <c r="Y1054" s="3"/>
      <c r="Z1054" s="3"/>
      <c r="AA1054" s="3"/>
      <c r="AB1054" s="3"/>
      <c r="AC1054" s="3"/>
      <c r="AD1054" s="3"/>
      <c r="AE1054" s="3"/>
      <c r="AF1054" s="3"/>
    </row>
    <row r="1055" spans="1:32" ht="15" x14ac:dyDescent="0.25">
      <c r="A1055" s="3"/>
      <c r="B1055" s="3"/>
      <c r="C1055" s="3"/>
      <c r="D1055" s="3"/>
      <c r="E1055" s="3"/>
      <c r="F1055" s="3"/>
      <c r="G1055" s="3"/>
      <c r="H1055" s="3"/>
      <c r="I1055" s="3"/>
      <c r="J1055" s="3"/>
      <c r="K1055" s="3"/>
      <c r="L1055" s="3"/>
      <c r="M1055" s="3"/>
      <c r="N1055" s="3"/>
      <c r="O1055" s="3"/>
      <c r="P1055" s="3"/>
      <c r="Q1055" s="3"/>
      <c r="R1055" s="3"/>
      <c r="S1055" s="3"/>
      <c r="T1055" s="3"/>
      <c r="U1055" s="3"/>
      <c r="V1055" s="3"/>
      <c r="W1055" s="3"/>
      <c r="X1055" s="3"/>
      <c r="Y1055" s="3"/>
      <c r="Z1055" s="3"/>
      <c r="AA1055" s="3"/>
      <c r="AB1055" s="3"/>
      <c r="AC1055" s="3"/>
      <c r="AD1055" s="3"/>
      <c r="AE1055" s="3"/>
      <c r="AF1055" s="3"/>
    </row>
    <row r="1056" spans="1:32" ht="15" x14ac:dyDescent="0.25">
      <c r="A1056" s="3"/>
      <c r="B1056" s="3"/>
      <c r="C1056" s="3"/>
      <c r="D1056" s="3"/>
      <c r="E1056" s="3"/>
      <c r="F1056" s="3"/>
      <c r="G1056" s="3"/>
      <c r="H1056" s="3"/>
      <c r="I1056" s="3"/>
      <c r="J1056" s="3"/>
      <c r="K1056" s="3"/>
      <c r="L1056" s="3"/>
      <c r="M1056" s="3"/>
      <c r="N1056" s="3"/>
      <c r="O1056" s="3"/>
      <c r="P1056" s="3"/>
      <c r="Q1056" s="3"/>
      <c r="R1056" s="3"/>
      <c r="S1056" s="3"/>
      <c r="T1056" s="3"/>
      <c r="U1056" s="3"/>
      <c r="V1056" s="3"/>
      <c r="W1056" s="3"/>
      <c r="X1056" s="3"/>
      <c r="Y1056" s="3"/>
      <c r="Z1056" s="3"/>
      <c r="AA1056" s="3"/>
      <c r="AB1056" s="3"/>
      <c r="AC1056" s="3"/>
      <c r="AD1056" s="3"/>
      <c r="AE1056" s="3"/>
      <c r="AF1056" s="3"/>
    </row>
    <row r="1057" spans="1:32" ht="15" x14ac:dyDescent="0.25">
      <c r="A1057" s="3"/>
      <c r="B1057" s="3"/>
      <c r="C1057" s="3"/>
      <c r="D1057" s="3"/>
      <c r="E1057" s="3"/>
      <c r="F1057" s="3"/>
      <c r="G1057" s="3"/>
      <c r="H1057" s="3"/>
      <c r="I1057" s="3"/>
      <c r="J1057" s="3"/>
      <c r="K1057" s="3"/>
      <c r="L1057" s="3"/>
      <c r="M1057" s="3"/>
      <c r="N1057" s="3"/>
      <c r="O1057" s="3"/>
      <c r="P1057" s="3"/>
      <c r="Q1057" s="3"/>
      <c r="R1057" s="3"/>
      <c r="S1057" s="3"/>
      <c r="T1057" s="3"/>
      <c r="U1057" s="3"/>
      <c r="V1057" s="3"/>
      <c r="W1057" s="3"/>
      <c r="X1057" s="3"/>
      <c r="Y1057" s="3"/>
      <c r="Z1057" s="3"/>
      <c r="AA1057" s="3"/>
      <c r="AB1057" s="3"/>
      <c r="AC1057" s="3"/>
      <c r="AD1057" s="3"/>
      <c r="AE1057" s="3"/>
      <c r="AF1057" s="3"/>
    </row>
    <row r="1058" spans="1:32" ht="15" x14ac:dyDescent="0.25">
      <c r="A1058" s="3"/>
      <c r="B1058" s="3"/>
      <c r="C1058" s="3"/>
      <c r="D1058" s="3"/>
      <c r="E1058" s="3"/>
      <c r="F1058" s="3"/>
      <c r="G1058" s="3"/>
      <c r="H1058" s="3"/>
      <c r="I1058" s="3"/>
      <c r="J1058" s="3"/>
      <c r="K1058" s="3"/>
      <c r="L1058" s="3"/>
      <c r="M1058" s="3"/>
      <c r="N1058" s="3"/>
      <c r="O1058" s="3"/>
      <c r="P1058" s="3"/>
      <c r="Q1058" s="3"/>
      <c r="R1058" s="3"/>
      <c r="S1058" s="3"/>
      <c r="T1058" s="3"/>
      <c r="U1058" s="3"/>
      <c r="V1058" s="3"/>
      <c r="W1058" s="3"/>
      <c r="X1058" s="3"/>
      <c r="Y1058" s="3"/>
      <c r="Z1058" s="3"/>
      <c r="AA1058" s="3"/>
      <c r="AB1058" s="3"/>
      <c r="AC1058" s="3"/>
      <c r="AD1058" s="3"/>
      <c r="AE1058" s="3"/>
      <c r="AF1058" s="3"/>
    </row>
    <row r="1059" spans="1:32" ht="15" x14ac:dyDescent="0.25">
      <c r="A1059" s="3"/>
      <c r="B1059" s="3"/>
      <c r="C1059" s="3"/>
      <c r="D1059" s="3"/>
      <c r="E1059" s="3"/>
      <c r="F1059" s="3"/>
      <c r="G1059" s="3"/>
      <c r="H1059" s="3"/>
      <c r="I1059" s="3"/>
      <c r="J1059" s="3"/>
      <c r="K1059" s="3"/>
      <c r="L1059" s="3"/>
      <c r="M1059" s="3"/>
      <c r="N1059" s="3"/>
      <c r="O1059" s="3"/>
      <c r="P1059" s="3"/>
      <c r="Q1059" s="3"/>
      <c r="R1059" s="3"/>
      <c r="S1059" s="3"/>
      <c r="T1059" s="3"/>
      <c r="U1059" s="3"/>
      <c r="V1059" s="3"/>
      <c r="W1059" s="3"/>
      <c r="X1059" s="3"/>
      <c r="Y1059" s="3"/>
      <c r="Z1059" s="3"/>
      <c r="AA1059" s="3"/>
      <c r="AB1059" s="3"/>
      <c r="AC1059" s="3"/>
      <c r="AD1059" s="3"/>
      <c r="AE1059" s="3"/>
      <c r="AF1059" s="3"/>
    </row>
    <row r="1060" spans="1:32" ht="15" x14ac:dyDescent="0.25">
      <c r="A1060" s="3"/>
      <c r="B1060" s="3"/>
      <c r="C1060" s="3"/>
      <c r="D1060" s="3"/>
      <c r="E1060" s="3"/>
      <c r="F1060" s="3"/>
      <c r="G1060" s="3"/>
      <c r="H1060" s="3"/>
      <c r="I1060" s="3"/>
      <c r="J1060" s="3"/>
      <c r="K1060" s="3"/>
      <c r="L1060" s="3"/>
      <c r="M1060" s="3"/>
      <c r="N1060" s="3"/>
      <c r="O1060" s="3"/>
      <c r="P1060" s="3"/>
      <c r="Q1060" s="3"/>
      <c r="R1060" s="3"/>
      <c r="S1060" s="3"/>
      <c r="T1060" s="3"/>
      <c r="U1060" s="3"/>
      <c r="V1060" s="3"/>
      <c r="W1060" s="3"/>
      <c r="X1060" s="3"/>
      <c r="Y1060" s="3"/>
      <c r="Z1060" s="3"/>
      <c r="AA1060" s="3"/>
      <c r="AB1060" s="3"/>
      <c r="AC1060" s="3"/>
      <c r="AD1060" s="3"/>
      <c r="AE1060" s="3"/>
      <c r="AF1060" s="3"/>
    </row>
    <row r="1061" spans="1:32" ht="15" x14ac:dyDescent="0.25">
      <c r="A1061" s="3"/>
      <c r="B1061" s="3"/>
      <c r="C1061" s="3"/>
      <c r="D1061" s="3"/>
      <c r="E1061" s="3"/>
      <c r="F1061" s="3"/>
      <c r="G1061" s="3"/>
      <c r="H1061" s="3"/>
      <c r="I1061" s="3"/>
      <c r="J1061" s="3"/>
      <c r="K1061" s="3"/>
      <c r="L1061" s="3"/>
      <c r="M1061" s="3"/>
      <c r="N1061" s="3"/>
      <c r="O1061" s="3"/>
      <c r="P1061" s="3"/>
      <c r="Q1061" s="3"/>
      <c r="R1061" s="3"/>
      <c r="S1061" s="3"/>
      <c r="T1061" s="3"/>
      <c r="U1061" s="3"/>
      <c r="V1061" s="3"/>
      <c r="W1061" s="3"/>
      <c r="X1061" s="3"/>
      <c r="Y1061" s="3"/>
      <c r="Z1061" s="3"/>
      <c r="AA1061" s="3"/>
      <c r="AB1061" s="3"/>
      <c r="AC1061" s="3"/>
      <c r="AD1061" s="3"/>
      <c r="AE1061" s="3"/>
      <c r="AF1061" s="3"/>
    </row>
    <row r="1062" spans="1:32" ht="15" x14ac:dyDescent="0.25">
      <c r="A1062" s="3"/>
      <c r="B1062" s="3"/>
      <c r="C1062" s="3"/>
      <c r="D1062" s="3"/>
      <c r="E1062" s="3"/>
      <c r="F1062" s="3"/>
      <c r="G1062" s="3"/>
      <c r="H1062" s="3"/>
      <c r="I1062" s="3"/>
      <c r="J1062" s="3"/>
      <c r="K1062" s="3"/>
      <c r="L1062" s="3"/>
      <c r="M1062" s="3"/>
      <c r="N1062" s="3"/>
      <c r="O1062" s="3"/>
      <c r="P1062" s="3"/>
      <c r="Q1062" s="3"/>
      <c r="R1062" s="3"/>
      <c r="S1062" s="3"/>
      <c r="T1062" s="3"/>
      <c r="U1062" s="3"/>
      <c r="V1062" s="3"/>
      <c r="W1062" s="3"/>
      <c r="X1062" s="3"/>
      <c r="Y1062" s="3"/>
      <c r="Z1062" s="3"/>
      <c r="AA1062" s="3"/>
      <c r="AB1062" s="3"/>
      <c r="AC1062" s="3"/>
      <c r="AD1062" s="3"/>
      <c r="AE1062" s="3"/>
      <c r="AF1062" s="3"/>
    </row>
    <row r="1063" spans="1:32" ht="15" x14ac:dyDescent="0.25">
      <c r="A1063" s="3"/>
      <c r="B1063" s="3"/>
      <c r="C1063" s="3"/>
      <c r="D1063" s="3"/>
      <c r="E1063" s="3"/>
      <c r="F1063" s="3"/>
      <c r="G1063" s="3"/>
      <c r="H1063" s="3"/>
      <c r="I1063" s="3"/>
      <c r="J1063" s="3"/>
      <c r="K1063" s="3"/>
      <c r="L1063" s="3"/>
      <c r="M1063" s="3"/>
      <c r="N1063" s="3"/>
      <c r="O1063" s="3"/>
      <c r="P1063" s="3"/>
      <c r="Q1063" s="3"/>
      <c r="R1063" s="3"/>
      <c r="S1063" s="3"/>
      <c r="T1063" s="3"/>
      <c r="U1063" s="3"/>
      <c r="V1063" s="3"/>
      <c r="W1063" s="3"/>
      <c r="X1063" s="3"/>
      <c r="Y1063" s="3"/>
      <c r="Z1063" s="3"/>
      <c r="AA1063" s="3"/>
      <c r="AB1063" s="3"/>
      <c r="AC1063" s="3"/>
      <c r="AD1063" s="3"/>
      <c r="AE1063" s="3"/>
      <c r="AF1063" s="3"/>
    </row>
    <row r="1064" spans="1:32" ht="15" x14ac:dyDescent="0.25">
      <c r="A1064" s="3"/>
      <c r="B1064" s="3"/>
      <c r="C1064" s="3"/>
      <c r="D1064" s="3"/>
      <c r="E1064" s="3"/>
      <c r="F1064" s="3"/>
      <c r="G1064" s="3"/>
      <c r="H1064" s="3"/>
      <c r="I1064" s="3"/>
      <c r="J1064" s="3"/>
      <c r="K1064" s="3"/>
      <c r="L1064" s="3"/>
      <c r="M1064" s="3"/>
      <c r="N1064" s="3"/>
      <c r="O1064" s="3"/>
      <c r="P1064" s="3"/>
      <c r="Q1064" s="3"/>
      <c r="R1064" s="3"/>
      <c r="S1064" s="3"/>
      <c r="T1064" s="3"/>
      <c r="U1064" s="3"/>
      <c r="V1064" s="3"/>
      <c r="W1064" s="3"/>
      <c r="X1064" s="3"/>
      <c r="Y1064" s="3"/>
      <c r="Z1064" s="3"/>
      <c r="AA1064" s="3"/>
      <c r="AB1064" s="3"/>
      <c r="AC1064" s="3"/>
      <c r="AD1064" s="3"/>
      <c r="AE1064" s="3"/>
      <c r="AF1064" s="3"/>
    </row>
    <row r="1065" spans="1:32" ht="15" x14ac:dyDescent="0.25">
      <c r="A1065" s="3"/>
      <c r="B1065" s="3"/>
      <c r="C1065" s="3"/>
      <c r="D1065" s="3"/>
      <c r="E1065" s="3"/>
      <c r="F1065" s="3"/>
      <c r="G1065" s="3"/>
      <c r="H1065" s="3"/>
      <c r="I1065" s="3"/>
      <c r="J1065" s="3"/>
      <c r="K1065" s="3"/>
      <c r="L1065" s="3"/>
      <c r="M1065" s="3"/>
      <c r="N1065" s="3"/>
      <c r="O1065" s="3"/>
      <c r="P1065" s="3"/>
      <c r="Q1065" s="3"/>
      <c r="R1065" s="3"/>
      <c r="S1065" s="3"/>
      <c r="T1065" s="3"/>
      <c r="U1065" s="3"/>
      <c r="V1065" s="3"/>
      <c r="W1065" s="3"/>
      <c r="X1065" s="3"/>
      <c r="Y1065" s="3"/>
      <c r="Z1065" s="3"/>
      <c r="AA1065" s="3"/>
      <c r="AB1065" s="3"/>
      <c r="AC1065" s="3"/>
      <c r="AD1065" s="3"/>
      <c r="AE1065" s="3"/>
      <c r="AF1065" s="3"/>
    </row>
    <row r="1066" spans="1:32" ht="15" x14ac:dyDescent="0.25">
      <c r="A1066" s="3"/>
      <c r="B1066" s="3"/>
      <c r="C1066" s="3"/>
      <c r="D1066" s="3"/>
      <c r="E1066" s="3"/>
      <c r="F1066" s="3"/>
      <c r="G1066" s="3"/>
      <c r="H1066" s="3"/>
      <c r="I1066" s="3"/>
      <c r="J1066" s="3"/>
      <c r="K1066" s="3"/>
      <c r="L1066" s="3"/>
      <c r="M1066" s="3"/>
      <c r="N1066" s="3"/>
      <c r="O1066" s="3"/>
      <c r="P1066" s="3"/>
      <c r="Q1066" s="3"/>
      <c r="R1066" s="3"/>
      <c r="S1066" s="3"/>
      <c r="T1066" s="3"/>
      <c r="U1066" s="3"/>
      <c r="V1066" s="3"/>
      <c r="W1066" s="3"/>
      <c r="X1066" s="3"/>
      <c r="Y1066" s="3"/>
      <c r="Z1066" s="3"/>
      <c r="AA1066" s="3"/>
      <c r="AB1066" s="3"/>
      <c r="AC1066" s="3"/>
      <c r="AD1066" s="3"/>
      <c r="AE1066" s="3"/>
      <c r="AF1066" s="3"/>
    </row>
    <row r="1067" spans="1:32" ht="15" x14ac:dyDescent="0.25">
      <c r="A1067" s="3"/>
      <c r="B1067" s="3"/>
      <c r="C1067" s="3"/>
      <c r="D1067" s="3"/>
      <c r="E1067" s="3"/>
      <c r="F1067" s="3"/>
      <c r="G1067" s="3"/>
      <c r="H1067" s="3"/>
      <c r="I1067" s="3"/>
      <c r="J1067" s="3"/>
      <c r="K1067" s="3"/>
      <c r="L1067" s="3"/>
      <c r="M1067" s="3"/>
      <c r="N1067" s="3"/>
      <c r="O1067" s="3"/>
      <c r="P1067" s="3"/>
      <c r="Q1067" s="3"/>
      <c r="R1067" s="3"/>
      <c r="S1067" s="3"/>
      <c r="T1067" s="3"/>
      <c r="U1067" s="3"/>
      <c r="V1067" s="3"/>
      <c r="W1067" s="3"/>
      <c r="X1067" s="3"/>
      <c r="Y1067" s="3"/>
      <c r="Z1067" s="3"/>
      <c r="AA1067" s="3"/>
      <c r="AB1067" s="3"/>
      <c r="AC1067" s="3"/>
      <c r="AD1067" s="3"/>
      <c r="AE1067" s="3"/>
      <c r="AF1067" s="3"/>
    </row>
    <row r="1068" spans="1:32" ht="15" x14ac:dyDescent="0.25">
      <c r="A1068" s="3"/>
      <c r="B1068" s="3"/>
      <c r="C1068" s="3"/>
      <c r="D1068" s="3"/>
      <c r="E1068" s="3"/>
      <c r="F1068" s="3"/>
      <c r="G1068" s="3"/>
      <c r="H1068" s="3"/>
      <c r="I1068" s="3"/>
      <c r="J1068" s="3"/>
      <c r="K1068" s="3"/>
      <c r="L1068" s="3"/>
      <c r="M1068" s="3"/>
      <c r="N1068" s="3"/>
      <c r="O1068" s="3"/>
      <c r="P1068" s="3"/>
      <c r="Q1068" s="3"/>
      <c r="R1068" s="3"/>
      <c r="S1068" s="3"/>
      <c r="T1068" s="3"/>
      <c r="U1068" s="3"/>
      <c r="V1068" s="3"/>
      <c r="W1068" s="3"/>
      <c r="X1068" s="3"/>
      <c r="Y1068" s="3"/>
      <c r="Z1068" s="3"/>
      <c r="AA1068" s="3"/>
      <c r="AB1068" s="3"/>
      <c r="AC1068" s="3"/>
      <c r="AD1068" s="3"/>
      <c r="AE1068" s="3"/>
      <c r="AF1068" s="3"/>
    </row>
    <row r="1069" spans="1:32" ht="15" x14ac:dyDescent="0.25">
      <c r="A1069" s="3"/>
      <c r="B1069" s="3"/>
      <c r="C1069" s="3"/>
      <c r="D1069" s="3"/>
      <c r="E1069" s="3"/>
      <c r="F1069" s="3"/>
      <c r="G1069" s="3"/>
      <c r="H1069" s="3"/>
      <c r="I1069" s="3"/>
      <c r="J1069" s="3"/>
      <c r="K1069" s="3"/>
      <c r="L1069" s="3"/>
      <c r="M1069" s="3"/>
      <c r="N1069" s="3"/>
      <c r="O1069" s="3"/>
      <c r="P1069" s="3"/>
      <c r="Q1069" s="3"/>
      <c r="R1069" s="3"/>
      <c r="S1069" s="3"/>
      <c r="T1069" s="3"/>
      <c r="U1069" s="3"/>
      <c r="V1069" s="3"/>
      <c r="W1069" s="3"/>
      <c r="X1069" s="3"/>
      <c r="Y1069" s="3"/>
      <c r="Z1069" s="3"/>
      <c r="AA1069" s="3"/>
      <c r="AB1069" s="3"/>
      <c r="AC1069" s="3"/>
      <c r="AD1069" s="3"/>
      <c r="AE1069" s="3"/>
      <c r="AF1069" s="3"/>
    </row>
    <row r="1070" spans="1:32" ht="15" x14ac:dyDescent="0.25">
      <c r="A1070" s="3"/>
      <c r="B1070" s="3"/>
      <c r="C1070" s="3"/>
      <c r="D1070" s="3"/>
      <c r="E1070" s="3"/>
      <c r="F1070" s="3"/>
      <c r="G1070" s="3"/>
      <c r="H1070" s="3"/>
      <c r="I1070" s="3"/>
      <c r="J1070" s="3"/>
      <c r="K1070" s="3"/>
      <c r="L1070" s="3"/>
      <c r="M1070" s="3"/>
      <c r="N1070" s="3"/>
      <c r="O1070" s="3"/>
      <c r="P1070" s="3"/>
      <c r="Q1070" s="3"/>
      <c r="R1070" s="3"/>
      <c r="S1070" s="3"/>
      <c r="T1070" s="3"/>
      <c r="U1070" s="3"/>
      <c r="V1070" s="3"/>
      <c r="W1070" s="3"/>
      <c r="X1070" s="3"/>
      <c r="Y1070" s="3"/>
      <c r="Z1070" s="3"/>
      <c r="AA1070" s="3"/>
      <c r="AB1070" s="3"/>
      <c r="AC1070" s="3"/>
      <c r="AD1070" s="3"/>
      <c r="AE1070" s="3"/>
      <c r="AF1070" s="3"/>
    </row>
    <row r="1071" spans="1:32" ht="15" x14ac:dyDescent="0.25">
      <c r="A1071" s="3"/>
      <c r="B1071" s="3"/>
      <c r="C1071" s="3"/>
      <c r="D1071" s="3"/>
      <c r="E1071" s="3"/>
      <c r="F1071" s="3"/>
      <c r="G1071" s="3"/>
      <c r="H1071" s="3"/>
      <c r="I1071" s="3"/>
      <c r="J1071" s="3"/>
      <c r="K1071" s="3"/>
      <c r="L1071" s="3"/>
      <c r="M1071" s="3"/>
      <c r="N1071" s="3"/>
      <c r="O1071" s="3"/>
      <c r="P1071" s="3"/>
      <c r="Q1071" s="3"/>
      <c r="R1071" s="3"/>
      <c r="S1071" s="3"/>
      <c r="T1071" s="3"/>
      <c r="U1071" s="3"/>
      <c r="V1071" s="3"/>
      <c r="W1071" s="3"/>
      <c r="X1071" s="3"/>
      <c r="Y1071" s="3"/>
      <c r="Z1071" s="3"/>
      <c r="AA1071" s="3"/>
      <c r="AB1071" s="3"/>
      <c r="AC1071" s="3"/>
      <c r="AD1071" s="3"/>
      <c r="AE1071" s="3"/>
      <c r="AF1071" s="3"/>
    </row>
    <row r="1072" spans="1:32" ht="15" x14ac:dyDescent="0.25">
      <c r="A1072" s="3"/>
      <c r="B1072" s="3"/>
      <c r="C1072" s="3"/>
      <c r="D1072" s="3"/>
      <c r="E1072" s="3"/>
      <c r="F1072" s="3"/>
      <c r="G1072" s="3"/>
      <c r="H1072" s="3"/>
      <c r="I1072" s="3"/>
      <c r="J1072" s="3"/>
      <c r="K1072" s="3"/>
      <c r="L1072" s="3"/>
      <c r="M1072" s="3"/>
      <c r="N1072" s="3"/>
      <c r="O1072" s="3"/>
      <c r="P1072" s="3"/>
      <c r="Q1072" s="3"/>
      <c r="R1072" s="3"/>
      <c r="S1072" s="3"/>
      <c r="T1072" s="3"/>
      <c r="U1072" s="3"/>
      <c r="V1072" s="3"/>
      <c r="W1072" s="3"/>
      <c r="X1072" s="3"/>
      <c r="Y1072" s="3"/>
      <c r="Z1072" s="3"/>
      <c r="AA1072" s="3"/>
      <c r="AB1072" s="3"/>
      <c r="AC1072" s="3"/>
      <c r="AD1072" s="3"/>
      <c r="AE1072" s="3"/>
      <c r="AF1072" s="3"/>
    </row>
    <row r="1073" spans="1:32" ht="15" x14ac:dyDescent="0.25">
      <c r="A1073" s="3"/>
      <c r="B1073" s="3"/>
      <c r="C1073" s="3"/>
      <c r="D1073" s="3"/>
      <c r="E1073" s="3"/>
      <c r="F1073" s="3"/>
      <c r="G1073" s="3"/>
      <c r="H1073" s="3"/>
      <c r="I1073" s="3"/>
      <c r="J1073" s="3"/>
      <c r="K1073" s="3"/>
      <c r="L1073" s="3"/>
      <c r="M1073" s="3"/>
      <c r="N1073" s="3"/>
      <c r="O1073" s="3"/>
      <c r="P1073" s="3"/>
      <c r="Q1073" s="3"/>
      <c r="R1073" s="3"/>
      <c r="S1073" s="3"/>
      <c r="T1073" s="3"/>
      <c r="U1073" s="3"/>
      <c r="V1073" s="3"/>
      <c r="W1073" s="3"/>
      <c r="X1073" s="3"/>
      <c r="Y1073" s="3"/>
      <c r="Z1073" s="3"/>
      <c r="AA1073" s="3"/>
      <c r="AB1073" s="3"/>
      <c r="AC1073" s="3"/>
      <c r="AD1073" s="3"/>
      <c r="AE1073" s="3"/>
      <c r="AF1073" s="3"/>
    </row>
    <row r="1074" spans="1:32" ht="15" x14ac:dyDescent="0.25">
      <c r="A1074" s="3"/>
      <c r="B1074" s="3"/>
      <c r="C1074" s="3"/>
      <c r="D1074" s="3"/>
      <c r="E1074" s="3"/>
      <c r="F1074" s="3"/>
      <c r="G1074" s="3"/>
      <c r="H1074" s="3"/>
      <c r="I1074" s="3"/>
      <c r="J1074" s="3"/>
      <c r="K1074" s="3"/>
      <c r="L1074" s="3"/>
      <c r="M1074" s="3"/>
      <c r="N1074" s="3"/>
      <c r="O1074" s="3"/>
      <c r="P1074" s="3"/>
      <c r="Q1074" s="3"/>
      <c r="R1074" s="3"/>
      <c r="S1074" s="3"/>
      <c r="T1074" s="3"/>
      <c r="U1074" s="3"/>
      <c r="V1074" s="3"/>
      <c r="W1074" s="3"/>
      <c r="X1074" s="3"/>
      <c r="Y1074" s="3"/>
      <c r="Z1074" s="3"/>
      <c r="AA1074" s="3"/>
      <c r="AB1074" s="3"/>
      <c r="AC1074" s="3"/>
      <c r="AD1074" s="3"/>
      <c r="AE1074" s="3"/>
      <c r="AF1074" s="3"/>
    </row>
    <row r="1075" spans="1:32" ht="15" x14ac:dyDescent="0.25">
      <c r="A1075" s="3"/>
      <c r="B1075" s="3"/>
      <c r="C1075" s="3"/>
      <c r="D1075" s="3"/>
      <c r="E1075" s="3"/>
      <c r="F1075" s="3"/>
      <c r="G1075" s="3"/>
      <c r="H1075" s="3"/>
      <c r="I1075" s="3"/>
      <c r="J1075" s="3"/>
      <c r="K1075" s="3"/>
      <c r="L1075" s="3"/>
      <c r="M1075" s="3"/>
      <c r="N1075" s="3"/>
      <c r="O1075" s="3"/>
      <c r="P1075" s="3"/>
      <c r="Q1075" s="3"/>
      <c r="R1075" s="3"/>
      <c r="S1075" s="3"/>
      <c r="T1075" s="3"/>
      <c r="U1075" s="3"/>
      <c r="V1075" s="3"/>
      <c r="W1075" s="3"/>
      <c r="X1075" s="3"/>
      <c r="Y1075" s="3"/>
      <c r="Z1075" s="3"/>
      <c r="AA1075" s="3"/>
      <c r="AB1075" s="3"/>
      <c r="AC1075" s="3"/>
      <c r="AD1075" s="3"/>
      <c r="AE1075" s="3"/>
      <c r="AF1075" s="3"/>
    </row>
    <row r="1076" spans="1:32" ht="15" x14ac:dyDescent="0.25">
      <c r="A1076" s="3"/>
      <c r="B1076" s="3"/>
      <c r="C1076" s="3"/>
      <c r="D1076" s="3"/>
      <c r="E1076" s="3"/>
      <c r="F1076" s="3"/>
      <c r="G1076" s="3"/>
      <c r="H1076" s="3"/>
      <c r="I1076" s="3"/>
      <c r="J1076" s="3"/>
      <c r="K1076" s="3"/>
      <c r="L1076" s="3"/>
      <c r="M1076" s="3"/>
      <c r="N1076" s="3"/>
      <c r="O1076" s="3"/>
      <c r="P1076" s="3"/>
      <c r="Q1076" s="3"/>
      <c r="R1076" s="3"/>
      <c r="S1076" s="3"/>
      <c r="T1076" s="3"/>
      <c r="U1076" s="3"/>
      <c r="V1076" s="3"/>
      <c r="W1076" s="3"/>
      <c r="X1076" s="3"/>
      <c r="Y1076" s="3"/>
      <c r="Z1076" s="3"/>
      <c r="AA1076" s="3"/>
      <c r="AB1076" s="3"/>
      <c r="AC1076" s="3"/>
      <c r="AD1076" s="3"/>
      <c r="AE1076" s="3"/>
      <c r="AF1076" s="3"/>
    </row>
    <row r="1077" spans="1:32" ht="15" x14ac:dyDescent="0.25">
      <c r="A1077" s="3"/>
      <c r="B1077" s="3"/>
      <c r="C1077" s="3"/>
      <c r="D1077" s="3"/>
      <c r="E1077" s="3"/>
      <c r="F1077" s="3"/>
      <c r="G1077" s="3"/>
      <c r="H1077" s="3"/>
      <c r="I1077" s="3"/>
      <c r="J1077" s="3"/>
      <c r="K1077" s="3"/>
      <c r="L1077" s="3"/>
      <c r="M1077" s="3"/>
      <c r="N1077" s="3"/>
      <c r="O1077" s="3"/>
      <c r="P1077" s="3"/>
      <c r="Q1077" s="3"/>
      <c r="R1077" s="3"/>
      <c r="S1077" s="3"/>
      <c r="T1077" s="3"/>
      <c r="U1077" s="3"/>
      <c r="V1077" s="3"/>
      <c r="W1077" s="3"/>
      <c r="X1077" s="3"/>
      <c r="Y1077" s="3"/>
      <c r="Z1077" s="3"/>
      <c r="AA1077" s="3"/>
      <c r="AB1077" s="3"/>
      <c r="AC1077" s="3"/>
      <c r="AD1077" s="3"/>
      <c r="AE1077" s="3"/>
      <c r="AF1077" s="3"/>
    </row>
    <row r="1078" spans="1:32" ht="15" x14ac:dyDescent="0.25">
      <c r="A1078" s="3"/>
      <c r="B1078" s="3"/>
      <c r="C1078" s="3"/>
      <c r="D1078" s="3"/>
      <c r="E1078" s="3"/>
      <c r="F1078" s="3"/>
      <c r="G1078" s="3"/>
      <c r="H1078" s="3"/>
      <c r="I1078" s="3"/>
      <c r="J1078" s="3"/>
      <c r="K1078" s="3"/>
      <c r="L1078" s="3"/>
      <c r="M1078" s="3"/>
      <c r="N1078" s="3"/>
      <c r="O1078" s="3"/>
      <c r="P1078" s="3"/>
      <c r="Q1078" s="3"/>
      <c r="R1078" s="3"/>
      <c r="S1078" s="3"/>
      <c r="T1078" s="3"/>
      <c r="U1078" s="3"/>
      <c r="V1078" s="3"/>
      <c r="W1078" s="3"/>
      <c r="X1078" s="3"/>
      <c r="Y1078" s="3"/>
      <c r="Z1078" s="3"/>
      <c r="AA1078" s="3"/>
      <c r="AB1078" s="3"/>
      <c r="AC1078" s="3"/>
      <c r="AD1078" s="3"/>
      <c r="AE1078" s="3"/>
      <c r="AF1078" s="3"/>
    </row>
    <row r="1079" spans="1:32" ht="15" x14ac:dyDescent="0.25">
      <c r="A1079" s="3"/>
      <c r="B1079" s="3"/>
      <c r="C1079" s="3"/>
      <c r="D1079" s="3"/>
      <c r="E1079" s="3"/>
      <c r="F1079" s="3"/>
      <c r="G1079" s="3"/>
      <c r="H1079" s="3"/>
      <c r="I1079" s="3"/>
      <c r="J1079" s="3"/>
      <c r="K1079" s="3"/>
      <c r="L1079" s="3"/>
      <c r="M1079" s="3"/>
      <c r="N1079" s="3"/>
      <c r="O1079" s="3"/>
      <c r="P1079" s="3"/>
      <c r="Q1079" s="3"/>
      <c r="R1079" s="3"/>
      <c r="S1079" s="3"/>
      <c r="T1079" s="3"/>
      <c r="U1079" s="3"/>
      <c r="V1079" s="3"/>
      <c r="W1079" s="3"/>
      <c r="X1079" s="3"/>
      <c r="Y1079" s="3"/>
      <c r="Z1079" s="3"/>
      <c r="AA1079" s="3"/>
      <c r="AB1079" s="3"/>
      <c r="AC1079" s="3"/>
      <c r="AD1079" s="3"/>
      <c r="AE1079" s="3"/>
      <c r="AF1079" s="3"/>
    </row>
    <row r="1080" spans="1:32" ht="15" x14ac:dyDescent="0.25">
      <c r="A1080" s="3"/>
      <c r="B1080" s="3"/>
      <c r="C1080" s="3"/>
      <c r="D1080" s="3"/>
      <c r="E1080" s="3"/>
      <c r="F1080" s="3"/>
      <c r="G1080" s="3"/>
      <c r="H1080" s="3"/>
      <c r="I1080" s="3"/>
      <c r="J1080" s="3"/>
      <c r="K1080" s="3"/>
      <c r="L1080" s="3"/>
      <c r="M1080" s="3"/>
      <c r="N1080" s="3"/>
      <c r="O1080" s="3"/>
      <c r="P1080" s="3"/>
      <c r="Q1080" s="3"/>
      <c r="R1080" s="3"/>
      <c r="S1080" s="3"/>
      <c r="T1080" s="3"/>
      <c r="U1080" s="3"/>
      <c r="V1080" s="3"/>
      <c r="W1080" s="3"/>
      <c r="X1080" s="3"/>
      <c r="Y1080" s="3"/>
      <c r="Z1080" s="3"/>
      <c r="AA1080" s="3"/>
      <c r="AB1080" s="3"/>
      <c r="AC1080" s="3"/>
      <c r="AD1080" s="3"/>
      <c r="AE1080" s="3"/>
      <c r="AF1080" s="3"/>
    </row>
    <row r="1081" spans="1:32" ht="15" x14ac:dyDescent="0.25">
      <c r="A1081" s="3"/>
      <c r="B1081" s="3"/>
      <c r="C1081" s="3"/>
      <c r="D1081" s="3"/>
      <c r="E1081" s="3"/>
      <c r="F1081" s="3"/>
      <c r="G1081" s="3"/>
      <c r="H1081" s="3"/>
      <c r="I1081" s="3"/>
      <c r="J1081" s="3"/>
      <c r="K1081" s="3"/>
      <c r="L1081" s="3"/>
      <c r="M1081" s="3"/>
      <c r="N1081" s="3"/>
      <c r="O1081" s="3"/>
      <c r="P1081" s="3"/>
      <c r="Q1081" s="3"/>
      <c r="R1081" s="3"/>
      <c r="S1081" s="3"/>
      <c r="T1081" s="3"/>
      <c r="U1081" s="3"/>
      <c r="V1081" s="3"/>
      <c r="W1081" s="3"/>
      <c r="X1081" s="3"/>
      <c r="Y1081" s="3"/>
      <c r="Z1081" s="3"/>
      <c r="AA1081" s="3"/>
      <c r="AB1081" s="3"/>
      <c r="AC1081" s="3"/>
      <c r="AD1081" s="3"/>
      <c r="AE1081" s="3"/>
      <c r="AF1081" s="3"/>
    </row>
    <row r="1082" spans="1:32" ht="15" x14ac:dyDescent="0.25">
      <c r="A1082" s="3"/>
      <c r="B1082" s="3"/>
      <c r="C1082" s="3"/>
      <c r="D1082" s="3"/>
      <c r="E1082" s="3"/>
      <c r="F1082" s="3"/>
      <c r="G1082" s="3"/>
      <c r="H1082" s="3"/>
      <c r="I1082" s="3"/>
      <c r="J1082" s="3"/>
      <c r="K1082" s="3"/>
      <c r="L1082" s="3"/>
      <c r="M1082" s="3"/>
      <c r="N1082" s="3"/>
      <c r="O1082" s="3"/>
      <c r="P1082" s="3"/>
      <c r="Q1082" s="3"/>
      <c r="R1082" s="3"/>
      <c r="S1082" s="3"/>
      <c r="T1082" s="3"/>
      <c r="U1082" s="3"/>
      <c r="V1082" s="3"/>
      <c r="W1082" s="3"/>
      <c r="X1082" s="3"/>
      <c r="Y1082" s="3"/>
      <c r="Z1082" s="3"/>
      <c r="AA1082" s="3"/>
      <c r="AB1082" s="3"/>
      <c r="AC1082" s="3"/>
      <c r="AD1082" s="3"/>
      <c r="AE1082" s="3"/>
      <c r="AF1082" s="3"/>
    </row>
    <row r="1083" spans="1:32" ht="15" x14ac:dyDescent="0.25">
      <c r="A1083" s="3"/>
      <c r="B1083" s="3"/>
      <c r="C1083" s="3"/>
      <c r="D1083" s="3"/>
      <c r="E1083" s="3"/>
      <c r="F1083" s="3"/>
      <c r="G1083" s="3"/>
      <c r="H1083" s="3"/>
      <c r="I1083" s="3"/>
      <c r="J1083" s="3"/>
      <c r="K1083" s="3"/>
      <c r="L1083" s="3"/>
      <c r="M1083" s="3"/>
      <c r="N1083" s="3"/>
      <c r="O1083" s="3"/>
      <c r="P1083" s="3"/>
      <c r="Q1083" s="3"/>
      <c r="R1083" s="3"/>
      <c r="S1083" s="3"/>
      <c r="T1083" s="3"/>
      <c r="U1083" s="3"/>
      <c r="V1083" s="3"/>
      <c r="W1083" s="3"/>
      <c r="X1083" s="3"/>
      <c r="Y1083" s="3"/>
      <c r="Z1083" s="3"/>
      <c r="AA1083" s="3"/>
      <c r="AB1083" s="3"/>
      <c r="AC1083" s="3"/>
      <c r="AD1083" s="3"/>
      <c r="AE1083" s="3"/>
      <c r="AF1083" s="3"/>
    </row>
    <row r="1084" spans="1:32" ht="15" x14ac:dyDescent="0.25">
      <c r="A1084" s="3"/>
      <c r="B1084" s="3"/>
      <c r="C1084" s="3"/>
      <c r="D1084" s="3"/>
      <c r="E1084" s="3"/>
      <c r="F1084" s="3"/>
      <c r="G1084" s="3"/>
      <c r="H1084" s="3"/>
      <c r="I1084" s="3"/>
      <c r="J1084" s="3"/>
      <c r="K1084" s="3"/>
      <c r="L1084" s="3"/>
      <c r="M1084" s="3"/>
      <c r="N1084" s="3"/>
      <c r="O1084" s="3"/>
      <c r="P1084" s="3"/>
      <c r="Q1084" s="3"/>
      <c r="R1084" s="3"/>
      <c r="S1084" s="3"/>
      <c r="T1084" s="3"/>
      <c r="U1084" s="3"/>
      <c r="V1084" s="3"/>
      <c r="W1084" s="3"/>
      <c r="X1084" s="3"/>
      <c r="Y1084" s="3"/>
      <c r="Z1084" s="3"/>
      <c r="AA1084" s="3"/>
      <c r="AB1084" s="3"/>
      <c r="AC1084" s="3"/>
      <c r="AD1084" s="3"/>
      <c r="AE1084" s="3"/>
      <c r="AF1084" s="3"/>
    </row>
    <row r="1085" spans="1:32" ht="15" x14ac:dyDescent="0.25">
      <c r="A1085" s="3"/>
      <c r="B1085" s="3"/>
      <c r="C1085" s="3"/>
      <c r="D1085" s="3"/>
      <c r="E1085" s="3"/>
      <c r="F1085" s="3"/>
      <c r="G1085" s="3"/>
      <c r="H1085" s="3"/>
      <c r="I1085" s="3"/>
      <c r="J1085" s="3"/>
      <c r="K1085" s="3"/>
      <c r="L1085" s="3"/>
      <c r="M1085" s="3"/>
      <c r="N1085" s="3"/>
      <c r="O1085" s="3"/>
      <c r="P1085" s="3"/>
      <c r="Q1085" s="3"/>
      <c r="R1085" s="3"/>
      <c r="S1085" s="3"/>
      <c r="T1085" s="3"/>
      <c r="U1085" s="3"/>
      <c r="V1085" s="3"/>
      <c r="W1085" s="3"/>
      <c r="X1085" s="3"/>
      <c r="Y1085" s="3"/>
      <c r="Z1085" s="3"/>
      <c r="AA1085" s="3"/>
      <c r="AB1085" s="3"/>
      <c r="AC1085" s="3"/>
      <c r="AD1085" s="3"/>
      <c r="AE1085" s="3"/>
      <c r="AF1085" s="3"/>
    </row>
    <row r="1086" spans="1:32" ht="15" x14ac:dyDescent="0.25">
      <c r="A1086" s="3"/>
      <c r="B1086" s="3"/>
      <c r="C1086" s="3"/>
      <c r="D1086" s="3"/>
      <c r="E1086" s="3"/>
      <c r="F1086" s="3"/>
      <c r="G1086" s="3"/>
      <c r="H1086" s="3"/>
      <c r="I1086" s="3"/>
      <c r="J1086" s="3"/>
      <c r="K1086" s="3"/>
      <c r="L1086" s="3"/>
      <c r="M1086" s="3"/>
      <c r="N1086" s="3"/>
      <c r="O1086" s="3"/>
      <c r="P1086" s="3"/>
      <c r="Q1086" s="3"/>
      <c r="R1086" s="3"/>
      <c r="S1086" s="3"/>
      <c r="T1086" s="3"/>
      <c r="U1086" s="3"/>
      <c r="V1086" s="3"/>
      <c r="W1086" s="3"/>
      <c r="X1086" s="3"/>
      <c r="Y1086" s="3"/>
      <c r="Z1086" s="3"/>
      <c r="AA1086" s="3"/>
      <c r="AB1086" s="3"/>
      <c r="AC1086" s="3"/>
      <c r="AD1086" s="3"/>
      <c r="AE1086" s="3"/>
      <c r="AF1086" s="3"/>
    </row>
    <row r="1087" spans="1:32" ht="15" x14ac:dyDescent="0.25">
      <c r="A1087" s="3"/>
      <c r="B1087" s="3"/>
      <c r="C1087" s="3"/>
      <c r="D1087" s="3"/>
      <c r="E1087" s="3"/>
      <c r="F1087" s="3"/>
      <c r="G1087" s="3"/>
      <c r="H1087" s="3"/>
      <c r="I1087" s="3"/>
      <c r="J1087" s="3"/>
      <c r="K1087" s="3"/>
      <c r="L1087" s="3"/>
      <c r="M1087" s="3"/>
      <c r="N1087" s="3"/>
      <c r="O1087" s="3"/>
      <c r="P1087" s="3"/>
      <c r="Q1087" s="3"/>
      <c r="R1087" s="3"/>
      <c r="S1087" s="3"/>
      <c r="T1087" s="3"/>
      <c r="U1087" s="3"/>
      <c r="V1087" s="3"/>
      <c r="W1087" s="3"/>
      <c r="X1087" s="3"/>
      <c r="Y1087" s="3"/>
      <c r="Z1087" s="3"/>
      <c r="AA1087" s="3"/>
      <c r="AB1087" s="3"/>
      <c r="AC1087" s="3"/>
      <c r="AD1087" s="3"/>
      <c r="AE1087" s="3"/>
      <c r="AF1087" s="3"/>
    </row>
    <row r="1088" spans="1:32" ht="15" x14ac:dyDescent="0.25">
      <c r="A1088" s="3"/>
      <c r="B1088" s="3"/>
      <c r="C1088" s="3"/>
      <c r="D1088" s="3"/>
      <c r="E1088" s="3"/>
      <c r="F1088" s="3"/>
      <c r="G1088" s="3"/>
      <c r="H1088" s="3"/>
      <c r="I1088" s="3"/>
      <c r="J1088" s="3"/>
      <c r="K1088" s="3"/>
      <c r="L1088" s="3"/>
      <c r="M1088" s="3"/>
      <c r="N1088" s="3"/>
      <c r="O1088" s="3"/>
      <c r="P1088" s="3"/>
      <c r="Q1088" s="3"/>
      <c r="R1088" s="3"/>
      <c r="S1088" s="3"/>
      <c r="T1088" s="3"/>
      <c r="U1088" s="3"/>
      <c r="V1088" s="3"/>
      <c r="W1088" s="3"/>
      <c r="X1088" s="3"/>
      <c r="Y1088" s="3"/>
      <c r="Z1088" s="3"/>
      <c r="AA1088" s="3"/>
      <c r="AB1088" s="3"/>
      <c r="AC1088" s="3"/>
      <c r="AD1088" s="3"/>
      <c r="AE1088" s="3"/>
      <c r="AF1088" s="3"/>
    </row>
    <row r="1089" spans="1:32" ht="15" x14ac:dyDescent="0.25">
      <c r="A1089" s="3"/>
      <c r="B1089" s="3"/>
      <c r="C1089" s="3"/>
      <c r="D1089" s="3"/>
      <c r="E1089" s="3"/>
      <c r="F1089" s="3"/>
      <c r="G1089" s="3"/>
      <c r="H1089" s="3"/>
      <c r="I1089" s="3"/>
      <c r="J1089" s="3"/>
      <c r="K1089" s="3"/>
      <c r="L1089" s="3"/>
      <c r="M1089" s="3"/>
      <c r="N1089" s="3"/>
      <c r="O1089" s="3"/>
      <c r="P1089" s="3"/>
      <c r="Q1089" s="3"/>
      <c r="R1089" s="3"/>
      <c r="S1089" s="3"/>
      <c r="T1089" s="3"/>
      <c r="U1089" s="3"/>
      <c r="V1089" s="3"/>
      <c r="W1089" s="3"/>
      <c r="X1089" s="3"/>
      <c r="Y1089" s="3"/>
      <c r="Z1089" s="3"/>
      <c r="AA1089" s="3"/>
      <c r="AB1089" s="3"/>
      <c r="AC1089" s="3"/>
      <c r="AD1089" s="3"/>
      <c r="AE1089" s="3"/>
      <c r="AF1089" s="3"/>
    </row>
    <row r="1090" spans="1:32" ht="15" x14ac:dyDescent="0.25">
      <c r="A1090" s="3"/>
      <c r="B1090" s="3"/>
      <c r="C1090" s="3"/>
      <c r="D1090" s="3"/>
      <c r="E1090" s="3"/>
      <c r="F1090" s="3"/>
      <c r="G1090" s="3"/>
      <c r="H1090" s="3"/>
      <c r="I1090" s="3"/>
      <c r="J1090" s="3"/>
      <c r="K1090" s="3"/>
      <c r="L1090" s="3"/>
      <c r="M1090" s="3"/>
      <c r="N1090" s="3"/>
      <c r="O1090" s="3"/>
      <c r="P1090" s="3"/>
      <c r="Q1090" s="3"/>
      <c r="R1090" s="3"/>
      <c r="S1090" s="3"/>
      <c r="T1090" s="3"/>
      <c r="U1090" s="3"/>
      <c r="V1090" s="3"/>
      <c r="W1090" s="3"/>
      <c r="X1090" s="3"/>
      <c r="Y1090" s="3"/>
      <c r="Z1090" s="3"/>
      <c r="AA1090" s="3"/>
      <c r="AB1090" s="3"/>
      <c r="AC1090" s="3"/>
      <c r="AD1090" s="3"/>
      <c r="AE1090" s="3"/>
      <c r="AF1090" s="3"/>
    </row>
    <row r="1091" spans="1:32" ht="15" x14ac:dyDescent="0.25">
      <c r="A1091" s="3"/>
      <c r="B1091" s="3"/>
      <c r="C1091" s="3"/>
      <c r="D1091" s="3"/>
      <c r="E1091" s="3"/>
      <c r="F1091" s="3"/>
      <c r="G1091" s="3"/>
      <c r="H1091" s="3"/>
      <c r="I1091" s="3"/>
      <c r="J1091" s="3"/>
      <c r="K1091" s="3"/>
      <c r="L1091" s="3"/>
      <c r="M1091" s="3"/>
      <c r="N1091" s="3"/>
      <c r="O1091" s="3"/>
      <c r="P1091" s="3"/>
      <c r="Q1091" s="3"/>
      <c r="R1091" s="3"/>
      <c r="S1091" s="3"/>
      <c r="T1091" s="3"/>
      <c r="U1091" s="3"/>
      <c r="V1091" s="3"/>
      <c r="W1091" s="3"/>
      <c r="X1091" s="3"/>
      <c r="Y1091" s="3"/>
      <c r="Z1091" s="3"/>
      <c r="AA1091" s="3"/>
      <c r="AB1091" s="3"/>
      <c r="AC1091" s="3"/>
      <c r="AD1091" s="3"/>
      <c r="AE1091" s="3"/>
      <c r="AF1091" s="3"/>
    </row>
    <row r="1092" spans="1:32" ht="15" x14ac:dyDescent="0.25">
      <c r="A1092" s="3"/>
      <c r="B1092" s="3"/>
      <c r="C1092" s="3"/>
      <c r="D1092" s="3"/>
      <c r="E1092" s="3"/>
      <c r="F1092" s="3"/>
      <c r="G1092" s="3"/>
      <c r="H1092" s="3"/>
      <c r="I1092" s="3"/>
      <c r="J1092" s="3"/>
      <c r="K1092" s="3"/>
      <c r="L1092" s="3"/>
      <c r="M1092" s="3"/>
      <c r="N1092" s="3"/>
      <c r="O1092" s="3"/>
      <c r="P1092" s="3"/>
      <c r="Q1092" s="3"/>
      <c r="R1092" s="3"/>
      <c r="S1092" s="3"/>
      <c r="T1092" s="3"/>
      <c r="U1092" s="3"/>
      <c r="V1092" s="3"/>
      <c r="W1092" s="3"/>
      <c r="X1092" s="3"/>
      <c r="Y1092" s="3"/>
      <c r="Z1092" s="3"/>
      <c r="AA1092" s="3"/>
      <c r="AB1092" s="3"/>
      <c r="AC1092" s="3"/>
      <c r="AD1092" s="3"/>
      <c r="AE1092" s="3"/>
      <c r="AF1092" s="3"/>
    </row>
    <row r="1093" spans="1:32" ht="15" x14ac:dyDescent="0.25">
      <c r="A1093" s="3"/>
      <c r="B1093" s="3"/>
      <c r="C1093" s="3"/>
      <c r="D1093" s="3"/>
      <c r="E1093" s="3"/>
      <c r="F1093" s="3"/>
      <c r="G1093" s="3"/>
      <c r="H1093" s="3"/>
      <c r="I1093" s="3"/>
      <c r="J1093" s="3"/>
      <c r="K1093" s="3"/>
      <c r="L1093" s="3"/>
      <c r="M1093" s="3"/>
      <c r="N1093" s="3"/>
      <c r="O1093" s="3"/>
      <c r="P1093" s="3"/>
      <c r="Q1093" s="3"/>
      <c r="R1093" s="3"/>
      <c r="S1093" s="3"/>
      <c r="T1093" s="3"/>
      <c r="U1093" s="3"/>
      <c r="V1093" s="3"/>
      <c r="W1093" s="3"/>
      <c r="X1093" s="3"/>
      <c r="Y1093" s="3"/>
      <c r="Z1093" s="3"/>
      <c r="AA1093" s="3"/>
      <c r="AB1093" s="3"/>
      <c r="AC1093" s="3"/>
      <c r="AD1093" s="3"/>
      <c r="AE1093" s="3"/>
      <c r="AF1093" s="3"/>
    </row>
    <row r="1094" spans="1:32" ht="15" x14ac:dyDescent="0.25">
      <c r="A1094" s="3"/>
      <c r="B1094" s="3"/>
      <c r="C1094" s="3"/>
      <c r="D1094" s="3"/>
      <c r="E1094" s="3"/>
      <c r="F1094" s="3"/>
      <c r="G1094" s="3"/>
      <c r="H1094" s="3"/>
      <c r="I1094" s="3"/>
      <c r="J1094" s="3"/>
      <c r="K1094" s="3"/>
      <c r="L1094" s="3"/>
      <c r="M1094" s="3"/>
      <c r="N1094" s="3"/>
      <c r="O1094" s="3"/>
      <c r="P1094" s="3"/>
      <c r="Q1094" s="3"/>
      <c r="R1094" s="3"/>
      <c r="S1094" s="3"/>
      <c r="T1094" s="3"/>
      <c r="U1094" s="3"/>
      <c r="V1094" s="3"/>
      <c r="W1094" s="3"/>
      <c r="X1094" s="3"/>
      <c r="Y1094" s="3"/>
      <c r="Z1094" s="3"/>
      <c r="AA1094" s="3"/>
      <c r="AB1094" s="3"/>
      <c r="AC1094" s="3"/>
      <c r="AD1094" s="3"/>
      <c r="AE1094" s="3"/>
      <c r="AF1094" s="3"/>
    </row>
    <row r="1095" spans="1:32" ht="15" x14ac:dyDescent="0.25">
      <c r="A1095" s="3"/>
      <c r="B1095" s="3"/>
      <c r="C1095" s="3"/>
      <c r="D1095" s="3"/>
      <c r="E1095" s="3"/>
      <c r="F1095" s="3"/>
      <c r="G1095" s="3"/>
      <c r="H1095" s="3"/>
      <c r="I1095" s="3"/>
      <c r="J1095" s="3"/>
      <c r="K1095" s="3"/>
      <c r="L1095" s="3"/>
      <c r="M1095" s="3"/>
      <c r="N1095" s="3"/>
      <c r="O1095" s="3"/>
      <c r="P1095" s="3"/>
      <c r="Q1095" s="3"/>
      <c r="R1095" s="3"/>
      <c r="S1095" s="3"/>
      <c r="T1095" s="3"/>
      <c r="U1095" s="3"/>
      <c r="V1095" s="3"/>
      <c r="W1095" s="3"/>
      <c r="X1095" s="3"/>
      <c r="Y1095" s="3"/>
      <c r="Z1095" s="3"/>
      <c r="AA1095" s="3"/>
      <c r="AB1095" s="3"/>
      <c r="AC1095" s="3"/>
      <c r="AD1095" s="3"/>
      <c r="AE1095" s="3"/>
      <c r="AF1095" s="3"/>
    </row>
    <row r="1096" spans="1:32" ht="15" x14ac:dyDescent="0.25">
      <c r="A1096" s="3"/>
      <c r="B1096" s="3"/>
      <c r="C1096" s="3"/>
      <c r="D1096" s="3"/>
      <c r="E1096" s="3"/>
      <c r="F1096" s="3"/>
      <c r="G1096" s="3"/>
      <c r="H1096" s="3"/>
      <c r="I1096" s="3"/>
      <c r="J1096" s="3"/>
      <c r="K1096" s="3"/>
      <c r="L1096" s="3"/>
      <c r="M1096" s="3"/>
      <c r="N1096" s="3"/>
      <c r="O1096" s="3"/>
      <c r="P1096" s="3"/>
      <c r="Q1096" s="3"/>
      <c r="R1096" s="3"/>
      <c r="S1096" s="3"/>
      <c r="T1096" s="3"/>
      <c r="U1096" s="3"/>
      <c r="V1096" s="3"/>
      <c r="W1096" s="3"/>
      <c r="X1096" s="3"/>
      <c r="Y1096" s="3"/>
      <c r="Z1096" s="3"/>
      <c r="AA1096" s="3"/>
      <c r="AB1096" s="3"/>
      <c r="AC1096" s="3"/>
      <c r="AD1096" s="3"/>
      <c r="AE1096" s="3"/>
      <c r="AF1096" s="3"/>
    </row>
    <row r="1097" spans="1:32" ht="15" x14ac:dyDescent="0.25">
      <c r="A1097" s="3"/>
      <c r="B1097" s="3"/>
      <c r="C1097" s="3"/>
      <c r="D1097" s="3"/>
      <c r="E1097" s="3"/>
      <c r="F1097" s="3"/>
      <c r="G1097" s="3"/>
      <c r="H1097" s="3"/>
      <c r="I1097" s="3"/>
      <c r="J1097" s="3"/>
      <c r="K1097" s="3"/>
      <c r="L1097" s="3"/>
      <c r="M1097" s="3"/>
      <c r="N1097" s="3"/>
      <c r="O1097" s="3"/>
      <c r="P1097" s="3"/>
      <c r="Q1097" s="3"/>
      <c r="R1097" s="3"/>
      <c r="S1097" s="3"/>
      <c r="T1097" s="3"/>
      <c r="U1097" s="3"/>
      <c r="V1097" s="3"/>
      <c r="W1097" s="3"/>
      <c r="X1097" s="3"/>
      <c r="Y1097" s="3"/>
      <c r="Z1097" s="3"/>
      <c r="AA1097" s="3"/>
      <c r="AB1097" s="3"/>
      <c r="AC1097" s="3"/>
      <c r="AD1097" s="3"/>
      <c r="AE1097" s="3"/>
      <c r="AF1097" s="3"/>
    </row>
    <row r="1098" spans="1:32" ht="15" x14ac:dyDescent="0.25">
      <c r="A1098" s="3"/>
      <c r="B1098" s="3"/>
      <c r="C1098" s="3"/>
      <c r="D1098" s="3"/>
      <c r="E1098" s="3"/>
      <c r="F1098" s="3"/>
      <c r="G1098" s="3"/>
      <c r="H1098" s="3"/>
      <c r="I1098" s="3"/>
      <c r="J1098" s="3"/>
      <c r="K1098" s="3"/>
      <c r="L1098" s="3"/>
      <c r="M1098" s="3"/>
      <c r="N1098" s="3"/>
      <c r="O1098" s="3"/>
      <c r="P1098" s="3"/>
      <c r="Q1098" s="3"/>
      <c r="R1098" s="3"/>
      <c r="S1098" s="3"/>
      <c r="T1098" s="3"/>
      <c r="U1098" s="3"/>
      <c r="V1098" s="3"/>
      <c r="W1098" s="3"/>
      <c r="X1098" s="3"/>
      <c r="Y1098" s="3"/>
      <c r="Z1098" s="3"/>
      <c r="AA1098" s="3"/>
      <c r="AB1098" s="3"/>
      <c r="AC1098" s="3"/>
      <c r="AD1098" s="3"/>
      <c r="AE1098" s="3"/>
      <c r="AF1098" s="3"/>
    </row>
    <row r="1099" spans="1:32" ht="15" x14ac:dyDescent="0.25">
      <c r="A1099" s="3"/>
      <c r="B1099" s="3"/>
      <c r="C1099" s="3"/>
      <c r="D1099" s="3"/>
      <c r="E1099" s="3"/>
      <c r="F1099" s="3"/>
      <c r="G1099" s="3"/>
      <c r="H1099" s="3"/>
      <c r="I1099" s="3"/>
      <c r="J1099" s="3"/>
      <c r="K1099" s="3"/>
      <c r="L1099" s="3"/>
      <c r="M1099" s="3"/>
      <c r="N1099" s="3"/>
      <c r="O1099" s="3"/>
      <c r="P1099" s="3"/>
      <c r="Q1099" s="3"/>
      <c r="R1099" s="3"/>
      <c r="S1099" s="3"/>
      <c r="T1099" s="3"/>
      <c r="U1099" s="3"/>
      <c r="V1099" s="3"/>
      <c r="W1099" s="3"/>
      <c r="X1099" s="3"/>
      <c r="Y1099" s="3"/>
      <c r="Z1099" s="3"/>
      <c r="AA1099" s="3"/>
      <c r="AB1099" s="3"/>
      <c r="AC1099" s="3"/>
      <c r="AD1099" s="3"/>
      <c r="AE1099" s="3"/>
      <c r="AF1099" s="3"/>
    </row>
    <row r="1100" spans="1:32" ht="15" x14ac:dyDescent="0.25">
      <c r="A1100" s="3"/>
      <c r="B1100" s="3"/>
      <c r="C1100" s="3"/>
      <c r="D1100" s="3"/>
      <c r="E1100" s="3"/>
      <c r="F1100" s="3"/>
      <c r="G1100" s="3"/>
      <c r="H1100" s="3"/>
      <c r="I1100" s="3"/>
      <c r="J1100" s="3"/>
      <c r="K1100" s="3"/>
      <c r="L1100" s="3"/>
      <c r="M1100" s="3"/>
      <c r="N1100" s="3"/>
      <c r="O1100" s="3"/>
      <c r="P1100" s="3"/>
      <c r="Q1100" s="3"/>
      <c r="R1100" s="3"/>
      <c r="S1100" s="3"/>
      <c r="T1100" s="3"/>
      <c r="U1100" s="3"/>
      <c r="V1100" s="3"/>
      <c r="W1100" s="3"/>
      <c r="X1100" s="3"/>
      <c r="Y1100" s="3"/>
      <c r="Z1100" s="3"/>
      <c r="AA1100" s="3"/>
      <c r="AB1100" s="3"/>
      <c r="AC1100" s="3"/>
      <c r="AD1100" s="3"/>
      <c r="AE1100" s="3"/>
      <c r="AF1100" s="3"/>
    </row>
    <row r="1101" spans="1:32" ht="15" x14ac:dyDescent="0.25">
      <c r="A1101" s="3"/>
      <c r="B1101" s="3"/>
      <c r="C1101" s="3"/>
      <c r="D1101" s="3"/>
      <c r="E1101" s="3"/>
      <c r="F1101" s="3"/>
      <c r="G1101" s="3"/>
      <c r="H1101" s="3"/>
      <c r="I1101" s="3"/>
      <c r="J1101" s="3"/>
      <c r="K1101" s="3"/>
      <c r="L1101" s="3"/>
      <c r="M1101" s="3"/>
      <c r="N1101" s="3"/>
      <c r="O1101" s="3"/>
      <c r="P1101" s="3"/>
      <c r="Q1101" s="3"/>
      <c r="R1101" s="3"/>
      <c r="S1101" s="3"/>
      <c r="T1101" s="3"/>
      <c r="U1101" s="3"/>
      <c r="V1101" s="3"/>
      <c r="W1101" s="3"/>
      <c r="X1101" s="3"/>
      <c r="Y1101" s="3"/>
      <c r="Z1101" s="3"/>
      <c r="AA1101" s="3"/>
      <c r="AB1101" s="3"/>
      <c r="AC1101" s="3"/>
      <c r="AD1101" s="3"/>
      <c r="AE1101" s="3"/>
      <c r="AF1101" s="3"/>
    </row>
    <row r="1102" spans="1:32" ht="15" x14ac:dyDescent="0.25">
      <c r="A1102" s="3"/>
      <c r="B1102" s="3"/>
      <c r="C1102" s="3"/>
      <c r="D1102" s="3"/>
      <c r="E1102" s="3"/>
      <c r="F1102" s="3"/>
      <c r="G1102" s="3"/>
      <c r="H1102" s="3"/>
      <c r="I1102" s="3"/>
      <c r="J1102" s="3"/>
      <c r="K1102" s="3"/>
      <c r="L1102" s="3"/>
      <c r="M1102" s="3"/>
      <c r="N1102" s="3"/>
      <c r="O1102" s="3"/>
      <c r="P1102" s="3"/>
      <c r="Q1102" s="3"/>
      <c r="R1102" s="3"/>
      <c r="S1102" s="3"/>
      <c r="T1102" s="3"/>
      <c r="U1102" s="3"/>
      <c r="V1102" s="3"/>
      <c r="W1102" s="3"/>
      <c r="X1102" s="3"/>
      <c r="Y1102" s="3"/>
      <c r="Z1102" s="3"/>
      <c r="AA1102" s="3"/>
      <c r="AB1102" s="3"/>
      <c r="AC1102" s="3"/>
      <c r="AD1102" s="3"/>
      <c r="AE1102" s="3"/>
      <c r="AF1102" s="3"/>
    </row>
    <row r="1103" spans="1:32" ht="15" x14ac:dyDescent="0.25">
      <c r="A1103" s="3"/>
      <c r="B1103" s="3"/>
      <c r="C1103" s="3"/>
      <c r="D1103" s="3"/>
      <c r="E1103" s="3"/>
      <c r="F1103" s="3"/>
      <c r="G1103" s="3"/>
      <c r="H1103" s="3"/>
      <c r="I1103" s="3"/>
      <c r="J1103" s="3"/>
      <c r="K1103" s="3"/>
      <c r="L1103" s="3"/>
      <c r="M1103" s="3"/>
      <c r="N1103" s="3"/>
      <c r="O1103" s="3"/>
      <c r="P1103" s="3"/>
      <c r="Q1103" s="3"/>
      <c r="R1103" s="3"/>
      <c r="S1103" s="3"/>
      <c r="T1103" s="3"/>
      <c r="U1103" s="3"/>
      <c r="V1103" s="3"/>
      <c r="W1103" s="3"/>
      <c r="X1103" s="3"/>
      <c r="Y1103" s="3"/>
      <c r="Z1103" s="3"/>
      <c r="AA1103" s="3"/>
      <c r="AB1103" s="3"/>
      <c r="AC1103" s="3"/>
      <c r="AD1103" s="3"/>
      <c r="AE1103" s="3"/>
      <c r="AF1103" s="3"/>
    </row>
    <row r="1104" spans="1:32" ht="15" x14ac:dyDescent="0.25">
      <c r="A1104" s="3"/>
      <c r="B1104" s="3"/>
      <c r="C1104" s="3"/>
      <c r="D1104" s="3"/>
      <c r="E1104" s="3"/>
      <c r="F1104" s="3"/>
      <c r="G1104" s="3"/>
      <c r="H1104" s="3"/>
      <c r="I1104" s="3"/>
      <c r="J1104" s="3"/>
      <c r="K1104" s="3"/>
      <c r="L1104" s="3"/>
      <c r="M1104" s="3"/>
      <c r="N1104" s="3"/>
      <c r="O1104" s="3"/>
      <c r="P1104" s="3"/>
      <c r="Q1104" s="3"/>
      <c r="R1104" s="3"/>
      <c r="S1104" s="3"/>
      <c r="T1104" s="3"/>
      <c r="U1104" s="3"/>
      <c r="V1104" s="3"/>
      <c r="W1104" s="3"/>
      <c r="X1104" s="3"/>
      <c r="Y1104" s="3"/>
      <c r="Z1104" s="3"/>
      <c r="AA1104" s="3"/>
      <c r="AB1104" s="3"/>
      <c r="AC1104" s="3"/>
      <c r="AD1104" s="3"/>
      <c r="AE1104" s="3"/>
      <c r="AF1104" s="3"/>
    </row>
    <row r="1105" spans="1:32" ht="15" x14ac:dyDescent="0.25">
      <c r="A1105" s="3"/>
      <c r="B1105" s="3"/>
      <c r="C1105" s="3"/>
      <c r="D1105" s="3"/>
      <c r="E1105" s="3"/>
      <c r="F1105" s="3"/>
      <c r="G1105" s="3"/>
      <c r="H1105" s="3"/>
      <c r="I1105" s="3"/>
      <c r="J1105" s="3"/>
      <c r="K1105" s="3"/>
      <c r="L1105" s="3"/>
      <c r="M1105" s="3"/>
      <c r="N1105" s="3"/>
      <c r="O1105" s="3"/>
      <c r="P1105" s="3"/>
      <c r="Q1105" s="3"/>
      <c r="R1105" s="3"/>
      <c r="S1105" s="3"/>
      <c r="T1105" s="3"/>
      <c r="U1105" s="3"/>
      <c r="V1105" s="3"/>
      <c r="W1105" s="3"/>
      <c r="X1105" s="3"/>
      <c r="Y1105" s="3"/>
      <c r="Z1105" s="3"/>
      <c r="AA1105" s="3"/>
      <c r="AB1105" s="3"/>
      <c r="AC1105" s="3"/>
      <c r="AD1105" s="3"/>
      <c r="AE1105" s="3"/>
      <c r="AF1105" s="3"/>
    </row>
    <row r="1106" spans="1:32" ht="15" x14ac:dyDescent="0.25">
      <c r="A1106" s="3"/>
      <c r="B1106" s="3"/>
      <c r="C1106" s="3"/>
      <c r="D1106" s="3"/>
      <c r="E1106" s="3"/>
      <c r="F1106" s="3"/>
      <c r="G1106" s="3"/>
      <c r="H1106" s="3"/>
      <c r="I1106" s="3"/>
      <c r="J1106" s="3"/>
      <c r="K1106" s="3"/>
      <c r="L1106" s="3"/>
      <c r="M1106" s="3"/>
      <c r="N1106" s="3"/>
      <c r="O1106" s="3"/>
      <c r="P1106" s="3"/>
      <c r="Q1106" s="3"/>
      <c r="R1106" s="3"/>
      <c r="S1106" s="3"/>
      <c r="T1106" s="3"/>
      <c r="U1106" s="3"/>
      <c r="V1106" s="3"/>
      <c r="W1106" s="3"/>
      <c r="X1106" s="3"/>
      <c r="Y1106" s="3"/>
      <c r="Z1106" s="3"/>
      <c r="AA1106" s="3"/>
      <c r="AB1106" s="3"/>
      <c r="AC1106" s="3"/>
      <c r="AD1106" s="3"/>
      <c r="AE1106" s="3"/>
      <c r="AF1106" s="3"/>
    </row>
    <row r="1107" spans="1:32" ht="15" x14ac:dyDescent="0.25">
      <c r="A1107" s="3"/>
      <c r="B1107" s="3"/>
      <c r="C1107" s="3"/>
      <c r="D1107" s="3"/>
      <c r="E1107" s="3"/>
      <c r="F1107" s="3"/>
      <c r="G1107" s="3"/>
      <c r="H1107" s="3"/>
      <c r="I1107" s="3"/>
      <c r="J1107" s="3"/>
      <c r="K1107" s="3"/>
      <c r="L1107" s="3"/>
      <c r="M1107" s="3"/>
      <c r="N1107" s="3"/>
      <c r="O1107" s="3"/>
      <c r="P1107" s="3"/>
      <c r="Q1107" s="3"/>
      <c r="R1107" s="3"/>
      <c r="S1107" s="3"/>
      <c r="T1107" s="3"/>
      <c r="U1107" s="3"/>
      <c r="V1107" s="3"/>
      <c r="W1107" s="3"/>
      <c r="X1107" s="3"/>
      <c r="Y1107" s="3"/>
      <c r="Z1107" s="3"/>
      <c r="AA1107" s="3"/>
      <c r="AB1107" s="3"/>
      <c r="AC1107" s="3"/>
      <c r="AD1107" s="3"/>
      <c r="AE1107" s="3"/>
      <c r="AF1107" s="3"/>
    </row>
    <row r="1108" spans="1:32" ht="15" x14ac:dyDescent="0.25">
      <c r="A1108" s="3"/>
      <c r="B1108" s="3"/>
      <c r="C1108" s="3"/>
      <c r="D1108" s="3"/>
      <c r="E1108" s="3"/>
      <c r="F1108" s="3"/>
      <c r="G1108" s="3"/>
      <c r="H1108" s="3"/>
      <c r="I1108" s="3"/>
      <c r="J1108" s="3"/>
      <c r="K1108" s="3"/>
      <c r="L1108" s="3"/>
      <c r="M1108" s="3"/>
      <c r="N1108" s="3"/>
      <c r="O1108" s="3"/>
      <c r="P1108" s="3"/>
      <c r="Q1108" s="3"/>
      <c r="R1108" s="3"/>
      <c r="S1108" s="3"/>
      <c r="T1108" s="3"/>
      <c r="U1108" s="3"/>
      <c r="V1108" s="3"/>
      <c r="W1108" s="3"/>
      <c r="X1108" s="3"/>
      <c r="Y1108" s="3"/>
      <c r="Z1108" s="3"/>
      <c r="AA1108" s="3"/>
      <c r="AB1108" s="3"/>
      <c r="AC1108" s="3"/>
      <c r="AD1108" s="3"/>
      <c r="AE1108" s="3"/>
      <c r="AF1108" s="3"/>
    </row>
    <row r="1109" spans="1:32" ht="15" x14ac:dyDescent="0.25">
      <c r="A1109" s="3"/>
      <c r="B1109" s="3"/>
      <c r="C1109" s="3"/>
      <c r="D1109" s="3"/>
      <c r="E1109" s="3"/>
      <c r="F1109" s="3"/>
      <c r="G1109" s="3"/>
      <c r="H1109" s="3"/>
      <c r="I1109" s="3"/>
      <c r="J1109" s="3"/>
      <c r="K1109" s="3"/>
      <c r="L1109" s="3"/>
      <c r="M1109" s="3"/>
      <c r="N1109" s="3"/>
      <c r="O1109" s="3"/>
      <c r="P1109" s="3"/>
      <c r="Q1109" s="3"/>
      <c r="R1109" s="3"/>
      <c r="S1109" s="3"/>
      <c r="T1109" s="3"/>
      <c r="U1109" s="3"/>
      <c r="V1109" s="3"/>
      <c r="W1109" s="3"/>
      <c r="X1109" s="3"/>
      <c r="Y1109" s="3"/>
      <c r="Z1109" s="3"/>
      <c r="AA1109" s="3"/>
      <c r="AB1109" s="3"/>
      <c r="AC1109" s="3"/>
      <c r="AD1109" s="3"/>
      <c r="AE1109" s="3"/>
      <c r="AF1109" s="3"/>
    </row>
    <row r="1110" spans="1:32" ht="15" x14ac:dyDescent="0.25">
      <c r="A1110" s="3"/>
      <c r="B1110" s="3"/>
      <c r="C1110" s="3"/>
      <c r="D1110" s="3"/>
      <c r="E1110" s="3"/>
      <c r="F1110" s="3"/>
      <c r="G1110" s="3"/>
      <c r="H1110" s="3"/>
      <c r="I1110" s="3"/>
      <c r="J1110" s="3"/>
      <c r="K1110" s="3"/>
      <c r="L1110" s="3"/>
      <c r="M1110" s="3"/>
      <c r="N1110" s="3"/>
      <c r="O1110" s="3"/>
      <c r="P1110" s="3"/>
      <c r="Q1110" s="3"/>
      <c r="R1110" s="3"/>
      <c r="S1110" s="3"/>
      <c r="T1110" s="3"/>
      <c r="U1110" s="3"/>
      <c r="V1110" s="3"/>
      <c r="W1110" s="3"/>
      <c r="X1110" s="3"/>
      <c r="Y1110" s="3"/>
      <c r="Z1110" s="3"/>
      <c r="AA1110" s="3"/>
      <c r="AB1110" s="3"/>
      <c r="AC1110" s="3"/>
      <c r="AD1110" s="3"/>
      <c r="AE1110" s="3"/>
      <c r="AF1110" s="3"/>
    </row>
    <row r="1111" spans="1:32" ht="15" x14ac:dyDescent="0.25">
      <c r="A1111" s="3"/>
      <c r="B1111" s="3"/>
      <c r="C1111" s="3"/>
      <c r="D1111" s="3"/>
      <c r="E1111" s="3"/>
      <c r="F1111" s="3"/>
      <c r="G1111" s="3"/>
      <c r="H1111" s="3"/>
      <c r="I1111" s="3"/>
      <c r="J1111" s="3"/>
      <c r="K1111" s="3"/>
      <c r="L1111" s="3"/>
      <c r="M1111" s="3"/>
      <c r="N1111" s="3"/>
      <c r="O1111" s="3"/>
      <c r="P1111" s="3"/>
      <c r="Q1111" s="3"/>
      <c r="R1111" s="3"/>
      <c r="S1111" s="3"/>
      <c r="T1111" s="3"/>
      <c r="U1111" s="3"/>
      <c r="V1111" s="3"/>
      <c r="W1111" s="3"/>
      <c r="X1111" s="3"/>
      <c r="Y1111" s="3"/>
      <c r="Z1111" s="3"/>
      <c r="AA1111" s="3"/>
      <c r="AB1111" s="3"/>
      <c r="AC1111" s="3"/>
      <c r="AD1111" s="3"/>
      <c r="AE1111" s="3"/>
      <c r="AF1111" s="3"/>
    </row>
    <row r="1112" spans="1:32" ht="15" x14ac:dyDescent="0.25">
      <c r="A1112" s="3"/>
      <c r="B1112" s="3"/>
      <c r="C1112" s="3"/>
      <c r="D1112" s="3"/>
      <c r="E1112" s="3"/>
      <c r="F1112" s="3"/>
      <c r="G1112" s="3"/>
      <c r="H1112" s="3"/>
      <c r="I1112" s="3"/>
      <c r="J1112" s="3"/>
      <c r="K1112" s="3"/>
      <c r="L1112" s="3"/>
      <c r="M1112" s="3"/>
      <c r="N1112" s="3"/>
      <c r="O1112" s="3"/>
      <c r="P1112" s="3"/>
      <c r="Q1112" s="3"/>
      <c r="R1112" s="3"/>
      <c r="S1112" s="3"/>
      <c r="T1112" s="3"/>
      <c r="U1112" s="3"/>
      <c r="V1112" s="3"/>
      <c r="W1112" s="3"/>
      <c r="X1112" s="3"/>
      <c r="Y1112" s="3"/>
      <c r="Z1112" s="3"/>
      <c r="AA1112" s="3"/>
      <c r="AB1112" s="3"/>
      <c r="AC1112" s="3"/>
      <c r="AD1112" s="3"/>
      <c r="AE1112" s="3"/>
      <c r="AF1112" s="3"/>
    </row>
    <row r="1113" spans="1:32" ht="15" x14ac:dyDescent="0.25">
      <c r="A1113" s="3"/>
      <c r="B1113" s="3"/>
      <c r="C1113" s="3"/>
      <c r="D1113" s="3"/>
      <c r="E1113" s="3"/>
      <c r="F1113" s="3"/>
      <c r="G1113" s="3"/>
      <c r="H1113" s="3"/>
      <c r="I1113" s="3"/>
      <c r="J1113" s="3"/>
      <c r="K1113" s="3"/>
      <c r="L1113" s="3"/>
      <c r="M1113" s="3"/>
      <c r="N1113" s="3"/>
      <c r="O1113" s="3"/>
      <c r="P1113" s="3"/>
      <c r="Q1113" s="3"/>
      <c r="R1113" s="3"/>
      <c r="S1113" s="3"/>
      <c r="T1113" s="3"/>
      <c r="U1113" s="3"/>
      <c r="V1113" s="3"/>
      <c r="W1113" s="3"/>
      <c r="X1113" s="3"/>
      <c r="Y1113" s="3"/>
      <c r="Z1113" s="3"/>
      <c r="AA1113" s="3"/>
      <c r="AB1113" s="3"/>
      <c r="AC1113" s="3"/>
      <c r="AD1113" s="3"/>
      <c r="AE1113" s="3"/>
      <c r="AF1113" s="3"/>
    </row>
    <row r="1114" spans="1:32" ht="15" x14ac:dyDescent="0.25">
      <c r="A1114" s="3"/>
      <c r="B1114" s="3"/>
      <c r="C1114" s="3"/>
      <c r="D1114" s="3"/>
      <c r="E1114" s="3"/>
      <c r="F1114" s="3"/>
      <c r="G1114" s="3"/>
      <c r="H1114" s="3"/>
      <c r="I1114" s="3"/>
      <c r="J1114" s="3"/>
      <c r="K1114" s="3"/>
      <c r="L1114" s="3"/>
      <c r="M1114" s="3"/>
      <c r="N1114" s="3"/>
      <c r="O1114" s="3"/>
      <c r="P1114" s="3"/>
      <c r="Q1114" s="3"/>
      <c r="R1114" s="3"/>
      <c r="S1114" s="3"/>
      <c r="T1114" s="3"/>
      <c r="U1114" s="3"/>
      <c r="V1114" s="3"/>
      <c r="W1114" s="3"/>
      <c r="X1114" s="3"/>
      <c r="Y1114" s="3"/>
      <c r="Z1114" s="3"/>
      <c r="AA1114" s="3"/>
      <c r="AB1114" s="3"/>
      <c r="AC1114" s="3"/>
      <c r="AD1114" s="3"/>
      <c r="AE1114" s="3"/>
      <c r="AF1114" s="3"/>
    </row>
    <row r="1115" spans="1:32" ht="15" x14ac:dyDescent="0.25">
      <c r="A1115" s="3"/>
      <c r="B1115" s="3"/>
      <c r="C1115" s="3"/>
      <c r="D1115" s="3"/>
      <c r="E1115" s="3"/>
      <c r="F1115" s="3"/>
      <c r="G1115" s="3"/>
      <c r="H1115" s="3"/>
      <c r="I1115" s="3"/>
      <c r="J1115" s="3"/>
      <c r="K1115" s="3"/>
      <c r="L1115" s="3"/>
      <c r="M1115" s="3"/>
      <c r="N1115" s="3"/>
      <c r="O1115" s="3"/>
      <c r="P1115" s="3"/>
      <c r="Q1115" s="3"/>
      <c r="R1115" s="3"/>
      <c r="S1115" s="3"/>
      <c r="T1115" s="3"/>
      <c r="U1115" s="3"/>
      <c r="V1115" s="3"/>
      <c r="W1115" s="3"/>
      <c r="X1115" s="3"/>
      <c r="Y1115" s="3"/>
      <c r="Z1115" s="3"/>
      <c r="AA1115" s="3"/>
      <c r="AB1115" s="3"/>
      <c r="AC1115" s="3"/>
      <c r="AD1115" s="3"/>
      <c r="AE1115" s="3"/>
      <c r="AF1115" s="3"/>
    </row>
    <row r="1116" spans="1:32" ht="15" x14ac:dyDescent="0.25">
      <c r="A1116" s="3"/>
      <c r="B1116" s="3"/>
      <c r="C1116" s="3"/>
      <c r="D1116" s="3"/>
      <c r="E1116" s="3"/>
      <c r="F1116" s="3"/>
      <c r="G1116" s="3"/>
      <c r="H1116" s="3"/>
      <c r="I1116" s="3"/>
      <c r="J1116" s="3"/>
      <c r="K1116" s="3"/>
      <c r="L1116" s="3"/>
      <c r="M1116" s="3"/>
      <c r="N1116" s="3"/>
      <c r="O1116" s="3"/>
      <c r="P1116" s="3"/>
      <c r="Q1116" s="3"/>
      <c r="R1116" s="3"/>
      <c r="S1116" s="3"/>
      <c r="T1116" s="3"/>
      <c r="U1116" s="3"/>
      <c r="V1116" s="3"/>
      <c r="W1116" s="3"/>
      <c r="X1116" s="3"/>
      <c r="Y1116" s="3"/>
      <c r="Z1116" s="3"/>
      <c r="AA1116" s="3"/>
      <c r="AB1116" s="3"/>
      <c r="AC1116" s="3"/>
      <c r="AD1116" s="3"/>
      <c r="AE1116" s="3"/>
      <c r="AF1116" s="3"/>
    </row>
    <row r="1117" spans="1:32" ht="15" x14ac:dyDescent="0.25">
      <c r="A1117" s="3"/>
      <c r="B1117" s="3"/>
      <c r="C1117" s="3"/>
      <c r="D1117" s="3"/>
      <c r="E1117" s="3"/>
      <c r="F1117" s="3"/>
      <c r="G1117" s="3"/>
      <c r="H1117" s="3"/>
      <c r="I1117" s="3"/>
      <c r="J1117" s="3"/>
      <c r="K1117" s="3"/>
      <c r="L1117" s="3"/>
      <c r="M1117" s="3"/>
      <c r="N1117" s="3"/>
      <c r="O1117" s="3"/>
      <c r="P1117" s="3"/>
      <c r="Q1117" s="3"/>
      <c r="R1117" s="3"/>
      <c r="S1117" s="3"/>
      <c r="T1117" s="3"/>
      <c r="U1117" s="3"/>
      <c r="V1117" s="3"/>
      <c r="W1117" s="3"/>
      <c r="X1117" s="3"/>
      <c r="Y1117" s="3"/>
      <c r="Z1117" s="3"/>
      <c r="AA1117" s="3"/>
      <c r="AB1117" s="3"/>
      <c r="AC1117" s="3"/>
      <c r="AD1117" s="3"/>
      <c r="AE1117" s="3"/>
      <c r="AF1117" s="3"/>
    </row>
    <row r="1118" spans="1:32" ht="15" x14ac:dyDescent="0.25">
      <c r="A1118" s="3"/>
      <c r="B1118" s="3"/>
      <c r="C1118" s="3"/>
      <c r="D1118" s="3"/>
      <c r="E1118" s="3"/>
      <c r="F1118" s="3"/>
      <c r="G1118" s="3"/>
      <c r="H1118" s="3"/>
      <c r="I1118" s="3"/>
      <c r="J1118" s="3"/>
      <c r="K1118" s="3"/>
      <c r="L1118" s="3"/>
      <c r="M1118" s="3"/>
      <c r="N1118" s="3"/>
      <c r="O1118" s="3"/>
      <c r="P1118" s="3"/>
      <c r="Q1118" s="3"/>
      <c r="R1118" s="3"/>
      <c r="S1118" s="3"/>
      <c r="T1118" s="3"/>
      <c r="U1118" s="3"/>
      <c r="V1118" s="3"/>
      <c r="W1118" s="3"/>
      <c r="X1118" s="3"/>
      <c r="Y1118" s="3"/>
      <c r="Z1118" s="3"/>
      <c r="AA1118" s="3"/>
      <c r="AB1118" s="3"/>
      <c r="AC1118" s="3"/>
      <c r="AD1118" s="3"/>
      <c r="AE1118" s="3"/>
      <c r="AF1118" s="3"/>
    </row>
    <row r="1119" spans="1:32" ht="15" x14ac:dyDescent="0.25">
      <c r="A1119" s="3"/>
      <c r="B1119" s="3"/>
      <c r="C1119" s="3"/>
      <c r="D1119" s="3"/>
      <c r="E1119" s="3"/>
      <c r="F1119" s="3"/>
      <c r="G1119" s="3"/>
      <c r="H1119" s="3"/>
      <c r="I1119" s="3"/>
      <c r="J1119" s="3"/>
      <c r="K1119" s="3"/>
      <c r="L1119" s="3"/>
      <c r="M1119" s="3"/>
      <c r="N1119" s="3"/>
      <c r="O1119" s="3"/>
      <c r="P1119" s="3"/>
      <c r="Q1119" s="3"/>
      <c r="R1119" s="3"/>
      <c r="S1119" s="3"/>
      <c r="T1119" s="3"/>
      <c r="U1119" s="3"/>
      <c r="V1119" s="3"/>
      <c r="W1119" s="3"/>
      <c r="X1119" s="3"/>
      <c r="Y1119" s="3"/>
      <c r="Z1119" s="3"/>
      <c r="AA1119" s="3"/>
      <c r="AB1119" s="3"/>
      <c r="AC1119" s="3"/>
      <c r="AD1119" s="3"/>
      <c r="AE1119" s="3"/>
      <c r="AF1119" s="3"/>
    </row>
    <row r="1120" spans="1:32" ht="15" x14ac:dyDescent="0.25">
      <c r="A1120" s="3"/>
      <c r="B1120" s="3"/>
      <c r="C1120" s="3"/>
      <c r="D1120" s="3"/>
      <c r="E1120" s="3"/>
      <c r="F1120" s="3"/>
      <c r="G1120" s="3"/>
      <c r="H1120" s="3"/>
      <c r="I1120" s="3"/>
      <c r="J1120" s="3"/>
      <c r="K1120" s="3"/>
      <c r="L1120" s="3"/>
      <c r="M1120" s="3"/>
      <c r="N1120" s="3"/>
      <c r="O1120" s="3"/>
      <c r="P1120" s="3"/>
      <c r="Q1120" s="3"/>
      <c r="R1120" s="3"/>
      <c r="S1120" s="3"/>
      <c r="T1120" s="3"/>
      <c r="U1120" s="3"/>
      <c r="V1120" s="3"/>
      <c r="W1120" s="3"/>
      <c r="X1120" s="3"/>
      <c r="Y1120" s="3"/>
      <c r="Z1120" s="3"/>
      <c r="AA1120" s="3"/>
      <c r="AB1120" s="3"/>
      <c r="AC1120" s="3"/>
      <c r="AD1120" s="3"/>
      <c r="AE1120" s="3"/>
      <c r="AF1120" s="3"/>
    </row>
    <row r="1121" spans="1:32" ht="15" x14ac:dyDescent="0.25">
      <c r="A1121" s="3"/>
      <c r="B1121" s="3"/>
      <c r="C1121" s="3"/>
      <c r="D1121" s="3"/>
      <c r="E1121" s="3"/>
      <c r="F1121" s="3"/>
      <c r="G1121" s="3"/>
      <c r="H1121" s="3"/>
      <c r="I1121" s="3"/>
      <c r="J1121" s="3"/>
      <c r="K1121" s="3"/>
      <c r="L1121" s="3"/>
      <c r="M1121" s="3"/>
      <c r="N1121" s="3"/>
      <c r="O1121" s="3"/>
      <c r="P1121" s="3"/>
      <c r="Q1121" s="3"/>
      <c r="R1121" s="3"/>
      <c r="S1121" s="3"/>
      <c r="T1121" s="3"/>
      <c r="U1121" s="3"/>
      <c r="V1121" s="3"/>
      <c r="W1121" s="3"/>
      <c r="X1121" s="3"/>
      <c r="Y1121" s="3"/>
      <c r="Z1121" s="3"/>
      <c r="AA1121" s="3"/>
      <c r="AB1121" s="3"/>
      <c r="AC1121" s="3"/>
      <c r="AD1121" s="3"/>
      <c r="AE1121" s="3"/>
      <c r="AF1121" s="3"/>
    </row>
    <row r="1122" spans="1:32" ht="15" x14ac:dyDescent="0.25">
      <c r="A1122" s="3"/>
      <c r="B1122" s="3"/>
      <c r="C1122" s="3"/>
      <c r="D1122" s="3"/>
      <c r="E1122" s="3"/>
      <c r="F1122" s="3"/>
      <c r="G1122" s="3"/>
      <c r="H1122" s="3"/>
      <c r="I1122" s="3"/>
      <c r="J1122" s="3"/>
      <c r="K1122" s="3"/>
      <c r="L1122" s="3"/>
      <c r="M1122" s="3"/>
      <c r="N1122" s="3"/>
      <c r="O1122" s="3"/>
      <c r="P1122" s="3"/>
      <c r="Q1122" s="3"/>
      <c r="R1122" s="3"/>
      <c r="S1122" s="3"/>
      <c r="T1122" s="3"/>
      <c r="U1122" s="3"/>
      <c r="V1122" s="3"/>
      <c r="W1122" s="3"/>
      <c r="X1122" s="3"/>
      <c r="Y1122" s="3"/>
      <c r="Z1122" s="3"/>
      <c r="AA1122" s="3"/>
      <c r="AB1122" s="3"/>
      <c r="AC1122" s="3"/>
      <c r="AD1122" s="3"/>
      <c r="AE1122" s="3"/>
      <c r="AF1122" s="3"/>
    </row>
    <row r="1123" spans="1:32" ht="15" x14ac:dyDescent="0.25">
      <c r="A1123" s="3"/>
      <c r="B1123" s="3"/>
      <c r="C1123" s="3"/>
      <c r="D1123" s="3"/>
      <c r="E1123" s="3"/>
      <c r="F1123" s="3"/>
      <c r="G1123" s="3"/>
      <c r="H1123" s="3"/>
      <c r="I1123" s="3"/>
      <c r="J1123" s="3"/>
      <c r="K1123" s="3"/>
      <c r="L1123" s="3"/>
      <c r="M1123" s="3"/>
      <c r="N1123" s="3"/>
      <c r="O1123" s="3"/>
      <c r="P1123" s="3"/>
      <c r="Q1123" s="3"/>
      <c r="R1123" s="3"/>
      <c r="S1123" s="3"/>
      <c r="T1123" s="3"/>
      <c r="U1123" s="3"/>
      <c r="V1123" s="3"/>
      <c r="W1123" s="3"/>
      <c r="X1123" s="3"/>
      <c r="Y1123" s="3"/>
      <c r="Z1123" s="3"/>
      <c r="AA1123" s="3"/>
      <c r="AB1123" s="3"/>
      <c r="AC1123" s="3"/>
      <c r="AD1123" s="3"/>
      <c r="AE1123" s="3"/>
      <c r="AF1123" s="3"/>
    </row>
    <row r="1124" spans="1:32" ht="15" x14ac:dyDescent="0.25">
      <c r="A1124" s="3"/>
      <c r="B1124" s="3"/>
      <c r="C1124" s="3"/>
      <c r="D1124" s="3"/>
      <c r="E1124" s="3"/>
      <c r="F1124" s="3"/>
      <c r="G1124" s="3"/>
      <c r="H1124" s="3"/>
      <c r="I1124" s="3"/>
      <c r="J1124" s="3"/>
      <c r="K1124" s="3"/>
      <c r="L1124" s="3"/>
      <c r="M1124" s="3"/>
      <c r="N1124" s="3"/>
      <c r="O1124" s="3"/>
      <c r="P1124" s="3"/>
      <c r="Q1124" s="3"/>
      <c r="R1124" s="3"/>
      <c r="S1124" s="3"/>
      <c r="T1124" s="3"/>
      <c r="U1124" s="3"/>
      <c r="V1124" s="3"/>
      <c r="W1124" s="3"/>
      <c r="X1124" s="3"/>
      <c r="Y1124" s="3"/>
      <c r="Z1124" s="3"/>
      <c r="AA1124" s="3"/>
      <c r="AB1124" s="3"/>
      <c r="AC1124" s="3"/>
      <c r="AD1124" s="3"/>
      <c r="AE1124" s="3"/>
      <c r="AF1124" s="3"/>
    </row>
    <row r="1125" spans="1:32" ht="15" x14ac:dyDescent="0.25">
      <c r="A1125" s="3"/>
      <c r="B1125" s="3"/>
      <c r="C1125" s="3"/>
      <c r="D1125" s="3"/>
      <c r="E1125" s="3"/>
      <c r="F1125" s="3"/>
      <c r="G1125" s="3"/>
      <c r="H1125" s="3"/>
      <c r="I1125" s="3"/>
      <c r="J1125" s="3"/>
      <c r="K1125" s="3"/>
      <c r="L1125" s="3"/>
      <c r="M1125" s="3"/>
      <c r="N1125" s="3"/>
      <c r="O1125" s="3"/>
      <c r="P1125" s="3"/>
      <c r="Q1125" s="3"/>
      <c r="R1125" s="3"/>
      <c r="S1125" s="3"/>
      <c r="T1125" s="3"/>
      <c r="U1125" s="3"/>
      <c r="V1125" s="3"/>
      <c r="W1125" s="3"/>
      <c r="X1125" s="3"/>
      <c r="Y1125" s="3"/>
      <c r="Z1125" s="3"/>
      <c r="AA1125" s="3"/>
      <c r="AB1125" s="3"/>
      <c r="AC1125" s="3"/>
      <c r="AD1125" s="3"/>
      <c r="AE1125" s="3"/>
      <c r="AF1125" s="3"/>
    </row>
    <row r="1126" spans="1:32" ht="15" x14ac:dyDescent="0.25">
      <c r="A1126" s="3"/>
      <c r="B1126" s="3"/>
      <c r="C1126" s="3"/>
      <c r="D1126" s="3"/>
      <c r="E1126" s="3"/>
      <c r="F1126" s="3"/>
      <c r="G1126" s="3"/>
      <c r="H1126" s="3"/>
      <c r="I1126" s="3"/>
      <c r="J1126" s="3"/>
      <c r="K1126" s="3"/>
      <c r="L1126" s="3"/>
      <c r="M1126" s="3"/>
      <c r="N1126" s="3"/>
      <c r="O1126" s="3"/>
      <c r="P1126" s="3"/>
      <c r="Q1126" s="3"/>
      <c r="R1126" s="3"/>
      <c r="S1126" s="3"/>
      <c r="T1126" s="3"/>
      <c r="U1126" s="3"/>
      <c r="V1126" s="3"/>
      <c r="W1126" s="3"/>
      <c r="X1126" s="3"/>
      <c r="Y1126" s="3"/>
      <c r="Z1126" s="3"/>
      <c r="AA1126" s="3"/>
      <c r="AB1126" s="3"/>
      <c r="AC1126" s="3"/>
      <c r="AD1126" s="3"/>
      <c r="AE1126" s="3"/>
      <c r="AF1126" s="3"/>
    </row>
    <row r="1127" spans="1:32" ht="15" x14ac:dyDescent="0.25">
      <c r="A1127" s="3"/>
      <c r="B1127" s="3"/>
      <c r="C1127" s="3"/>
      <c r="D1127" s="3"/>
      <c r="E1127" s="3"/>
      <c r="F1127" s="3"/>
      <c r="G1127" s="3"/>
      <c r="H1127" s="3"/>
      <c r="I1127" s="3"/>
      <c r="J1127" s="3"/>
      <c r="K1127" s="3"/>
      <c r="L1127" s="3"/>
      <c r="M1127" s="3"/>
      <c r="N1127" s="3"/>
      <c r="O1127" s="3"/>
      <c r="P1127" s="3"/>
      <c r="Q1127" s="3"/>
      <c r="R1127" s="3"/>
      <c r="S1127" s="3"/>
      <c r="T1127" s="3"/>
      <c r="U1127" s="3"/>
      <c r="V1127" s="3"/>
      <c r="W1127" s="3"/>
      <c r="X1127" s="3"/>
      <c r="Y1127" s="3"/>
      <c r="Z1127" s="3"/>
      <c r="AA1127" s="3"/>
      <c r="AB1127" s="3"/>
      <c r="AC1127" s="3"/>
      <c r="AD1127" s="3"/>
      <c r="AE1127" s="3"/>
      <c r="AF1127" s="3"/>
    </row>
    <row r="1128" spans="1:32" ht="15" x14ac:dyDescent="0.25">
      <c r="A1128" s="3"/>
      <c r="B1128" s="3"/>
      <c r="C1128" s="3"/>
      <c r="D1128" s="3"/>
      <c r="E1128" s="3"/>
      <c r="F1128" s="3"/>
      <c r="G1128" s="3"/>
      <c r="H1128" s="3"/>
      <c r="I1128" s="3"/>
      <c r="J1128" s="3"/>
      <c r="K1128" s="3"/>
      <c r="L1128" s="3"/>
      <c r="M1128" s="3"/>
      <c r="N1128" s="3"/>
      <c r="O1128" s="3"/>
      <c r="P1128" s="3"/>
      <c r="Q1128" s="3"/>
      <c r="R1128" s="3"/>
      <c r="S1128" s="3"/>
      <c r="T1128" s="3"/>
      <c r="U1128" s="3"/>
      <c r="V1128" s="3"/>
      <c r="W1128" s="3"/>
      <c r="X1128" s="3"/>
      <c r="Y1128" s="3"/>
      <c r="Z1128" s="3"/>
      <c r="AA1128" s="3"/>
      <c r="AB1128" s="3"/>
      <c r="AC1128" s="3"/>
      <c r="AD1128" s="3"/>
      <c r="AE1128" s="3"/>
      <c r="AF1128" s="3"/>
    </row>
    <row r="1129" spans="1:32" ht="15" x14ac:dyDescent="0.25">
      <c r="A1129" s="3"/>
      <c r="B1129" s="3"/>
      <c r="C1129" s="3"/>
      <c r="D1129" s="3"/>
      <c r="E1129" s="3"/>
      <c r="F1129" s="3"/>
      <c r="G1129" s="3"/>
      <c r="H1129" s="3"/>
      <c r="I1129" s="3"/>
      <c r="J1129" s="3"/>
      <c r="K1129" s="3"/>
      <c r="L1129" s="3"/>
      <c r="M1129" s="3"/>
      <c r="N1129" s="3"/>
      <c r="O1129" s="3"/>
      <c r="P1129" s="3"/>
      <c r="Q1129" s="3"/>
      <c r="R1129" s="3"/>
      <c r="S1129" s="3"/>
      <c r="T1129" s="3"/>
      <c r="U1129" s="3"/>
      <c r="V1129" s="3"/>
      <c r="W1129" s="3"/>
      <c r="X1129" s="3"/>
      <c r="Y1129" s="3"/>
      <c r="Z1129" s="3"/>
      <c r="AA1129" s="3"/>
      <c r="AB1129" s="3"/>
      <c r="AC1129" s="3"/>
      <c r="AD1129" s="3"/>
      <c r="AE1129" s="3"/>
      <c r="AF1129" s="3"/>
    </row>
    <row r="1130" spans="1:32" ht="15" x14ac:dyDescent="0.25">
      <c r="A1130" s="3"/>
      <c r="B1130" s="3"/>
      <c r="C1130" s="3"/>
      <c r="D1130" s="3"/>
      <c r="E1130" s="3"/>
      <c r="F1130" s="3"/>
      <c r="G1130" s="3"/>
      <c r="H1130" s="3"/>
      <c r="I1130" s="3"/>
      <c r="J1130" s="3"/>
      <c r="K1130" s="3"/>
      <c r="L1130" s="3"/>
      <c r="M1130" s="3"/>
      <c r="N1130" s="3"/>
      <c r="O1130" s="3"/>
      <c r="P1130" s="3"/>
      <c r="Q1130" s="3"/>
      <c r="R1130" s="3"/>
      <c r="S1130" s="3"/>
      <c r="T1130" s="3"/>
      <c r="U1130" s="3"/>
      <c r="V1130" s="3"/>
      <c r="W1130" s="3"/>
      <c r="X1130" s="3"/>
      <c r="Y1130" s="3"/>
      <c r="Z1130" s="3"/>
      <c r="AA1130" s="3"/>
      <c r="AB1130" s="3"/>
      <c r="AC1130" s="3"/>
      <c r="AD1130" s="3"/>
      <c r="AE1130" s="3"/>
      <c r="AF1130" s="3"/>
    </row>
    <row r="1131" spans="1:32" ht="15" x14ac:dyDescent="0.25">
      <c r="A1131" s="3"/>
      <c r="B1131" s="3"/>
      <c r="C1131" s="3"/>
      <c r="D1131" s="3"/>
      <c r="E1131" s="3"/>
      <c r="F1131" s="3"/>
      <c r="G1131" s="3"/>
      <c r="H1131" s="3"/>
      <c r="I1131" s="3"/>
      <c r="J1131" s="3"/>
      <c r="K1131" s="3"/>
      <c r="L1131" s="3"/>
      <c r="M1131" s="3"/>
      <c r="N1131" s="3"/>
      <c r="O1131" s="3"/>
      <c r="P1131" s="3"/>
      <c r="Q1131" s="3"/>
      <c r="R1131" s="3"/>
      <c r="S1131" s="3"/>
      <c r="T1131" s="3"/>
      <c r="U1131" s="3"/>
      <c r="V1131" s="3"/>
      <c r="W1131" s="3"/>
      <c r="X1131" s="3"/>
      <c r="Y1131" s="3"/>
      <c r="Z1131" s="3"/>
      <c r="AA1131" s="3"/>
      <c r="AB1131" s="3"/>
      <c r="AC1131" s="3"/>
      <c r="AD1131" s="3"/>
      <c r="AE1131" s="3"/>
      <c r="AF1131" s="3"/>
    </row>
    <row r="1132" spans="1:32" ht="15" x14ac:dyDescent="0.25">
      <c r="A1132" s="3"/>
      <c r="B1132" s="3"/>
      <c r="C1132" s="3"/>
      <c r="D1132" s="3"/>
      <c r="E1132" s="3"/>
      <c r="F1132" s="3"/>
      <c r="G1132" s="3"/>
      <c r="H1132" s="3"/>
      <c r="I1132" s="3"/>
      <c r="J1132" s="3"/>
      <c r="K1132" s="3"/>
      <c r="L1132" s="3"/>
      <c r="M1132" s="3"/>
      <c r="N1132" s="3"/>
      <c r="O1132" s="3"/>
      <c r="P1132" s="3"/>
      <c r="Q1132" s="3"/>
      <c r="R1132" s="3"/>
      <c r="S1132" s="3"/>
      <c r="T1132" s="3"/>
      <c r="U1132" s="3"/>
      <c r="V1132" s="3"/>
      <c r="W1132" s="3"/>
      <c r="X1132" s="3"/>
      <c r="Y1132" s="3"/>
      <c r="Z1132" s="3"/>
      <c r="AA1132" s="3"/>
      <c r="AB1132" s="3"/>
      <c r="AC1132" s="3"/>
      <c r="AD1132" s="3"/>
      <c r="AE1132" s="3"/>
      <c r="AF1132" s="3"/>
    </row>
    <row r="1133" spans="1:32" ht="15" x14ac:dyDescent="0.25">
      <c r="A1133" s="3"/>
      <c r="B1133" s="3"/>
      <c r="C1133" s="3"/>
      <c r="D1133" s="3"/>
      <c r="E1133" s="3"/>
      <c r="F1133" s="3"/>
      <c r="G1133" s="3"/>
      <c r="H1133" s="3"/>
      <c r="I1133" s="3"/>
      <c r="J1133" s="3"/>
      <c r="K1133" s="3"/>
      <c r="L1133" s="3"/>
      <c r="M1133" s="3"/>
      <c r="N1133" s="3"/>
      <c r="O1133" s="3"/>
      <c r="P1133" s="3"/>
      <c r="Q1133" s="3"/>
      <c r="R1133" s="3"/>
      <c r="S1133" s="3"/>
      <c r="T1133" s="3"/>
      <c r="U1133" s="3"/>
      <c r="V1133" s="3"/>
      <c r="W1133" s="3"/>
      <c r="X1133" s="3"/>
      <c r="Y1133" s="3"/>
      <c r="Z1133" s="3"/>
      <c r="AA1133" s="3"/>
      <c r="AB1133" s="3"/>
      <c r="AC1133" s="3"/>
      <c r="AD1133" s="3"/>
      <c r="AE1133" s="3"/>
      <c r="AF1133" s="3"/>
    </row>
    <row r="1134" spans="1:32" ht="15" x14ac:dyDescent="0.25">
      <c r="A1134" s="3"/>
      <c r="B1134" s="3"/>
      <c r="C1134" s="3"/>
      <c r="D1134" s="3"/>
      <c r="E1134" s="3"/>
      <c r="F1134" s="3"/>
      <c r="G1134" s="3"/>
      <c r="H1134" s="3"/>
      <c r="I1134" s="3"/>
      <c r="J1134" s="3"/>
      <c r="K1134" s="3"/>
      <c r="L1134" s="3"/>
      <c r="M1134" s="3"/>
      <c r="N1134" s="3"/>
      <c r="O1134" s="3"/>
      <c r="P1134" s="3"/>
      <c r="Q1134" s="3"/>
      <c r="R1134" s="3"/>
      <c r="S1134" s="3"/>
      <c r="T1134" s="3"/>
      <c r="U1134" s="3"/>
      <c r="V1134" s="3"/>
      <c r="W1134" s="3"/>
      <c r="X1134" s="3"/>
      <c r="Y1134" s="3"/>
      <c r="Z1134" s="3"/>
      <c r="AA1134" s="3"/>
      <c r="AB1134" s="3"/>
      <c r="AC1134" s="3"/>
      <c r="AD1134" s="3"/>
      <c r="AE1134" s="3"/>
      <c r="AF1134" s="3"/>
    </row>
    <row r="1135" spans="1:32" ht="15" x14ac:dyDescent="0.25">
      <c r="A1135" s="3"/>
      <c r="B1135" s="3"/>
      <c r="C1135" s="3"/>
      <c r="D1135" s="3"/>
      <c r="E1135" s="3"/>
      <c r="F1135" s="3"/>
      <c r="G1135" s="3"/>
      <c r="H1135" s="3"/>
      <c r="I1135" s="3"/>
      <c r="J1135" s="3"/>
      <c r="K1135" s="3"/>
      <c r="L1135" s="3"/>
      <c r="M1135" s="3"/>
      <c r="N1135" s="3"/>
      <c r="O1135" s="3"/>
      <c r="P1135" s="3"/>
      <c r="Q1135" s="3"/>
      <c r="R1135" s="3"/>
      <c r="S1135" s="3"/>
      <c r="T1135" s="3"/>
      <c r="U1135" s="3"/>
      <c r="V1135" s="3"/>
      <c r="W1135" s="3"/>
      <c r="X1135" s="3"/>
      <c r="Y1135" s="3"/>
      <c r="Z1135" s="3"/>
      <c r="AA1135" s="3"/>
      <c r="AB1135" s="3"/>
      <c r="AC1135" s="3"/>
      <c r="AD1135" s="3"/>
      <c r="AE1135" s="3"/>
      <c r="AF1135" s="3"/>
    </row>
    <row r="1136" spans="1:32" ht="15" x14ac:dyDescent="0.25">
      <c r="A1136" s="3"/>
      <c r="B1136" s="3"/>
      <c r="C1136" s="3"/>
      <c r="D1136" s="3"/>
      <c r="E1136" s="3"/>
      <c r="F1136" s="3"/>
      <c r="G1136" s="3"/>
      <c r="H1136" s="3"/>
      <c r="I1136" s="3"/>
      <c r="J1136" s="3"/>
      <c r="K1136" s="3"/>
      <c r="L1136" s="3"/>
      <c r="M1136" s="3"/>
      <c r="N1136" s="3"/>
      <c r="O1136" s="3"/>
      <c r="P1136" s="3"/>
      <c r="Q1136" s="3"/>
      <c r="R1136" s="3"/>
      <c r="S1136" s="3"/>
      <c r="T1136" s="3"/>
      <c r="U1136" s="3"/>
      <c r="V1136" s="3"/>
      <c r="W1136" s="3"/>
      <c r="X1136" s="3"/>
      <c r="Y1136" s="3"/>
      <c r="Z1136" s="3"/>
      <c r="AA1136" s="3"/>
      <c r="AB1136" s="3"/>
      <c r="AC1136" s="3"/>
      <c r="AD1136" s="3"/>
      <c r="AE1136" s="3"/>
      <c r="AF1136" s="3"/>
    </row>
    <row r="1137" spans="1:32" ht="15" x14ac:dyDescent="0.25">
      <c r="A1137" s="3"/>
      <c r="B1137" s="3"/>
      <c r="C1137" s="3"/>
      <c r="D1137" s="3"/>
      <c r="E1137" s="3"/>
      <c r="F1137" s="3"/>
      <c r="G1137" s="3"/>
      <c r="H1137" s="3"/>
      <c r="I1137" s="3"/>
      <c r="J1137" s="3"/>
      <c r="K1137" s="3"/>
      <c r="L1137" s="3"/>
      <c r="M1137" s="3"/>
      <c r="N1137" s="3"/>
      <c r="O1137" s="3"/>
      <c r="P1137" s="3"/>
      <c r="Q1137" s="3"/>
      <c r="R1137" s="3"/>
      <c r="S1137" s="3"/>
      <c r="T1137" s="3"/>
      <c r="U1137" s="3"/>
      <c r="V1137" s="3"/>
      <c r="W1137" s="3"/>
      <c r="X1137" s="3"/>
      <c r="Y1137" s="3"/>
      <c r="Z1137" s="3"/>
      <c r="AA1137" s="3"/>
      <c r="AB1137" s="3"/>
      <c r="AC1137" s="3"/>
      <c r="AD1137" s="3"/>
      <c r="AE1137" s="3"/>
      <c r="AF1137" s="3"/>
    </row>
    <row r="1138" spans="1:32" ht="15" x14ac:dyDescent="0.25">
      <c r="A1138" s="3"/>
      <c r="B1138" s="3"/>
      <c r="C1138" s="3"/>
      <c r="D1138" s="3"/>
      <c r="E1138" s="3"/>
      <c r="F1138" s="3"/>
      <c r="G1138" s="3"/>
      <c r="H1138" s="3"/>
      <c r="I1138" s="3"/>
      <c r="J1138" s="3"/>
      <c r="K1138" s="3"/>
      <c r="L1138" s="3"/>
      <c r="M1138" s="3"/>
      <c r="N1138" s="3"/>
      <c r="O1138" s="3"/>
      <c r="P1138" s="3"/>
      <c r="Q1138" s="3"/>
      <c r="R1138" s="3"/>
      <c r="S1138" s="3"/>
      <c r="T1138" s="3"/>
      <c r="U1138" s="3"/>
      <c r="V1138" s="3"/>
      <c r="W1138" s="3"/>
      <c r="X1138" s="3"/>
      <c r="Y1138" s="3"/>
      <c r="Z1138" s="3"/>
      <c r="AA1138" s="3"/>
      <c r="AB1138" s="3"/>
      <c r="AC1138" s="3"/>
      <c r="AD1138" s="3"/>
      <c r="AE1138" s="3"/>
      <c r="AF1138" s="3"/>
    </row>
    <row r="1139" spans="1:32" ht="15" x14ac:dyDescent="0.25">
      <c r="A1139" s="3"/>
      <c r="B1139" s="3"/>
      <c r="C1139" s="3"/>
      <c r="D1139" s="3"/>
      <c r="E1139" s="3"/>
      <c r="F1139" s="3"/>
      <c r="G1139" s="3"/>
      <c r="H1139" s="3"/>
      <c r="I1139" s="3"/>
      <c r="J1139" s="3"/>
      <c r="K1139" s="3"/>
      <c r="L1139" s="3"/>
      <c r="M1139" s="3"/>
      <c r="N1139" s="3"/>
      <c r="O1139" s="3"/>
      <c r="P1139" s="3"/>
      <c r="Q1139" s="3"/>
      <c r="R1139" s="3"/>
      <c r="S1139" s="3"/>
      <c r="T1139" s="3"/>
      <c r="U1139" s="3"/>
      <c r="V1139" s="3"/>
      <c r="W1139" s="3"/>
      <c r="X1139" s="3"/>
      <c r="Y1139" s="3"/>
      <c r="Z1139" s="3"/>
      <c r="AA1139" s="3"/>
      <c r="AB1139" s="3"/>
      <c r="AC1139" s="3"/>
      <c r="AD1139" s="3"/>
      <c r="AE1139" s="3"/>
      <c r="AF1139" s="3"/>
    </row>
    <row r="1140" spans="1:32" ht="15" x14ac:dyDescent="0.25">
      <c r="A1140" s="3"/>
      <c r="B1140" s="3"/>
      <c r="C1140" s="3"/>
      <c r="D1140" s="3"/>
      <c r="E1140" s="3"/>
      <c r="F1140" s="3"/>
      <c r="G1140" s="3"/>
      <c r="H1140" s="3"/>
      <c r="I1140" s="3"/>
      <c r="J1140" s="3"/>
      <c r="K1140" s="3"/>
      <c r="L1140" s="3"/>
      <c r="M1140" s="3"/>
      <c r="N1140" s="3"/>
      <c r="O1140" s="3"/>
      <c r="P1140" s="3"/>
      <c r="Q1140" s="3"/>
      <c r="R1140" s="3"/>
      <c r="S1140" s="3"/>
      <c r="T1140" s="3"/>
      <c r="U1140" s="3"/>
      <c r="V1140" s="3"/>
      <c r="W1140" s="3"/>
      <c r="X1140" s="3"/>
      <c r="Y1140" s="3"/>
      <c r="Z1140" s="3"/>
      <c r="AA1140" s="3"/>
      <c r="AB1140" s="3"/>
      <c r="AC1140" s="3"/>
      <c r="AD1140" s="3"/>
      <c r="AE1140" s="3"/>
      <c r="AF1140" s="3"/>
    </row>
    <row r="1141" spans="1:32" ht="15" x14ac:dyDescent="0.25">
      <c r="A1141" s="3"/>
      <c r="B1141" s="3"/>
      <c r="C1141" s="3"/>
      <c r="D1141" s="3"/>
      <c r="E1141" s="3"/>
      <c r="F1141" s="3"/>
      <c r="G1141" s="3"/>
      <c r="H1141" s="3"/>
      <c r="I1141" s="3"/>
      <c r="J1141" s="3"/>
      <c r="K1141" s="3"/>
      <c r="L1141" s="3"/>
      <c r="M1141" s="3"/>
      <c r="N1141" s="3"/>
      <c r="O1141" s="3"/>
      <c r="P1141" s="3"/>
      <c r="Q1141" s="3"/>
      <c r="R1141" s="3"/>
      <c r="S1141" s="3"/>
      <c r="T1141" s="3"/>
      <c r="U1141" s="3"/>
      <c r="V1141" s="3"/>
      <c r="W1141" s="3"/>
      <c r="X1141" s="3"/>
      <c r="Y1141" s="3"/>
      <c r="Z1141" s="3"/>
      <c r="AA1141" s="3"/>
      <c r="AB1141" s="3"/>
      <c r="AC1141" s="3"/>
      <c r="AD1141" s="3"/>
      <c r="AE1141" s="3"/>
      <c r="AF1141" s="3"/>
    </row>
    <row r="1142" spans="1:32" ht="15" x14ac:dyDescent="0.25">
      <c r="A1142" s="3"/>
      <c r="B1142" s="3"/>
      <c r="C1142" s="3"/>
      <c r="D1142" s="3"/>
      <c r="E1142" s="3"/>
      <c r="F1142" s="3"/>
      <c r="G1142" s="3"/>
      <c r="H1142" s="3"/>
      <c r="I1142" s="3"/>
      <c r="J1142" s="3"/>
      <c r="K1142" s="3"/>
      <c r="L1142" s="3"/>
      <c r="M1142" s="3"/>
      <c r="N1142" s="3"/>
      <c r="O1142" s="3"/>
      <c r="P1142" s="3"/>
      <c r="Q1142" s="3"/>
      <c r="R1142" s="3"/>
      <c r="S1142" s="3"/>
      <c r="T1142" s="3"/>
      <c r="U1142" s="3"/>
      <c r="V1142" s="3"/>
      <c r="W1142" s="3"/>
      <c r="X1142" s="3"/>
      <c r="Y1142" s="3"/>
      <c r="Z1142" s="3"/>
      <c r="AA1142" s="3"/>
      <c r="AB1142" s="3"/>
      <c r="AC1142" s="3"/>
      <c r="AD1142" s="3"/>
      <c r="AE1142" s="3"/>
      <c r="AF1142" s="3"/>
    </row>
    <row r="1143" spans="1:32" ht="15" x14ac:dyDescent="0.25">
      <c r="A1143" s="3"/>
      <c r="B1143" s="3"/>
      <c r="C1143" s="3"/>
      <c r="D1143" s="3"/>
      <c r="E1143" s="3"/>
      <c r="F1143" s="3"/>
      <c r="G1143" s="3"/>
      <c r="H1143" s="3"/>
      <c r="I1143" s="3"/>
      <c r="J1143" s="3"/>
      <c r="K1143" s="3"/>
      <c r="L1143" s="3"/>
      <c r="M1143" s="3"/>
      <c r="N1143" s="3"/>
      <c r="O1143" s="3"/>
      <c r="P1143" s="3"/>
      <c r="Q1143" s="3"/>
      <c r="R1143" s="3"/>
      <c r="S1143" s="3"/>
      <c r="T1143" s="3"/>
      <c r="U1143" s="3"/>
      <c r="V1143" s="3"/>
      <c r="W1143" s="3"/>
      <c r="X1143" s="3"/>
      <c r="Y1143" s="3"/>
      <c r="Z1143" s="3"/>
      <c r="AA1143" s="3"/>
      <c r="AB1143" s="3"/>
      <c r="AC1143" s="3"/>
      <c r="AD1143" s="3"/>
      <c r="AE1143" s="3"/>
      <c r="AF1143" s="3"/>
    </row>
    <row r="1144" spans="1:32" ht="15" x14ac:dyDescent="0.25">
      <c r="A1144" s="3"/>
      <c r="B1144" s="3"/>
      <c r="C1144" s="3"/>
      <c r="D1144" s="3"/>
      <c r="E1144" s="3"/>
      <c r="F1144" s="3"/>
      <c r="G1144" s="3"/>
      <c r="H1144" s="3"/>
      <c r="I1144" s="3"/>
      <c r="J1144" s="3"/>
      <c r="K1144" s="3"/>
      <c r="L1144" s="3"/>
      <c r="M1144" s="3"/>
      <c r="N1144" s="3"/>
      <c r="O1144" s="3"/>
      <c r="P1144" s="3"/>
      <c r="Q1144" s="3"/>
      <c r="R1144" s="3"/>
      <c r="S1144" s="3"/>
      <c r="T1144" s="3"/>
      <c r="U1144" s="3"/>
      <c r="V1144" s="3"/>
      <c r="W1144" s="3"/>
      <c r="X1144" s="3"/>
      <c r="Y1144" s="3"/>
      <c r="Z1144" s="3"/>
      <c r="AA1144" s="3"/>
      <c r="AB1144" s="3"/>
      <c r="AC1144" s="3"/>
      <c r="AD1144" s="3"/>
      <c r="AE1144" s="3"/>
      <c r="AF1144" s="3"/>
    </row>
    <row r="1145" spans="1:32" ht="15" x14ac:dyDescent="0.25">
      <c r="A1145" s="3"/>
      <c r="B1145" s="3"/>
      <c r="C1145" s="3"/>
      <c r="D1145" s="3"/>
      <c r="E1145" s="3"/>
      <c r="F1145" s="3"/>
      <c r="G1145" s="3"/>
      <c r="H1145" s="3"/>
      <c r="I1145" s="3"/>
      <c r="J1145" s="3"/>
      <c r="K1145" s="3"/>
      <c r="L1145" s="3"/>
      <c r="M1145" s="3"/>
      <c r="N1145" s="3"/>
      <c r="O1145" s="3"/>
      <c r="P1145" s="3"/>
      <c r="Q1145" s="3"/>
      <c r="R1145" s="3"/>
      <c r="S1145" s="3"/>
      <c r="T1145" s="3"/>
      <c r="U1145" s="3"/>
      <c r="V1145" s="3"/>
      <c r="W1145" s="3"/>
      <c r="X1145" s="3"/>
      <c r="Y1145" s="3"/>
      <c r="Z1145" s="3"/>
      <c r="AA1145" s="3"/>
      <c r="AB1145" s="3"/>
      <c r="AC1145" s="3"/>
      <c r="AD1145" s="3"/>
      <c r="AE1145" s="3"/>
      <c r="AF1145" s="3"/>
    </row>
    <row r="1146" spans="1:32" ht="15" x14ac:dyDescent="0.25">
      <c r="A1146" s="3"/>
      <c r="B1146" s="3"/>
      <c r="C1146" s="3"/>
      <c r="D1146" s="3"/>
      <c r="E1146" s="3"/>
      <c r="F1146" s="3"/>
      <c r="G1146" s="3"/>
      <c r="H1146" s="3"/>
      <c r="I1146" s="3"/>
      <c r="J1146" s="3"/>
      <c r="K1146" s="3"/>
      <c r="L1146" s="3"/>
      <c r="M1146" s="3"/>
      <c r="N1146" s="3"/>
      <c r="O1146" s="3"/>
      <c r="P1146" s="3"/>
      <c r="Q1146" s="3"/>
      <c r="R1146" s="3"/>
      <c r="S1146" s="3"/>
      <c r="T1146" s="3"/>
      <c r="U1146" s="3"/>
      <c r="V1146" s="3"/>
      <c r="W1146" s="3"/>
      <c r="X1146" s="3"/>
      <c r="Y1146" s="3"/>
      <c r="Z1146" s="3"/>
      <c r="AA1146" s="3"/>
      <c r="AB1146" s="3"/>
      <c r="AC1146" s="3"/>
      <c r="AD1146" s="3"/>
      <c r="AE1146" s="3"/>
      <c r="AF1146" s="3"/>
    </row>
    <row r="1147" spans="1:32" ht="15" x14ac:dyDescent="0.25">
      <c r="A1147" s="3"/>
      <c r="B1147" s="3"/>
      <c r="C1147" s="3"/>
      <c r="D1147" s="3"/>
      <c r="E1147" s="3"/>
      <c r="F1147" s="3"/>
      <c r="G1147" s="3"/>
      <c r="H1147" s="3"/>
      <c r="I1147" s="3"/>
      <c r="J1147" s="3"/>
      <c r="K1147" s="3"/>
      <c r="L1147" s="3"/>
      <c r="M1147" s="3"/>
      <c r="N1147" s="3"/>
      <c r="O1147" s="3"/>
      <c r="P1147" s="3"/>
      <c r="Q1147" s="3"/>
      <c r="R1147" s="3"/>
      <c r="S1147" s="3"/>
      <c r="T1147" s="3"/>
      <c r="U1147" s="3"/>
      <c r="V1147" s="3"/>
      <c r="W1147" s="3"/>
      <c r="X1147" s="3"/>
      <c r="Y1147" s="3"/>
      <c r="Z1147" s="3"/>
      <c r="AA1147" s="3"/>
      <c r="AB1147" s="3"/>
      <c r="AC1147" s="3"/>
      <c r="AD1147" s="3"/>
      <c r="AE1147" s="3"/>
      <c r="AF1147" s="3"/>
    </row>
    <row r="1148" spans="1:32" ht="15" x14ac:dyDescent="0.25">
      <c r="A1148" s="3"/>
      <c r="B1148" s="3"/>
      <c r="C1148" s="3"/>
      <c r="D1148" s="3"/>
      <c r="E1148" s="3"/>
      <c r="F1148" s="3"/>
      <c r="G1148" s="3"/>
      <c r="H1148" s="3"/>
      <c r="I1148" s="3"/>
      <c r="J1148" s="3"/>
      <c r="K1148" s="3"/>
      <c r="L1148" s="3"/>
      <c r="M1148" s="3"/>
      <c r="N1148" s="3"/>
      <c r="O1148" s="3"/>
      <c r="P1148" s="3"/>
      <c r="Q1148" s="3"/>
      <c r="R1148" s="3"/>
      <c r="S1148" s="3"/>
      <c r="T1148" s="3"/>
      <c r="U1148" s="3"/>
      <c r="V1148" s="3"/>
      <c r="W1148" s="3"/>
      <c r="X1148" s="3"/>
      <c r="Y1148" s="3"/>
      <c r="Z1148" s="3"/>
      <c r="AA1148" s="3"/>
      <c r="AB1148" s="3"/>
      <c r="AC1148" s="3"/>
      <c r="AD1148" s="3"/>
      <c r="AE1148" s="3"/>
      <c r="AF1148" s="3"/>
    </row>
    <row r="1149" spans="1:32" ht="15" x14ac:dyDescent="0.25">
      <c r="A1149" s="3"/>
      <c r="B1149" s="3"/>
      <c r="C1149" s="3"/>
      <c r="D1149" s="3"/>
      <c r="E1149" s="3"/>
      <c r="F1149" s="3"/>
      <c r="G1149" s="3"/>
      <c r="H1149" s="3"/>
      <c r="I1149" s="3"/>
      <c r="J1149" s="3"/>
      <c r="K1149" s="3"/>
      <c r="L1149" s="3"/>
      <c r="M1149" s="3"/>
      <c r="N1149" s="3"/>
      <c r="O1149" s="3"/>
      <c r="P1149" s="3"/>
      <c r="Q1149" s="3"/>
      <c r="R1149" s="3"/>
      <c r="S1149" s="3"/>
      <c r="T1149" s="3"/>
      <c r="U1149" s="3"/>
      <c r="V1149" s="3"/>
      <c r="W1149" s="3"/>
      <c r="X1149" s="3"/>
      <c r="Y1149" s="3"/>
      <c r="Z1149" s="3"/>
      <c r="AA1149" s="3"/>
      <c r="AB1149" s="3"/>
      <c r="AC1149" s="3"/>
      <c r="AD1149" s="3"/>
      <c r="AE1149" s="3"/>
      <c r="AF1149" s="3"/>
    </row>
    <row r="1150" spans="1:32" ht="15" x14ac:dyDescent="0.25">
      <c r="A1150" s="3"/>
      <c r="B1150" s="3"/>
      <c r="C1150" s="3"/>
      <c r="D1150" s="3"/>
      <c r="E1150" s="3"/>
      <c r="F1150" s="3"/>
      <c r="G1150" s="3"/>
      <c r="H1150" s="3"/>
      <c r="I1150" s="3"/>
      <c r="J1150" s="3"/>
      <c r="K1150" s="3"/>
      <c r="L1150" s="3"/>
      <c r="M1150" s="3"/>
      <c r="N1150" s="3"/>
      <c r="O1150" s="3"/>
      <c r="P1150" s="3"/>
      <c r="Q1150" s="3"/>
      <c r="R1150" s="3"/>
      <c r="S1150" s="3"/>
      <c r="T1150" s="3"/>
      <c r="U1150" s="3"/>
      <c r="V1150" s="3"/>
      <c r="W1150" s="3"/>
      <c r="X1150" s="3"/>
      <c r="Y1150" s="3"/>
      <c r="Z1150" s="3"/>
      <c r="AA1150" s="3"/>
      <c r="AB1150" s="3"/>
      <c r="AC1150" s="3"/>
      <c r="AD1150" s="3"/>
      <c r="AE1150" s="3"/>
      <c r="AF1150" s="3"/>
    </row>
    <row r="1151" spans="1:32" ht="15" x14ac:dyDescent="0.25">
      <c r="A1151" s="3"/>
      <c r="B1151" s="3"/>
      <c r="C1151" s="3"/>
      <c r="D1151" s="3"/>
      <c r="E1151" s="3"/>
      <c r="F1151" s="3"/>
      <c r="G1151" s="3"/>
      <c r="H1151" s="3"/>
      <c r="I1151" s="3"/>
      <c r="J1151" s="3"/>
      <c r="K1151" s="3"/>
      <c r="L1151" s="3"/>
      <c r="M1151" s="3"/>
      <c r="N1151" s="3"/>
      <c r="O1151" s="3"/>
      <c r="P1151" s="3"/>
      <c r="Q1151" s="3"/>
      <c r="R1151" s="3"/>
      <c r="S1151" s="3"/>
      <c r="T1151" s="3"/>
      <c r="U1151" s="3"/>
      <c r="V1151" s="3"/>
      <c r="W1151" s="3"/>
      <c r="X1151" s="3"/>
      <c r="Y1151" s="3"/>
      <c r="Z1151" s="3"/>
      <c r="AA1151" s="3"/>
      <c r="AB1151" s="3"/>
      <c r="AC1151" s="3"/>
      <c r="AD1151" s="3"/>
      <c r="AE1151" s="3"/>
      <c r="AF1151" s="3"/>
    </row>
    <row r="1152" spans="1:32" ht="15" x14ac:dyDescent="0.25">
      <c r="A1152" s="3"/>
      <c r="B1152" s="3"/>
      <c r="C1152" s="3"/>
      <c r="D1152" s="3"/>
      <c r="E1152" s="3"/>
      <c r="F1152" s="3"/>
      <c r="G1152" s="3"/>
      <c r="H1152" s="3"/>
      <c r="I1152" s="3"/>
      <c r="J1152" s="3"/>
      <c r="K1152" s="3"/>
      <c r="L1152" s="3"/>
      <c r="M1152" s="3"/>
      <c r="N1152" s="3"/>
      <c r="O1152" s="3"/>
      <c r="P1152" s="3"/>
      <c r="Q1152" s="3"/>
      <c r="R1152" s="3"/>
      <c r="S1152" s="3"/>
      <c r="T1152" s="3"/>
      <c r="U1152" s="3"/>
      <c r="V1152" s="3"/>
      <c r="W1152" s="3"/>
      <c r="X1152" s="3"/>
      <c r="Y1152" s="3"/>
      <c r="Z1152" s="3"/>
      <c r="AA1152" s="3"/>
      <c r="AB1152" s="3"/>
      <c r="AC1152" s="3"/>
      <c r="AD1152" s="3"/>
      <c r="AE1152" s="3"/>
      <c r="AF1152" s="3"/>
    </row>
    <row r="1153" spans="1:32" ht="15" x14ac:dyDescent="0.25">
      <c r="A1153" s="3"/>
      <c r="B1153" s="3"/>
      <c r="C1153" s="3"/>
      <c r="D1153" s="3"/>
      <c r="E1153" s="3"/>
      <c r="F1153" s="3"/>
      <c r="G1153" s="3"/>
      <c r="H1153" s="3"/>
      <c r="I1153" s="3"/>
      <c r="J1153" s="3"/>
      <c r="K1153" s="3"/>
      <c r="L1153" s="3"/>
      <c r="M1153" s="3"/>
      <c r="N1153" s="3"/>
      <c r="O1153" s="3"/>
      <c r="P1153" s="3"/>
      <c r="Q1153" s="3"/>
      <c r="R1153" s="3"/>
      <c r="S1153" s="3"/>
      <c r="T1153" s="3"/>
      <c r="U1153" s="3"/>
      <c r="V1153" s="3"/>
      <c r="W1153" s="3"/>
      <c r="X1153" s="3"/>
      <c r="Y1153" s="3"/>
      <c r="Z1153" s="3"/>
      <c r="AA1153" s="3"/>
      <c r="AB1153" s="3"/>
      <c r="AC1153" s="3"/>
      <c r="AD1153" s="3"/>
      <c r="AE1153" s="3"/>
      <c r="AF1153" s="3"/>
    </row>
    <row r="1154" spans="1:32" ht="15" x14ac:dyDescent="0.25">
      <c r="A1154" s="3"/>
      <c r="B1154" s="3"/>
      <c r="C1154" s="3"/>
      <c r="D1154" s="3"/>
      <c r="E1154" s="3"/>
      <c r="F1154" s="3"/>
      <c r="G1154" s="3"/>
      <c r="H1154" s="3"/>
      <c r="I1154" s="3"/>
      <c r="J1154" s="3"/>
      <c r="K1154" s="3"/>
      <c r="L1154" s="3"/>
      <c r="M1154" s="3"/>
      <c r="N1154" s="3"/>
      <c r="O1154" s="3"/>
      <c r="P1154" s="3"/>
      <c r="Q1154" s="3"/>
      <c r="R1154" s="3"/>
      <c r="S1154" s="3"/>
      <c r="T1154" s="3"/>
      <c r="U1154" s="3"/>
      <c r="V1154" s="3"/>
      <c r="W1154" s="3"/>
      <c r="X1154" s="3"/>
      <c r="Y1154" s="3"/>
      <c r="Z1154" s="3"/>
      <c r="AA1154" s="3"/>
      <c r="AB1154" s="3"/>
      <c r="AC1154" s="3"/>
      <c r="AD1154" s="3"/>
      <c r="AE1154" s="3"/>
      <c r="AF1154" s="3"/>
    </row>
    <row r="1155" spans="1:32" ht="15" x14ac:dyDescent="0.25">
      <c r="A1155" s="3"/>
      <c r="B1155" s="3"/>
      <c r="C1155" s="3"/>
      <c r="D1155" s="3"/>
      <c r="E1155" s="3"/>
      <c r="F1155" s="3"/>
      <c r="G1155" s="3"/>
      <c r="H1155" s="3"/>
      <c r="I1155" s="3"/>
      <c r="J1155" s="3"/>
      <c r="K1155" s="3"/>
      <c r="L1155" s="3"/>
      <c r="M1155" s="3"/>
      <c r="N1155" s="3"/>
      <c r="O1155" s="3"/>
      <c r="P1155" s="3"/>
      <c r="Q1155" s="3"/>
      <c r="R1155" s="3"/>
      <c r="S1155" s="3"/>
      <c r="T1155" s="3"/>
      <c r="U1155" s="3"/>
      <c r="V1155" s="3"/>
      <c r="W1155" s="3"/>
      <c r="X1155" s="3"/>
      <c r="Y1155" s="3"/>
      <c r="Z1155" s="3"/>
      <c r="AA1155" s="3"/>
      <c r="AB1155" s="3"/>
      <c r="AC1155" s="3"/>
      <c r="AD1155" s="3"/>
      <c r="AE1155" s="3"/>
      <c r="AF1155" s="3"/>
    </row>
    <row r="1156" spans="1:32" ht="15" x14ac:dyDescent="0.25">
      <c r="A1156" s="3"/>
      <c r="B1156" s="3"/>
      <c r="C1156" s="3"/>
      <c r="D1156" s="3"/>
      <c r="E1156" s="3"/>
      <c r="F1156" s="3"/>
      <c r="G1156" s="3"/>
      <c r="H1156" s="3"/>
      <c r="I1156" s="3"/>
      <c r="J1156" s="3"/>
      <c r="K1156" s="3"/>
      <c r="L1156" s="3"/>
      <c r="M1156" s="3"/>
      <c r="N1156" s="3"/>
      <c r="O1156" s="3"/>
      <c r="P1156" s="3"/>
      <c r="Q1156" s="3"/>
      <c r="R1156" s="3"/>
      <c r="S1156" s="3"/>
      <c r="T1156" s="3"/>
      <c r="U1156" s="3"/>
      <c r="V1156" s="3"/>
      <c r="W1156" s="3"/>
      <c r="X1156" s="3"/>
      <c r="Y1156" s="3"/>
      <c r="Z1156" s="3"/>
      <c r="AA1156" s="3"/>
      <c r="AB1156" s="3"/>
      <c r="AC1156" s="3"/>
      <c r="AD1156" s="3"/>
      <c r="AE1156" s="3"/>
      <c r="AF1156" s="3"/>
    </row>
    <row r="1157" spans="1:32" ht="15" x14ac:dyDescent="0.25">
      <c r="A1157" s="3"/>
      <c r="B1157" s="3"/>
      <c r="C1157" s="3"/>
      <c r="D1157" s="3"/>
      <c r="E1157" s="3"/>
      <c r="F1157" s="3"/>
      <c r="G1157" s="3"/>
      <c r="H1157" s="3"/>
      <c r="I1157" s="3"/>
      <c r="J1157" s="3"/>
      <c r="K1157" s="3"/>
      <c r="L1157" s="3"/>
      <c r="M1157" s="3"/>
      <c r="N1157" s="3"/>
      <c r="O1157" s="3"/>
      <c r="P1157" s="3"/>
      <c r="Q1157" s="3"/>
      <c r="R1157" s="3"/>
      <c r="S1157" s="3"/>
      <c r="T1157" s="3"/>
      <c r="U1157" s="3"/>
      <c r="V1157" s="3"/>
      <c r="W1157" s="3"/>
      <c r="X1157" s="3"/>
      <c r="Y1157" s="3"/>
      <c r="Z1157" s="3"/>
      <c r="AA1157" s="3"/>
      <c r="AB1157" s="3"/>
      <c r="AC1157" s="3"/>
      <c r="AD1157" s="3"/>
      <c r="AE1157" s="3"/>
      <c r="AF1157" s="3"/>
    </row>
    <row r="1158" spans="1:32" ht="15" x14ac:dyDescent="0.25">
      <c r="A1158" s="3"/>
      <c r="B1158" s="3"/>
      <c r="C1158" s="3"/>
      <c r="D1158" s="3"/>
      <c r="E1158" s="3"/>
      <c r="F1158" s="3"/>
      <c r="G1158" s="3"/>
      <c r="H1158" s="3"/>
      <c r="I1158" s="3"/>
      <c r="J1158" s="3"/>
      <c r="K1158" s="3"/>
      <c r="L1158" s="3"/>
      <c r="M1158" s="3"/>
      <c r="N1158" s="3"/>
      <c r="O1158" s="3"/>
      <c r="P1158" s="3"/>
      <c r="Q1158" s="3"/>
      <c r="R1158" s="3"/>
      <c r="S1158" s="3"/>
      <c r="T1158" s="3"/>
      <c r="U1158" s="3"/>
      <c r="V1158" s="3"/>
      <c r="W1158" s="3"/>
      <c r="X1158" s="3"/>
      <c r="Y1158" s="3"/>
      <c r="Z1158" s="3"/>
      <c r="AA1158" s="3"/>
      <c r="AB1158" s="3"/>
      <c r="AC1158" s="3"/>
      <c r="AD1158" s="3"/>
      <c r="AE1158" s="3"/>
      <c r="AF1158" s="3"/>
    </row>
    <row r="1159" spans="1:32" ht="15" x14ac:dyDescent="0.25">
      <c r="A1159" s="3"/>
      <c r="B1159" s="3"/>
      <c r="C1159" s="3"/>
      <c r="D1159" s="3"/>
      <c r="E1159" s="3"/>
      <c r="F1159" s="3"/>
      <c r="G1159" s="3"/>
      <c r="H1159" s="3"/>
      <c r="I1159" s="3"/>
      <c r="J1159" s="3"/>
      <c r="K1159" s="3"/>
      <c r="L1159" s="3"/>
      <c r="M1159" s="3"/>
      <c r="N1159" s="3"/>
      <c r="O1159" s="3"/>
      <c r="P1159" s="3"/>
      <c r="Q1159" s="3"/>
      <c r="R1159" s="3"/>
      <c r="S1159" s="3"/>
      <c r="T1159" s="3"/>
      <c r="U1159" s="3"/>
      <c r="V1159" s="3"/>
      <c r="W1159" s="3"/>
      <c r="X1159" s="3"/>
      <c r="Y1159" s="3"/>
      <c r="Z1159" s="3"/>
      <c r="AA1159" s="3"/>
      <c r="AB1159" s="3"/>
      <c r="AC1159" s="3"/>
      <c r="AD1159" s="3"/>
      <c r="AE1159" s="3"/>
      <c r="AF1159" s="3"/>
    </row>
    <row r="1160" spans="1:32" ht="15" x14ac:dyDescent="0.25">
      <c r="A1160" s="3"/>
      <c r="B1160" s="3"/>
      <c r="C1160" s="3"/>
      <c r="D1160" s="3"/>
      <c r="E1160" s="3"/>
      <c r="F1160" s="3"/>
      <c r="G1160" s="3"/>
      <c r="H1160" s="3"/>
      <c r="I1160" s="3"/>
      <c r="J1160" s="3"/>
      <c r="K1160" s="3"/>
      <c r="L1160" s="3"/>
      <c r="M1160" s="3"/>
      <c r="N1160" s="3"/>
      <c r="O1160" s="3"/>
      <c r="P1160" s="3"/>
      <c r="Q1160" s="3"/>
      <c r="R1160" s="3"/>
      <c r="S1160" s="3"/>
      <c r="T1160" s="3"/>
      <c r="U1160" s="3"/>
      <c r="V1160" s="3"/>
      <c r="W1160" s="3"/>
      <c r="X1160" s="3"/>
      <c r="Y1160" s="3"/>
      <c r="Z1160" s="3"/>
      <c r="AA1160" s="3"/>
      <c r="AB1160" s="3"/>
      <c r="AC1160" s="3"/>
      <c r="AD1160" s="3"/>
      <c r="AE1160" s="3"/>
      <c r="AF1160" s="3"/>
    </row>
    <row r="1161" spans="1:32" ht="15" x14ac:dyDescent="0.25">
      <c r="A1161" s="3"/>
      <c r="B1161" s="3"/>
      <c r="C1161" s="3"/>
      <c r="D1161" s="3"/>
      <c r="E1161" s="3"/>
      <c r="F1161" s="3"/>
      <c r="G1161" s="3"/>
      <c r="H1161" s="3"/>
      <c r="I1161" s="3"/>
      <c r="J1161" s="3"/>
      <c r="K1161" s="3"/>
      <c r="L1161" s="3"/>
      <c r="M1161" s="3"/>
      <c r="N1161" s="3"/>
      <c r="O1161" s="3"/>
      <c r="P1161" s="3"/>
      <c r="Q1161" s="3"/>
      <c r="R1161" s="3"/>
      <c r="S1161" s="3"/>
      <c r="T1161" s="3"/>
      <c r="U1161" s="3"/>
      <c r="V1161" s="3"/>
      <c r="W1161" s="3"/>
      <c r="X1161" s="3"/>
      <c r="Y1161" s="3"/>
      <c r="Z1161" s="3"/>
      <c r="AA1161" s="3"/>
      <c r="AB1161" s="3"/>
      <c r="AC1161" s="3"/>
      <c r="AD1161" s="3"/>
      <c r="AE1161" s="3"/>
      <c r="AF1161" s="3"/>
    </row>
    <row r="1162" spans="1:32" ht="15" x14ac:dyDescent="0.25">
      <c r="A1162" s="3"/>
      <c r="B1162" s="3"/>
      <c r="C1162" s="3"/>
      <c r="D1162" s="3"/>
      <c r="E1162" s="3"/>
      <c r="F1162" s="3"/>
      <c r="G1162" s="3"/>
      <c r="H1162" s="3"/>
      <c r="I1162" s="3"/>
      <c r="J1162" s="3"/>
      <c r="K1162" s="3"/>
      <c r="L1162" s="3"/>
      <c r="M1162" s="3"/>
      <c r="N1162" s="3"/>
      <c r="O1162" s="3"/>
      <c r="P1162" s="3"/>
      <c r="Q1162" s="3"/>
      <c r="R1162" s="3"/>
      <c r="S1162" s="3"/>
      <c r="T1162" s="3"/>
      <c r="U1162" s="3"/>
      <c r="V1162" s="3"/>
      <c r="W1162" s="3"/>
      <c r="X1162" s="3"/>
      <c r="Y1162" s="3"/>
      <c r="Z1162" s="3"/>
      <c r="AA1162" s="3"/>
      <c r="AB1162" s="3"/>
      <c r="AC1162" s="3"/>
      <c r="AD1162" s="3"/>
      <c r="AE1162" s="3"/>
      <c r="AF1162" s="3"/>
    </row>
    <row r="1163" spans="1:32" ht="15" x14ac:dyDescent="0.25">
      <c r="A1163" s="3"/>
      <c r="B1163" s="3"/>
      <c r="C1163" s="3"/>
      <c r="D1163" s="3"/>
      <c r="E1163" s="3"/>
      <c r="F1163" s="3"/>
      <c r="G1163" s="3"/>
      <c r="H1163" s="3"/>
      <c r="I1163" s="3"/>
      <c r="J1163" s="3"/>
      <c r="K1163" s="3"/>
      <c r="L1163" s="3"/>
      <c r="M1163" s="3"/>
      <c r="N1163" s="3"/>
      <c r="O1163" s="3"/>
      <c r="P1163" s="3"/>
      <c r="Q1163" s="3"/>
      <c r="R1163" s="3"/>
      <c r="S1163" s="3"/>
      <c r="T1163" s="3"/>
      <c r="U1163" s="3"/>
      <c r="V1163" s="3"/>
      <c r="W1163" s="3"/>
      <c r="X1163" s="3"/>
      <c r="Y1163" s="3"/>
      <c r="Z1163" s="3"/>
      <c r="AA1163" s="3"/>
      <c r="AB1163" s="3"/>
      <c r="AC1163" s="3"/>
      <c r="AD1163" s="3"/>
      <c r="AE1163" s="3"/>
      <c r="AF1163" s="3"/>
    </row>
    <row r="1164" spans="1:32" ht="15" x14ac:dyDescent="0.25">
      <c r="A1164" s="3"/>
      <c r="B1164" s="3"/>
      <c r="C1164" s="3"/>
      <c r="D1164" s="3"/>
      <c r="E1164" s="3"/>
      <c r="F1164" s="3"/>
      <c r="G1164" s="3"/>
      <c r="H1164" s="3"/>
      <c r="I1164" s="3"/>
      <c r="J1164" s="3"/>
      <c r="K1164" s="3"/>
      <c r="L1164" s="3"/>
      <c r="M1164" s="3"/>
      <c r="N1164" s="3"/>
      <c r="O1164" s="3"/>
      <c r="P1164" s="3"/>
      <c r="Q1164" s="3"/>
      <c r="R1164" s="3"/>
      <c r="S1164" s="3"/>
      <c r="T1164" s="3"/>
      <c r="U1164" s="3"/>
      <c r="V1164" s="3"/>
      <c r="W1164" s="3"/>
      <c r="X1164" s="3"/>
      <c r="Y1164" s="3"/>
      <c r="Z1164" s="3"/>
      <c r="AA1164" s="3"/>
      <c r="AB1164" s="3"/>
      <c r="AC1164" s="3"/>
      <c r="AD1164" s="3"/>
      <c r="AE1164" s="3"/>
      <c r="AF1164" s="3"/>
    </row>
    <row r="1165" spans="1:32" ht="15" x14ac:dyDescent="0.25">
      <c r="A1165" s="3"/>
      <c r="B1165" s="3"/>
      <c r="C1165" s="3"/>
      <c r="D1165" s="3"/>
      <c r="E1165" s="3"/>
      <c r="F1165" s="3"/>
      <c r="G1165" s="3"/>
      <c r="H1165" s="3"/>
      <c r="I1165" s="3"/>
      <c r="J1165" s="3"/>
      <c r="K1165" s="3"/>
      <c r="L1165" s="3"/>
      <c r="M1165" s="3"/>
      <c r="N1165" s="3"/>
      <c r="O1165" s="3"/>
      <c r="P1165" s="3"/>
      <c r="Q1165" s="3"/>
      <c r="R1165" s="3"/>
      <c r="S1165" s="3"/>
      <c r="T1165" s="3"/>
      <c r="U1165" s="3"/>
      <c r="V1165" s="3"/>
      <c r="W1165" s="3"/>
      <c r="X1165" s="3"/>
      <c r="Y1165" s="3"/>
      <c r="Z1165" s="3"/>
      <c r="AA1165" s="3"/>
      <c r="AB1165" s="3"/>
      <c r="AC1165" s="3"/>
      <c r="AD1165" s="3"/>
      <c r="AE1165" s="3"/>
      <c r="AF1165" s="3"/>
    </row>
    <row r="1166" spans="1:32" ht="15" x14ac:dyDescent="0.25">
      <c r="A1166" s="3"/>
      <c r="B1166" s="3"/>
      <c r="C1166" s="3"/>
      <c r="D1166" s="3"/>
      <c r="E1166" s="3"/>
      <c r="F1166" s="3"/>
      <c r="G1166" s="3"/>
      <c r="H1166" s="3"/>
      <c r="I1166" s="3"/>
      <c r="J1166" s="3"/>
      <c r="K1166" s="3"/>
      <c r="L1166" s="3"/>
      <c r="M1166" s="3"/>
      <c r="N1166" s="3"/>
      <c r="O1166" s="3"/>
      <c r="P1166" s="3"/>
      <c r="Q1166" s="3"/>
      <c r="R1166" s="3"/>
      <c r="S1166" s="3"/>
      <c r="T1166" s="3"/>
      <c r="U1166" s="3"/>
      <c r="V1166" s="3"/>
      <c r="W1166" s="3"/>
      <c r="X1166" s="3"/>
      <c r="Y1166" s="3"/>
      <c r="Z1166" s="3"/>
      <c r="AA1166" s="3"/>
      <c r="AB1166" s="3"/>
      <c r="AC1166" s="3"/>
      <c r="AD1166" s="3"/>
      <c r="AE1166" s="3"/>
      <c r="AF1166" s="3"/>
    </row>
    <row r="1167" spans="1:32" ht="15" x14ac:dyDescent="0.25">
      <c r="A1167" s="3"/>
      <c r="B1167" s="3"/>
      <c r="C1167" s="3"/>
      <c r="D1167" s="3"/>
      <c r="E1167" s="3"/>
      <c r="F1167" s="3"/>
      <c r="G1167" s="3"/>
      <c r="H1167" s="3"/>
      <c r="I1167" s="3"/>
      <c r="J1167" s="3"/>
      <c r="K1167" s="3"/>
      <c r="L1167" s="3"/>
      <c r="M1167" s="3"/>
      <c r="N1167" s="3"/>
      <c r="O1167" s="3"/>
      <c r="P1167" s="3"/>
      <c r="Q1167" s="3"/>
      <c r="R1167" s="3"/>
      <c r="S1167" s="3"/>
      <c r="T1167" s="3"/>
      <c r="U1167" s="3"/>
      <c r="V1167" s="3"/>
      <c r="W1167" s="3"/>
      <c r="X1167" s="3"/>
      <c r="Y1167" s="3"/>
      <c r="Z1167" s="3"/>
      <c r="AA1167" s="3"/>
      <c r="AB1167" s="3"/>
      <c r="AC1167" s="3"/>
      <c r="AD1167" s="3"/>
      <c r="AE1167" s="3"/>
      <c r="AF1167" s="3"/>
    </row>
    <row r="1168" spans="1:32" ht="15" x14ac:dyDescent="0.25">
      <c r="A1168" s="3"/>
      <c r="B1168" s="3"/>
      <c r="C1168" s="3"/>
      <c r="D1168" s="3"/>
      <c r="E1168" s="3"/>
      <c r="F1168" s="3"/>
      <c r="G1168" s="3"/>
      <c r="H1168" s="3"/>
      <c r="I1168" s="3"/>
      <c r="J1168" s="3"/>
      <c r="K1168" s="3"/>
      <c r="L1168" s="3"/>
      <c r="M1168" s="3"/>
      <c r="N1168" s="3"/>
      <c r="O1168" s="3"/>
      <c r="P1168" s="3"/>
      <c r="Q1168" s="3"/>
      <c r="R1168" s="3"/>
      <c r="S1168" s="3"/>
      <c r="T1168" s="3"/>
      <c r="U1168" s="3"/>
      <c r="V1168" s="3"/>
      <c r="W1168" s="3"/>
      <c r="X1168" s="3"/>
      <c r="Y1168" s="3"/>
      <c r="Z1168" s="3"/>
      <c r="AA1168" s="3"/>
      <c r="AB1168" s="3"/>
      <c r="AC1168" s="3"/>
      <c r="AD1168" s="3"/>
      <c r="AE1168" s="3"/>
      <c r="AF1168" s="3"/>
    </row>
    <row r="1169" spans="1:32" ht="15" x14ac:dyDescent="0.25">
      <c r="A1169" s="3"/>
      <c r="B1169" s="3"/>
      <c r="C1169" s="3"/>
      <c r="D1169" s="3"/>
      <c r="E1169" s="3"/>
      <c r="F1169" s="3"/>
      <c r="G1169" s="3"/>
      <c r="H1169" s="3"/>
      <c r="I1169" s="3"/>
      <c r="J1169" s="3"/>
      <c r="K1169" s="3"/>
      <c r="L1169" s="3"/>
      <c r="M1169" s="3"/>
      <c r="N1169" s="3"/>
      <c r="O1169" s="3"/>
      <c r="P1169" s="3"/>
      <c r="Q1169" s="3"/>
      <c r="R1169" s="3"/>
      <c r="S1169" s="3"/>
      <c r="T1169" s="3"/>
      <c r="U1169" s="3"/>
      <c r="V1169" s="3"/>
      <c r="W1169" s="3"/>
      <c r="X1169" s="3"/>
      <c r="Y1169" s="3"/>
      <c r="Z1169" s="3"/>
      <c r="AA1169" s="3"/>
      <c r="AB1169" s="3"/>
      <c r="AC1169" s="3"/>
      <c r="AD1169" s="3"/>
      <c r="AE1169" s="3"/>
      <c r="AF1169" s="3"/>
    </row>
    <row r="1170" spans="1:32" ht="15" x14ac:dyDescent="0.25">
      <c r="A1170" s="3"/>
      <c r="B1170" s="3"/>
      <c r="C1170" s="3"/>
      <c r="D1170" s="3"/>
      <c r="E1170" s="3"/>
      <c r="F1170" s="3"/>
      <c r="G1170" s="3"/>
      <c r="H1170" s="3"/>
      <c r="I1170" s="3"/>
      <c r="J1170" s="3"/>
      <c r="K1170" s="3"/>
      <c r="L1170" s="3"/>
      <c r="M1170" s="3"/>
      <c r="N1170" s="3"/>
      <c r="O1170" s="3"/>
      <c r="P1170" s="3"/>
      <c r="Q1170" s="3"/>
      <c r="R1170" s="3"/>
      <c r="S1170" s="3"/>
      <c r="T1170" s="3"/>
      <c r="U1170" s="3"/>
      <c r="V1170" s="3"/>
      <c r="W1170" s="3"/>
      <c r="X1170" s="3"/>
      <c r="Y1170" s="3"/>
      <c r="Z1170" s="3"/>
      <c r="AA1170" s="3"/>
      <c r="AB1170" s="3"/>
      <c r="AC1170" s="3"/>
      <c r="AD1170" s="3"/>
      <c r="AE1170" s="3"/>
      <c r="AF1170" s="3"/>
    </row>
    <row r="1171" spans="1:32" ht="15" x14ac:dyDescent="0.25">
      <c r="A1171" s="3"/>
      <c r="B1171" s="3"/>
      <c r="C1171" s="3"/>
      <c r="D1171" s="3"/>
      <c r="E1171" s="3"/>
      <c r="F1171" s="3"/>
      <c r="G1171" s="3"/>
      <c r="H1171" s="3"/>
      <c r="I1171" s="3"/>
      <c r="J1171" s="3"/>
      <c r="K1171" s="3"/>
      <c r="L1171" s="3"/>
      <c r="M1171" s="3"/>
      <c r="N1171" s="3"/>
      <c r="O1171" s="3"/>
      <c r="P1171" s="3"/>
      <c r="Q1171" s="3"/>
      <c r="R1171" s="3"/>
      <c r="S1171" s="3"/>
      <c r="T1171" s="3"/>
      <c r="U1171" s="3"/>
      <c r="V1171" s="3"/>
      <c r="W1171" s="3"/>
      <c r="X1171" s="3"/>
      <c r="Y1171" s="3"/>
      <c r="Z1171" s="3"/>
      <c r="AA1171" s="3"/>
      <c r="AB1171" s="3"/>
      <c r="AC1171" s="3"/>
      <c r="AD1171" s="3"/>
      <c r="AE1171" s="3"/>
      <c r="AF1171" s="3"/>
    </row>
    <row r="1172" spans="1:32" ht="15" x14ac:dyDescent="0.25">
      <c r="A1172" s="3"/>
      <c r="B1172" s="3"/>
      <c r="C1172" s="3"/>
      <c r="D1172" s="3"/>
      <c r="E1172" s="3"/>
      <c r="F1172" s="3"/>
      <c r="G1172" s="3"/>
      <c r="H1172" s="3"/>
      <c r="I1172" s="3"/>
      <c r="J1172" s="3"/>
      <c r="K1172" s="3"/>
      <c r="L1172" s="3"/>
      <c r="M1172" s="3"/>
      <c r="N1172" s="3"/>
      <c r="O1172" s="3"/>
      <c r="P1172" s="3"/>
      <c r="Q1172" s="3"/>
      <c r="R1172" s="3"/>
      <c r="S1172" s="3"/>
      <c r="T1172" s="3"/>
      <c r="U1172" s="3"/>
      <c r="V1172" s="3"/>
      <c r="W1172" s="3"/>
      <c r="X1172" s="3"/>
      <c r="Y1172" s="3"/>
      <c r="Z1172" s="3"/>
      <c r="AA1172" s="3"/>
      <c r="AB1172" s="3"/>
      <c r="AC1172" s="3"/>
      <c r="AD1172" s="3"/>
      <c r="AE1172" s="3"/>
      <c r="AF1172" s="3"/>
    </row>
    <row r="1173" spans="1:32" ht="15" x14ac:dyDescent="0.25">
      <c r="A1173" s="3"/>
      <c r="B1173" s="3"/>
      <c r="C1173" s="3"/>
      <c r="D1173" s="3"/>
      <c r="E1173" s="3"/>
      <c r="F1173" s="3"/>
      <c r="G1173" s="3"/>
      <c r="H1173" s="3"/>
      <c r="I1173" s="3"/>
      <c r="J1173" s="3"/>
      <c r="K1173" s="3"/>
      <c r="L1173" s="3"/>
      <c r="M1173" s="3"/>
      <c r="N1173" s="3"/>
      <c r="O1173" s="3"/>
      <c r="P1173" s="3"/>
      <c r="Q1173" s="3"/>
      <c r="R1173" s="3"/>
      <c r="S1173" s="3"/>
      <c r="T1173" s="3"/>
      <c r="U1173" s="3"/>
      <c r="V1173" s="3"/>
      <c r="W1173" s="3"/>
      <c r="X1173" s="3"/>
      <c r="Y1173" s="3"/>
      <c r="Z1173" s="3"/>
      <c r="AA1173" s="3"/>
      <c r="AB1173" s="3"/>
      <c r="AC1173" s="3"/>
      <c r="AD1173" s="3"/>
      <c r="AE1173" s="3"/>
      <c r="AF1173" s="3"/>
    </row>
    <row r="1174" spans="1:32" ht="15" x14ac:dyDescent="0.25">
      <c r="A1174" s="3"/>
      <c r="B1174" s="3"/>
      <c r="C1174" s="3"/>
      <c r="D1174" s="3"/>
      <c r="E1174" s="3"/>
      <c r="F1174" s="3"/>
      <c r="G1174" s="3"/>
      <c r="H1174" s="3"/>
      <c r="I1174" s="3"/>
      <c r="J1174" s="3"/>
      <c r="K1174" s="3"/>
      <c r="L1174" s="3"/>
      <c r="M1174" s="3"/>
      <c r="N1174" s="3"/>
      <c r="O1174" s="3"/>
      <c r="P1174" s="3"/>
      <c r="Q1174" s="3"/>
      <c r="R1174" s="3"/>
      <c r="S1174" s="3"/>
      <c r="T1174" s="3"/>
      <c r="U1174" s="3"/>
      <c r="V1174" s="3"/>
      <c r="W1174" s="3"/>
      <c r="X1174" s="3"/>
      <c r="Y1174" s="3"/>
      <c r="Z1174" s="3"/>
      <c r="AA1174" s="3"/>
      <c r="AB1174" s="3"/>
      <c r="AC1174" s="3"/>
      <c r="AD1174" s="3"/>
      <c r="AE1174" s="3"/>
      <c r="AF1174" s="3"/>
    </row>
    <row r="1175" spans="1:32" ht="15" x14ac:dyDescent="0.25">
      <c r="A1175" s="3"/>
      <c r="B1175" s="3"/>
      <c r="C1175" s="3"/>
      <c r="D1175" s="3"/>
      <c r="E1175" s="3"/>
      <c r="F1175" s="3"/>
      <c r="G1175" s="3"/>
      <c r="H1175" s="3"/>
      <c r="I1175" s="3"/>
      <c r="J1175" s="3"/>
      <c r="K1175" s="3"/>
      <c r="L1175" s="3"/>
      <c r="M1175" s="3"/>
      <c r="N1175" s="3"/>
      <c r="O1175" s="3"/>
      <c r="P1175" s="3"/>
      <c r="Q1175" s="3"/>
      <c r="R1175" s="3"/>
      <c r="S1175" s="3"/>
      <c r="T1175" s="3"/>
      <c r="U1175" s="3"/>
      <c r="V1175" s="3"/>
      <c r="W1175" s="3"/>
      <c r="X1175" s="3"/>
      <c r="Y1175" s="3"/>
      <c r="Z1175" s="3"/>
      <c r="AA1175" s="3"/>
      <c r="AB1175" s="3"/>
      <c r="AC1175" s="3"/>
      <c r="AD1175" s="3"/>
      <c r="AE1175" s="3"/>
      <c r="AF1175" s="3"/>
    </row>
    <row r="1176" spans="1:32" ht="15" x14ac:dyDescent="0.25">
      <c r="A1176" s="3"/>
      <c r="B1176" s="3"/>
      <c r="C1176" s="3"/>
      <c r="D1176" s="3"/>
      <c r="E1176" s="3"/>
      <c r="F1176" s="3"/>
      <c r="G1176" s="3"/>
      <c r="H1176" s="3"/>
      <c r="I1176" s="3"/>
      <c r="J1176" s="3"/>
      <c r="K1176" s="3"/>
      <c r="L1176" s="3"/>
      <c r="M1176" s="3"/>
      <c r="N1176" s="3"/>
      <c r="O1176" s="3"/>
      <c r="P1176" s="3"/>
      <c r="Q1176" s="3"/>
      <c r="R1176" s="3"/>
      <c r="S1176" s="3"/>
      <c r="T1176" s="3"/>
      <c r="U1176" s="3"/>
      <c r="V1176" s="3"/>
      <c r="W1176" s="3"/>
      <c r="X1176" s="3"/>
      <c r="Y1176" s="3"/>
      <c r="Z1176" s="3"/>
      <c r="AA1176" s="3"/>
      <c r="AB1176" s="3"/>
      <c r="AC1176" s="3"/>
      <c r="AD1176" s="3"/>
      <c r="AE1176" s="3"/>
      <c r="AF1176" s="3"/>
    </row>
    <row r="1177" spans="1:32" ht="15" x14ac:dyDescent="0.25">
      <c r="A1177" s="3"/>
      <c r="B1177" s="3"/>
      <c r="C1177" s="3"/>
      <c r="D1177" s="3"/>
      <c r="E1177" s="3"/>
      <c r="F1177" s="3"/>
      <c r="G1177" s="3"/>
      <c r="H1177" s="3"/>
      <c r="I1177" s="3"/>
      <c r="J1177" s="3"/>
      <c r="K1177" s="3"/>
      <c r="L1177" s="3"/>
      <c r="M1177" s="3"/>
      <c r="N1177" s="3"/>
      <c r="O1177" s="3"/>
      <c r="P1177" s="3"/>
      <c r="Q1177" s="3"/>
      <c r="R1177" s="3"/>
      <c r="S1177" s="3"/>
      <c r="T1177" s="3"/>
      <c r="U1177" s="3"/>
      <c r="V1177" s="3"/>
      <c r="W1177" s="3"/>
      <c r="X1177" s="3"/>
      <c r="Y1177" s="3"/>
      <c r="Z1177" s="3"/>
      <c r="AA1177" s="3"/>
      <c r="AB1177" s="3"/>
      <c r="AC1177" s="3"/>
      <c r="AD1177" s="3"/>
      <c r="AE1177" s="3"/>
      <c r="AF1177" s="3"/>
    </row>
    <row r="1178" spans="1:32" ht="15" x14ac:dyDescent="0.25">
      <c r="A1178" s="3"/>
      <c r="B1178" s="3"/>
      <c r="C1178" s="3"/>
      <c r="D1178" s="3"/>
      <c r="E1178" s="3"/>
      <c r="F1178" s="3"/>
      <c r="G1178" s="3"/>
      <c r="H1178" s="3"/>
      <c r="I1178" s="3"/>
      <c r="J1178" s="3"/>
      <c r="K1178" s="3"/>
      <c r="L1178" s="3"/>
      <c r="M1178" s="3"/>
      <c r="N1178" s="3"/>
      <c r="O1178" s="3"/>
      <c r="P1178" s="3"/>
      <c r="Q1178" s="3"/>
      <c r="R1178" s="3"/>
      <c r="S1178" s="3"/>
      <c r="T1178" s="3"/>
      <c r="U1178" s="3"/>
      <c r="V1178" s="3"/>
      <c r="W1178" s="3"/>
      <c r="X1178" s="3"/>
      <c r="Y1178" s="3"/>
      <c r="Z1178" s="3"/>
      <c r="AA1178" s="3"/>
      <c r="AB1178" s="3"/>
      <c r="AC1178" s="3"/>
      <c r="AD1178" s="3"/>
      <c r="AE1178" s="3"/>
      <c r="AF1178" s="3"/>
    </row>
    <row r="1179" spans="1:32" ht="15" x14ac:dyDescent="0.25">
      <c r="A1179" s="3"/>
      <c r="B1179" s="3"/>
      <c r="C1179" s="3"/>
      <c r="D1179" s="3"/>
      <c r="E1179" s="3"/>
      <c r="F1179" s="3"/>
      <c r="G1179" s="3"/>
      <c r="H1179" s="3"/>
      <c r="I1179" s="3"/>
      <c r="J1179" s="3"/>
      <c r="K1179" s="3"/>
      <c r="L1179" s="3"/>
      <c r="M1179" s="3"/>
      <c r="N1179" s="3"/>
      <c r="O1179" s="3"/>
      <c r="P1179" s="3"/>
      <c r="Q1179" s="3"/>
      <c r="R1179" s="3"/>
      <c r="S1179" s="3"/>
      <c r="T1179" s="3"/>
      <c r="U1179" s="3"/>
      <c r="V1179" s="3"/>
      <c r="W1179" s="3"/>
      <c r="X1179" s="3"/>
      <c r="Y1179" s="3"/>
      <c r="Z1179" s="3"/>
      <c r="AA1179" s="3"/>
      <c r="AB1179" s="3"/>
      <c r="AC1179" s="3"/>
      <c r="AD1179" s="3"/>
      <c r="AE1179" s="3"/>
      <c r="AF1179" s="3"/>
    </row>
    <row r="1180" spans="1:32" ht="15" x14ac:dyDescent="0.25">
      <c r="A1180" s="3"/>
      <c r="B1180" s="3"/>
      <c r="C1180" s="3"/>
      <c r="D1180" s="3"/>
      <c r="E1180" s="3"/>
      <c r="F1180" s="3"/>
      <c r="G1180" s="3"/>
      <c r="H1180" s="3"/>
      <c r="I1180" s="3"/>
      <c r="J1180" s="3"/>
      <c r="K1180" s="3"/>
      <c r="L1180" s="3"/>
      <c r="M1180" s="3"/>
      <c r="N1180" s="3"/>
      <c r="O1180" s="3"/>
      <c r="P1180" s="3"/>
      <c r="Q1180" s="3"/>
      <c r="R1180" s="3"/>
      <c r="S1180" s="3"/>
      <c r="T1180" s="3"/>
      <c r="U1180" s="3"/>
      <c r="V1180" s="3"/>
      <c r="W1180" s="3"/>
      <c r="X1180" s="3"/>
      <c r="Y1180" s="3"/>
      <c r="Z1180" s="3"/>
      <c r="AA1180" s="3"/>
      <c r="AB1180" s="3"/>
      <c r="AC1180" s="3"/>
      <c r="AD1180" s="3"/>
      <c r="AE1180" s="3"/>
      <c r="AF1180" s="3"/>
    </row>
    <row r="1181" spans="1:32" ht="15" x14ac:dyDescent="0.25">
      <c r="A1181" s="3"/>
      <c r="B1181" s="3"/>
      <c r="C1181" s="3"/>
      <c r="D1181" s="3"/>
      <c r="E1181" s="3"/>
      <c r="F1181" s="3"/>
      <c r="G1181" s="3"/>
      <c r="H1181" s="3"/>
      <c r="I1181" s="3"/>
      <c r="J1181" s="3"/>
      <c r="K1181" s="3"/>
      <c r="L1181" s="3"/>
      <c r="M1181" s="3"/>
      <c r="N1181" s="3"/>
      <c r="O1181" s="3"/>
      <c r="P1181" s="3"/>
      <c r="Q1181" s="3"/>
      <c r="R1181" s="3"/>
      <c r="S1181" s="3"/>
      <c r="T1181" s="3"/>
      <c r="U1181" s="3"/>
      <c r="V1181" s="3"/>
      <c r="W1181" s="3"/>
      <c r="X1181" s="3"/>
      <c r="Y1181" s="3"/>
      <c r="Z1181" s="3"/>
      <c r="AA1181" s="3"/>
      <c r="AB1181" s="3"/>
      <c r="AC1181" s="3"/>
      <c r="AD1181" s="3"/>
      <c r="AE1181" s="3"/>
      <c r="AF1181" s="3"/>
    </row>
    <row r="1182" spans="1:32" ht="15" x14ac:dyDescent="0.25">
      <c r="A1182" s="3"/>
      <c r="B1182" s="3"/>
      <c r="C1182" s="3"/>
      <c r="D1182" s="3"/>
      <c r="E1182" s="3"/>
      <c r="F1182" s="3"/>
      <c r="G1182" s="3"/>
      <c r="H1182" s="3"/>
      <c r="I1182" s="3"/>
      <c r="J1182" s="3"/>
      <c r="K1182" s="3"/>
      <c r="L1182" s="3"/>
      <c r="M1182" s="3"/>
      <c r="N1182" s="3"/>
      <c r="O1182" s="3"/>
      <c r="P1182" s="3"/>
      <c r="Q1182" s="3"/>
      <c r="R1182" s="3"/>
      <c r="S1182" s="3"/>
      <c r="T1182" s="3"/>
      <c r="U1182" s="3"/>
      <c r="V1182" s="3"/>
      <c r="W1182" s="3"/>
      <c r="X1182" s="3"/>
      <c r="Y1182" s="3"/>
      <c r="Z1182" s="3"/>
      <c r="AA1182" s="3"/>
      <c r="AB1182" s="3"/>
      <c r="AC1182" s="3"/>
      <c r="AD1182" s="3"/>
      <c r="AE1182" s="3"/>
      <c r="AF1182" s="3"/>
    </row>
    <row r="1183" spans="1:32" ht="15" x14ac:dyDescent="0.25">
      <c r="A1183" s="3"/>
      <c r="B1183" s="3"/>
      <c r="C1183" s="3"/>
      <c r="D1183" s="3"/>
      <c r="E1183" s="3"/>
      <c r="F1183" s="3"/>
      <c r="G1183" s="3"/>
      <c r="H1183" s="3"/>
      <c r="I1183" s="3"/>
      <c r="J1183" s="3"/>
      <c r="K1183" s="3"/>
      <c r="L1183" s="3"/>
      <c r="M1183" s="3"/>
      <c r="N1183" s="3"/>
      <c r="O1183" s="3"/>
      <c r="P1183" s="3"/>
      <c r="Q1183" s="3"/>
      <c r="R1183" s="3"/>
      <c r="S1183" s="3"/>
      <c r="T1183" s="3"/>
      <c r="U1183" s="3"/>
      <c r="V1183" s="3"/>
      <c r="W1183" s="3"/>
      <c r="X1183" s="3"/>
      <c r="Y1183" s="3"/>
      <c r="Z1183" s="3"/>
      <c r="AA1183" s="3"/>
      <c r="AB1183" s="3"/>
      <c r="AC1183" s="3"/>
      <c r="AD1183" s="3"/>
      <c r="AE1183" s="3"/>
      <c r="AF1183" s="3"/>
    </row>
    <row r="1184" spans="1:32" ht="15" x14ac:dyDescent="0.25">
      <c r="A1184" s="3"/>
      <c r="B1184" s="3"/>
      <c r="C1184" s="3"/>
      <c r="D1184" s="3"/>
      <c r="E1184" s="3"/>
      <c r="F1184" s="3"/>
      <c r="G1184" s="3"/>
      <c r="H1184" s="3"/>
      <c r="I1184" s="3"/>
      <c r="J1184" s="3"/>
      <c r="K1184" s="3"/>
      <c r="L1184" s="3"/>
      <c r="M1184" s="3"/>
      <c r="N1184" s="3"/>
      <c r="O1184" s="3"/>
      <c r="P1184" s="3"/>
      <c r="Q1184" s="3"/>
      <c r="R1184" s="3"/>
      <c r="S1184" s="3"/>
      <c r="T1184" s="3"/>
      <c r="U1184" s="3"/>
      <c r="V1184" s="3"/>
      <c r="W1184" s="3"/>
      <c r="X1184" s="3"/>
      <c r="Y1184" s="3"/>
      <c r="Z1184" s="3"/>
      <c r="AA1184" s="3"/>
      <c r="AB1184" s="3"/>
      <c r="AC1184" s="3"/>
      <c r="AD1184" s="3"/>
      <c r="AE1184" s="3"/>
      <c r="AF1184" s="3"/>
    </row>
    <row r="1185" spans="1:32" ht="15" x14ac:dyDescent="0.25">
      <c r="A1185" s="3"/>
      <c r="B1185" s="3"/>
      <c r="C1185" s="3"/>
      <c r="D1185" s="3"/>
      <c r="E1185" s="3"/>
      <c r="F1185" s="3"/>
      <c r="G1185" s="3"/>
      <c r="H1185" s="3"/>
      <c r="I1185" s="3"/>
      <c r="J1185" s="3"/>
      <c r="K1185" s="3"/>
      <c r="L1185" s="3"/>
      <c r="M1185" s="3"/>
      <c r="N1185" s="3"/>
      <c r="O1185" s="3"/>
      <c r="P1185" s="3"/>
      <c r="Q1185" s="3"/>
      <c r="R1185" s="3"/>
      <c r="S1185" s="3"/>
      <c r="T1185" s="3"/>
      <c r="U1185" s="3"/>
      <c r="V1185" s="3"/>
      <c r="W1185" s="3"/>
      <c r="X1185" s="3"/>
      <c r="Y1185" s="3"/>
      <c r="Z1185" s="3"/>
      <c r="AA1185" s="3"/>
      <c r="AB1185" s="3"/>
      <c r="AC1185" s="3"/>
      <c r="AD1185" s="3"/>
      <c r="AE1185" s="3"/>
      <c r="AF1185" s="3"/>
    </row>
    <row r="1186" spans="1:32" ht="15" x14ac:dyDescent="0.25">
      <c r="A1186" s="3"/>
      <c r="B1186" s="3"/>
      <c r="C1186" s="3"/>
      <c r="D1186" s="3"/>
      <c r="E1186" s="3"/>
      <c r="F1186" s="3"/>
      <c r="G1186" s="3"/>
      <c r="H1186" s="3"/>
      <c r="I1186" s="3"/>
      <c r="J1186" s="3"/>
      <c r="K1186" s="3"/>
      <c r="L1186" s="3"/>
      <c r="M1186" s="3"/>
      <c r="N1186" s="3"/>
      <c r="O1186" s="3"/>
      <c r="P1186" s="3"/>
      <c r="Q1186" s="3"/>
      <c r="R1186" s="3"/>
      <c r="S1186" s="3"/>
      <c r="T1186" s="3"/>
      <c r="U1186" s="3"/>
      <c r="V1186" s="3"/>
      <c r="W1186" s="3"/>
      <c r="X1186" s="3"/>
      <c r="Y1186" s="3"/>
      <c r="Z1186" s="3"/>
      <c r="AA1186" s="3"/>
      <c r="AB1186" s="3"/>
      <c r="AC1186" s="3"/>
      <c r="AD1186" s="3"/>
      <c r="AE1186" s="3"/>
      <c r="AF1186" s="3"/>
    </row>
    <row r="1187" spans="1:32" ht="15" x14ac:dyDescent="0.25">
      <c r="A1187" s="3"/>
      <c r="B1187" s="3"/>
      <c r="C1187" s="3"/>
      <c r="D1187" s="3"/>
      <c r="E1187" s="3"/>
      <c r="F1187" s="3"/>
      <c r="G1187" s="3"/>
      <c r="H1187" s="3"/>
      <c r="I1187" s="3"/>
      <c r="J1187" s="3"/>
      <c r="K1187" s="3"/>
      <c r="L1187" s="3"/>
      <c r="M1187" s="3"/>
      <c r="N1187" s="3"/>
      <c r="O1187" s="3"/>
      <c r="P1187" s="3"/>
      <c r="Q1187" s="3"/>
      <c r="R1187" s="3"/>
      <c r="S1187" s="3"/>
      <c r="T1187" s="3"/>
      <c r="U1187" s="3"/>
      <c r="V1187" s="3"/>
      <c r="W1187" s="3"/>
      <c r="X1187" s="3"/>
      <c r="Y1187" s="3"/>
      <c r="Z1187" s="3"/>
      <c r="AA1187" s="3"/>
      <c r="AB1187" s="3"/>
      <c r="AC1187" s="3"/>
      <c r="AD1187" s="3"/>
      <c r="AE1187" s="3"/>
      <c r="AF1187" s="3"/>
    </row>
    <row r="1188" spans="1:32" ht="15" x14ac:dyDescent="0.25">
      <c r="A1188" s="3"/>
      <c r="B1188" s="3"/>
      <c r="C1188" s="3"/>
      <c r="D1188" s="3"/>
      <c r="E1188" s="3"/>
      <c r="F1188" s="3"/>
      <c r="G1188" s="3"/>
      <c r="H1188" s="3"/>
      <c r="I1188" s="3"/>
      <c r="J1188" s="3"/>
      <c r="K1188" s="3"/>
      <c r="L1188" s="3"/>
      <c r="M1188" s="3"/>
      <c r="N1188" s="3"/>
      <c r="O1188" s="3"/>
      <c r="P1188" s="3"/>
      <c r="Q1188" s="3"/>
      <c r="R1188" s="3"/>
      <c r="S1188" s="3"/>
      <c r="T1188" s="3"/>
      <c r="U1188" s="3"/>
      <c r="V1188" s="3"/>
      <c r="W1188" s="3"/>
      <c r="X1188" s="3"/>
      <c r="Y1188" s="3"/>
      <c r="Z1188" s="3"/>
      <c r="AA1188" s="3"/>
      <c r="AB1188" s="3"/>
      <c r="AC1188" s="3"/>
      <c r="AD1188" s="3"/>
      <c r="AE1188" s="3"/>
      <c r="AF1188" s="3"/>
    </row>
    <row r="1189" spans="1:32" ht="15" x14ac:dyDescent="0.25">
      <c r="A1189" s="3"/>
      <c r="B1189" s="3"/>
      <c r="C1189" s="3"/>
      <c r="D1189" s="3"/>
      <c r="E1189" s="3"/>
      <c r="F1189" s="3"/>
      <c r="G1189" s="3"/>
      <c r="H1189" s="3"/>
      <c r="I1189" s="3"/>
      <c r="J1189" s="3"/>
      <c r="K1189" s="3"/>
      <c r="L1189" s="3"/>
      <c r="M1189" s="3"/>
      <c r="N1189" s="3"/>
      <c r="O1189" s="3"/>
      <c r="P1189" s="3"/>
      <c r="Q1189" s="3"/>
      <c r="R1189" s="3"/>
      <c r="S1189" s="3"/>
      <c r="T1189" s="3"/>
      <c r="U1189" s="3"/>
      <c r="V1189" s="3"/>
      <c r="W1189" s="3"/>
      <c r="X1189" s="3"/>
      <c r="Y1189" s="3"/>
      <c r="Z1189" s="3"/>
      <c r="AA1189" s="3"/>
      <c r="AB1189" s="3"/>
      <c r="AC1189" s="3"/>
      <c r="AD1189" s="3"/>
      <c r="AE1189" s="3"/>
      <c r="AF1189" s="3"/>
    </row>
    <row r="1190" spans="1:32" ht="15" x14ac:dyDescent="0.25">
      <c r="A1190" s="3"/>
      <c r="B1190" s="3"/>
      <c r="C1190" s="3"/>
      <c r="D1190" s="3"/>
      <c r="E1190" s="3"/>
      <c r="F1190" s="3"/>
      <c r="G1190" s="3"/>
      <c r="H1190" s="3"/>
      <c r="I1190" s="3"/>
      <c r="J1190" s="3"/>
      <c r="K1190" s="3"/>
      <c r="L1190" s="3"/>
      <c r="M1190" s="3"/>
      <c r="N1190" s="3"/>
      <c r="O1190" s="3"/>
      <c r="P1190" s="3"/>
      <c r="Q1190" s="3"/>
      <c r="R1190" s="3"/>
      <c r="S1190" s="3"/>
      <c r="T1190" s="3"/>
      <c r="U1190" s="3"/>
      <c r="V1190" s="3"/>
      <c r="W1190" s="3"/>
      <c r="X1190" s="3"/>
      <c r="Y1190" s="3"/>
      <c r="Z1190" s="3"/>
      <c r="AA1190" s="3"/>
      <c r="AB1190" s="3"/>
      <c r="AC1190" s="3"/>
      <c r="AD1190" s="3"/>
      <c r="AE1190" s="3"/>
      <c r="AF1190" s="3"/>
    </row>
    <row r="1191" spans="1:32" ht="15" x14ac:dyDescent="0.25">
      <c r="A1191" s="3"/>
      <c r="B1191" s="3"/>
      <c r="C1191" s="3"/>
      <c r="D1191" s="3"/>
      <c r="E1191" s="3"/>
      <c r="F1191" s="3"/>
      <c r="G1191" s="3"/>
      <c r="H1191" s="3"/>
      <c r="I1191" s="3"/>
      <c r="J1191" s="3"/>
      <c r="K1191" s="3"/>
      <c r="L1191" s="3"/>
      <c r="M1191" s="3"/>
      <c r="N1191" s="3"/>
      <c r="O1191" s="3"/>
      <c r="P1191" s="3"/>
      <c r="Q1191" s="3"/>
      <c r="R1191" s="3"/>
      <c r="S1191" s="3"/>
      <c r="T1191" s="3"/>
      <c r="U1191" s="3"/>
      <c r="V1191" s="3"/>
      <c r="W1191" s="3"/>
      <c r="X1191" s="3"/>
      <c r="Y1191" s="3"/>
      <c r="Z1191" s="3"/>
      <c r="AA1191" s="3"/>
      <c r="AB1191" s="3"/>
      <c r="AC1191" s="3"/>
      <c r="AD1191" s="3"/>
      <c r="AE1191" s="3"/>
      <c r="AF1191" s="3"/>
    </row>
    <row r="1192" spans="1:32" ht="15" x14ac:dyDescent="0.25">
      <c r="A1192" s="3"/>
      <c r="B1192" s="3"/>
      <c r="C1192" s="3"/>
      <c r="D1192" s="3"/>
      <c r="E1192" s="3"/>
      <c r="F1192" s="3"/>
      <c r="G1192" s="3"/>
      <c r="H1192" s="3"/>
      <c r="I1192" s="3"/>
      <c r="J1192" s="3"/>
      <c r="K1192" s="3"/>
      <c r="L1192" s="3"/>
      <c r="M1192" s="3"/>
      <c r="N1192" s="3"/>
      <c r="O1192" s="3"/>
      <c r="P1192" s="3"/>
      <c r="Q1192" s="3"/>
      <c r="R1192" s="3"/>
      <c r="S1192" s="3"/>
      <c r="T1192" s="3"/>
      <c r="U1192" s="3"/>
      <c r="V1192" s="3"/>
      <c r="W1192" s="3"/>
      <c r="X1192" s="3"/>
      <c r="Y1192" s="3"/>
      <c r="Z1192" s="3"/>
      <c r="AA1192" s="3"/>
      <c r="AB1192" s="3"/>
      <c r="AC1192" s="3"/>
      <c r="AD1192" s="3"/>
      <c r="AE1192" s="3"/>
      <c r="AF1192" s="3"/>
    </row>
    <row r="1193" spans="1:32" ht="15" x14ac:dyDescent="0.25">
      <c r="A1193" s="3"/>
      <c r="B1193" s="3"/>
      <c r="C1193" s="3"/>
      <c r="D1193" s="3"/>
      <c r="E1193" s="3"/>
      <c r="F1193" s="3"/>
      <c r="G1193" s="3"/>
      <c r="H1193" s="3"/>
      <c r="I1193" s="3"/>
      <c r="J1193" s="3"/>
      <c r="K1193" s="3"/>
      <c r="L1193" s="3"/>
      <c r="M1193" s="3"/>
      <c r="N1193" s="3"/>
      <c r="O1193" s="3"/>
      <c r="P1193" s="3"/>
      <c r="Q1193" s="3"/>
      <c r="R1193" s="3"/>
      <c r="S1193" s="3"/>
      <c r="T1193" s="3"/>
      <c r="U1193" s="3"/>
      <c r="V1193" s="3"/>
      <c r="W1193" s="3"/>
      <c r="X1193" s="3"/>
      <c r="Y1193" s="3"/>
      <c r="Z1193" s="3"/>
      <c r="AA1193" s="3"/>
      <c r="AB1193" s="3"/>
      <c r="AC1193" s="3"/>
      <c r="AD1193" s="3"/>
      <c r="AE1193" s="3"/>
      <c r="AF1193" s="3"/>
    </row>
    <row r="1194" spans="1:32" ht="15" x14ac:dyDescent="0.25">
      <c r="A1194" s="3"/>
      <c r="B1194" s="3"/>
      <c r="C1194" s="3"/>
      <c r="D1194" s="3"/>
      <c r="E1194" s="3"/>
      <c r="F1194" s="3"/>
      <c r="G1194" s="3"/>
      <c r="H1194" s="3"/>
      <c r="I1194" s="3"/>
      <c r="J1194" s="3"/>
      <c r="K1194" s="3"/>
      <c r="L1194" s="3"/>
      <c r="M1194" s="3"/>
      <c r="N1194" s="3"/>
      <c r="O1194" s="3"/>
      <c r="P1194" s="3"/>
      <c r="Q1194" s="3"/>
      <c r="R1194" s="3"/>
      <c r="S1194" s="3"/>
      <c r="T1194" s="3"/>
      <c r="U1194" s="3"/>
      <c r="V1194" s="3"/>
      <c r="W1194" s="3"/>
      <c r="X1194" s="3"/>
      <c r="Y1194" s="3"/>
      <c r="Z1194" s="3"/>
      <c r="AA1194" s="3"/>
      <c r="AB1194" s="3"/>
      <c r="AC1194" s="3"/>
      <c r="AD1194" s="3"/>
      <c r="AE1194" s="3"/>
      <c r="AF1194" s="3"/>
    </row>
    <row r="1195" spans="1:32" ht="15" x14ac:dyDescent="0.25">
      <c r="A1195" s="3"/>
      <c r="B1195" s="3"/>
      <c r="C1195" s="3"/>
      <c r="D1195" s="3"/>
      <c r="E1195" s="3"/>
      <c r="F1195" s="3"/>
      <c r="G1195" s="3"/>
      <c r="H1195" s="3"/>
      <c r="I1195" s="3"/>
      <c r="J1195" s="3"/>
      <c r="K1195" s="3"/>
      <c r="L1195" s="3"/>
      <c r="M1195" s="3"/>
      <c r="N1195" s="3"/>
      <c r="O1195" s="3"/>
      <c r="P1195" s="3"/>
      <c r="Q1195" s="3"/>
      <c r="R1195" s="3"/>
      <c r="S1195" s="3"/>
      <c r="T1195" s="3"/>
      <c r="U1195" s="3"/>
      <c r="V1195" s="3"/>
      <c r="W1195" s="3"/>
      <c r="X1195" s="3"/>
      <c r="Y1195" s="3"/>
      <c r="Z1195" s="3"/>
      <c r="AA1195" s="3"/>
      <c r="AB1195" s="3"/>
      <c r="AC1195" s="3"/>
      <c r="AD1195" s="3"/>
      <c r="AE1195" s="3"/>
      <c r="AF1195" s="3"/>
    </row>
    <row r="1196" spans="1:32" ht="15" x14ac:dyDescent="0.25">
      <c r="A1196" s="3"/>
      <c r="B1196" s="3"/>
      <c r="C1196" s="3"/>
      <c r="D1196" s="3"/>
      <c r="E1196" s="3"/>
      <c r="F1196" s="3"/>
      <c r="G1196" s="3"/>
      <c r="H1196" s="3"/>
      <c r="I1196" s="3"/>
      <c r="J1196" s="3"/>
      <c r="K1196" s="3"/>
      <c r="L1196" s="3"/>
      <c r="M1196" s="3"/>
      <c r="N1196" s="3"/>
      <c r="O1196" s="3"/>
      <c r="P1196" s="3"/>
      <c r="Q1196" s="3"/>
      <c r="R1196" s="3"/>
      <c r="S1196" s="3"/>
      <c r="T1196" s="3"/>
      <c r="U1196" s="3"/>
      <c r="V1196" s="3"/>
      <c r="W1196" s="3"/>
      <c r="X1196" s="3"/>
      <c r="Y1196" s="3"/>
      <c r="Z1196" s="3"/>
      <c r="AA1196" s="3"/>
      <c r="AB1196" s="3"/>
      <c r="AC1196" s="3"/>
      <c r="AD1196" s="3"/>
      <c r="AE1196" s="3"/>
      <c r="AF1196" s="3"/>
    </row>
    <row r="1197" spans="1:32" ht="15" x14ac:dyDescent="0.25">
      <c r="A1197" s="3"/>
      <c r="B1197" s="3"/>
      <c r="C1197" s="3"/>
      <c r="D1197" s="3"/>
      <c r="E1197" s="3"/>
      <c r="F1197" s="3"/>
      <c r="G1197" s="3"/>
      <c r="H1197" s="3"/>
      <c r="I1197" s="3"/>
      <c r="J1197" s="3"/>
      <c r="K1197" s="3"/>
      <c r="L1197" s="3"/>
      <c r="M1197" s="3"/>
      <c r="N1197" s="3"/>
      <c r="O1197" s="3"/>
      <c r="P1197" s="3"/>
      <c r="Q1197" s="3"/>
      <c r="R1197" s="3"/>
      <c r="S1197" s="3"/>
      <c r="T1197" s="3"/>
      <c r="U1197" s="3"/>
      <c r="V1197" s="3"/>
      <c r="W1197" s="3"/>
      <c r="X1197" s="3"/>
      <c r="Y1197" s="3"/>
      <c r="Z1197" s="3"/>
      <c r="AA1197" s="3"/>
      <c r="AB1197" s="3"/>
      <c r="AC1197" s="3"/>
      <c r="AD1197" s="3"/>
      <c r="AE1197" s="3"/>
      <c r="AF1197" s="3"/>
    </row>
    <row r="1198" spans="1:32" ht="15" x14ac:dyDescent="0.25">
      <c r="A1198" s="3"/>
      <c r="B1198" s="3"/>
      <c r="C1198" s="3"/>
      <c r="D1198" s="3"/>
      <c r="E1198" s="3"/>
      <c r="F1198" s="3"/>
      <c r="G1198" s="3"/>
      <c r="H1198" s="3"/>
      <c r="I1198" s="3"/>
      <c r="J1198" s="3"/>
      <c r="K1198" s="3"/>
      <c r="L1198" s="3"/>
      <c r="M1198" s="3"/>
      <c r="N1198" s="3"/>
      <c r="O1198" s="3"/>
      <c r="P1198" s="3"/>
      <c r="Q1198" s="3"/>
      <c r="R1198" s="3"/>
      <c r="S1198" s="3"/>
      <c r="T1198" s="3"/>
      <c r="U1198" s="3"/>
      <c r="V1198" s="3"/>
      <c r="W1198" s="3"/>
      <c r="X1198" s="3"/>
      <c r="Y1198" s="3"/>
      <c r="Z1198" s="3"/>
      <c r="AA1198" s="3"/>
      <c r="AB1198" s="3"/>
      <c r="AC1198" s="3"/>
      <c r="AD1198" s="3"/>
      <c r="AE1198" s="3"/>
      <c r="AF1198" s="3"/>
    </row>
    <row r="1199" spans="1:32" ht="15" x14ac:dyDescent="0.25">
      <c r="A1199" s="3"/>
      <c r="B1199" s="3"/>
      <c r="C1199" s="3"/>
      <c r="D1199" s="3"/>
      <c r="E1199" s="3"/>
      <c r="F1199" s="3"/>
      <c r="G1199" s="3"/>
      <c r="H1199" s="3"/>
      <c r="I1199" s="3"/>
      <c r="J1199" s="3"/>
      <c r="K1199" s="3"/>
      <c r="L1199" s="3"/>
      <c r="M1199" s="3"/>
      <c r="N1199" s="3"/>
      <c r="O1199" s="3"/>
      <c r="P1199" s="3"/>
      <c r="Q1199" s="3"/>
      <c r="R1199" s="3"/>
      <c r="S1199" s="3"/>
      <c r="T1199" s="3"/>
      <c r="U1199" s="3"/>
      <c r="V1199" s="3"/>
      <c r="W1199" s="3"/>
      <c r="X1199" s="3"/>
      <c r="Y1199" s="3"/>
      <c r="Z1199" s="3"/>
      <c r="AA1199" s="3"/>
      <c r="AB1199" s="3"/>
      <c r="AC1199" s="3"/>
      <c r="AD1199" s="3"/>
      <c r="AE1199" s="3"/>
      <c r="AF1199" s="3"/>
    </row>
    <row r="1200" spans="1:32" ht="15" x14ac:dyDescent="0.25">
      <c r="A1200" s="3"/>
      <c r="B1200" s="3"/>
      <c r="C1200" s="3"/>
      <c r="D1200" s="3"/>
      <c r="E1200" s="3"/>
      <c r="F1200" s="3"/>
      <c r="G1200" s="3"/>
      <c r="H1200" s="3"/>
      <c r="I1200" s="3"/>
      <c r="J1200" s="3"/>
      <c r="K1200" s="3"/>
      <c r="L1200" s="3"/>
      <c r="M1200" s="3"/>
      <c r="N1200" s="3"/>
      <c r="O1200" s="3"/>
      <c r="P1200" s="3"/>
      <c r="Q1200" s="3"/>
      <c r="R1200" s="3"/>
      <c r="S1200" s="3"/>
      <c r="T1200" s="3"/>
      <c r="U1200" s="3"/>
      <c r="V1200" s="3"/>
      <c r="W1200" s="3"/>
      <c r="X1200" s="3"/>
      <c r="Y1200" s="3"/>
      <c r="Z1200" s="3"/>
      <c r="AA1200" s="3"/>
      <c r="AB1200" s="3"/>
      <c r="AC1200" s="3"/>
      <c r="AD1200" s="3"/>
      <c r="AE1200" s="3"/>
      <c r="AF1200" s="3"/>
    </row>
    <row r="1201" spans="1:32" ht="15" x14ac:dyDescent="0.25">
      <c r="A1201" s="3"/>
      <c r="B1201" s="3"/>
      <c r="C1201" s="3"/>
      <c r="D1201" s="3"/>
      <c r="E1201" s="3"/>
      <c r="F1201" s="3"/>
      <c r="G1201" s="3"/>
      <c r="H1201" s="3"/>
      <c r="I1201" s="3"/>
      <c r="J1201" s="3"/>
      <c r="K1201" s="3"/>
      <c r="L1201" s="3"/>
      <c r="M1201" s="3"/>
      <c r="N1201" s="3"/>
      <c r="O1201" s="3"/>
      <c r="P1201" s="3"/>
      <c r="Q1201" s="3"/>
      <c r="R1201" s="3"/>
      <c r="S1201" s="3"/>
      <c r="T1201" s="3"/>
      <c r="U1201" s="3"/>
      <c r="V1201" s="3"/>
      <c r="W1201" s="3"/>
      <c r="X1201" s="3"/>
      <c r="Y1201" s="3"/>
      <c r="Z1201" s="3"/>
      <c r="AA1201" s="3"/>
      <c r="AB1201" s="3"/>
      <c r="AC1201" s="3"/>
      <c r="AD1201" s="3"/>
      <c r="AE1201" s="3"/>
      <c r="AF1201" s="3"/>
    </row>
    <row r="1202" spans="1:32" ht="15" x14ac:dyDescent="0.25">
      <c r="A1202" s="3"/>
      <c r="B1202" s="3"/>
      <c r="C1202" s="3"/>
      <c r="D1202" s="3"/>
      <c r="E1202" s="3"/>
      <c r="F1202" s="3"/>
      <c r="G1202" s="3"/>
      <c r="H1202" s="3"/>
      <c r="I1202" s="3"/>
      <c r="J1202" s="3"/>
      <c r="K1202" s="3"/>
      <c r="L1202" s="3"/>
      <c r="M1202" s="3"/>
      <c r="N1202" s="3"/>
      <c r="O1202" s="3"/>
      <c r="P1202" s="3"/>
      <c r="Q1202" s="3"/>
      <c r="R1202" s="3"/>
      <c r="S1202" s="3"/>
      <c r="T1202" s="3"/>
      <c r="U1202" s="3"/>
      <c r="V1202" s="3"/>
      <c r="W1202" s="3"/>
      <c r="X1202" s="3"/>
      <c r="Y1202" s="3"/>
      <c r="Z1202" s="3"/>
      <c r="AA1202" s="3"/>
      <c r="AB1202" s="3"/>
      <c r="AC1202" s="3"/>
      <c r="AD1202" s="3"/>
      <c r="AE1202" s="3"/>
      <c r="AF1202" s="3"/>
    </row>
    <row r="1203" spans="1:32" ht="15" x14ac:dyDescent="0.25">
      <c r="A1203" s="3"/>
      <c r="B1203" s="3"/>
      <c r="C1203" s="3"/>
      <c r="D1203" s="3"/>
      <c r="E1203" s="3"/>
      <c r="F1203" s="3"/>
      <c r="G1203" s="3"/>
      <c r="H1203" s="3"/>
      <c r="I1203" s="3"/>
      <c r="J1203" s="3"/>
      <c r="K1203" s="3"/>
      <c r="L1203" s="3"/>
      <c r="M1203" s="3"/>
      <c r="N1203" s="3"/>
      <c r="O1203" s="3"/>
      <c r="P1203" s="3"/>
      <c r="Q1203" s="3"/>
      <c r="R1203" s="3"/>
      <c r="S1203" s="3"/>
      <c r="T1203" s="3"/>
      <c r="U1203" s="3"/>
      <c r="V1203" s="3"/>
      <c r="W1203" s="3"/>
      <c r="X1203" s="3"/>
      <c r="Y1203" s="3"/>
      <c r="Z1203" s="3"/>
      <c r="AA1203" s="3"/>
      <c r="AB1203" s="3"/>
      <c r="AC1203" s="3"/>
      <c r="AD1203" s="3"/>
      <c r="AE1203" s="3"/>
      <c r="AF1203" s="3"/>
    </row>
    <row r="1204" spans="1:32" ht="15" x14ac:dyDescent="0.25">
      <c r="A1204" s="3"/>
      <c r="B1204" s="3"/>
      <c r="C1204" s="3"/>
      <c r="D1204" s="3"/>
      <c r="E1204" s="3"/>
      <c r="F1204" s="3"/>
      <c r="G1204" s="3"/>
      <c r="H1204" s="3"/>
      <c r="I1204" s="3"/>
      <c r="J1204" s="3"/>
      <c r="K1204" s="3"/>
      <c r="L1204" s="3"/>
      <c r="M1204" s="3"/>
      <c r="N1204" s="3"/>
      <c r="O1204" s="3"/>
      <c r="P1204" s="3"/>
      <c r="Q1204" s="3"/>
      <c r="R1204" s="3"/>
      <c r="S1204" s="3"/>
      <c r="T1204" s="3"/>
      <c r="U1204" s="3"/>
      <c r="V1204" s="3"/>
      <c r="W1204" s="3"/>
      <c r="X1204" s="3"/>
      <c r="Y1204" s="3"/>
      <c r="Z1204" s="3"/>
      <c r="AA1204" s="3"/>
      <c r="AB1204" s="3"/>
      <c r="AC1204" s="3"/>
      <c r="AD1204" s="3"/>
      <c r="AE1204" s="3"/>
      <c r="AF1204" s="3"/>
    </row>
    <row r="1205" spans="1:32" ht="15" x14ac:dyDescent="0.25">
      <c r="A1205" s="3"/>
      <c r="B1205" s="3"/>
      <c r="C1205" s="3"/>
      <c r="D1205" s="3"/>
      <c r="E1205" s="3"/>
      <c r="F1205" s="3"/>
      <c r="G1205" s="3"/>
      <c r="H1205" s="3"/>
      <c r="I1205" s="3"/>
      <c r="J1205" s="3"/>
      <c r="K1205" s="3"/>
      <c r="L1205" s="3"/>
      <c r="M1205" s="3"/>
      <c r="N1205" s="3"/>
      <c r="O1205" s="3"/>
      <c r="P1205" s="3"/>
      <c r="Q1205" s="3"/>
      <c r="R1205" s="3"/>
      <c r="S1205" s="3"/>
      <c r="T1205" s="3"/>
      <c r="U1205" s="3"/>
      <c r="V1205" s="3"/>
      <c r="W1205" s="3"/>
      <c r="X1205" s="3"/>
      <c r="Y1205" s="3"/>
      <c r="Z1205" s="3"/>
      <c r="AA1205" s="3"/>
      <c r="AB1205" s="3"/>
      <c r="AC1205" s="3"/>
      <c r="AD1205" s="3"/>
      <c r="AE1205" s="3"/>
      <c r="AF1205" s="3"/>
    </row>
    <row r="1206" spans="1:32" ht="15" x14ac:dyDescent="0.25">
      <c r="A1206" s="3"/>
      <c r="B1206" s="3"/>
      <c r="C1206" s="3"/>
      <c r="D1206" s="3"/>
      <c r="E1206" s="3"/>
      <c r="F1206" s="3"/>
      <c r="G1206" s="3"/>
      <c r="H1206" s="3"/>
      <c r="I1206" s="3"/>
      <c r="J1206" s="3"/>
      <c r="K1206" s="3"/>
      <c r="L1206" s="3"/>
      <c r="M1206" s="3"/>
      <c r="N1206" s="3"/>
      <c r="O1206" s="3"/>
      <c r="P1206" s="3"/>
      <c r="Q1206" s="3"/>
      <c r="R1206" s="3"/>
      <c r="S1206" s="3"/>
      <c r="T1206" s="3"/>
      <c r="U1206" s="3"/>
      <c r="V1206" s="3"/>
      <c r="W1206" s="3"/>
      <c r="X1206" s="3"/>
      <c r="Y1206" s="3"/>
      <c r="Z1206" s="3"/>
      <c r="AA1206" s="3"/>
      <c r="AB1206" s="3"/>
      <c r="AC1206" s="3"/>
      <c r="AD1206" s="3"/>
      <c r="AE1206" s="3"/>
      <c r="AF1206" s="3"/>
    </row>
    <row r="1207" spans="1:32" ht="15" x14ac:dyDescent="0.25">
      <c r="A1207" s="3"/>
      <c r="B1207" s="3"/>
      <c r="C1207" s="3"/>
      <c r="D1207" s="3"/>
      <c r="E1207" s="3"/>
      <c r="F1207" s="3"/>
      <c r="G1207" s="3"/>
      <c r="H1207" s="3"/>
      <c r="I1207" s="3"/>
      <c r="J1207" s="3"/>
      <c r="K1207" s="3"/>
      <c r="L1207" s="3"/>
      <c r="M1207" s="3"/>
      <c r="N1207" s="3"/>
      <c r="O1207" s="3"/>
      <c r="P1207" s="3"/>
      <c r="Q1207" s="3"/>
      <c r="R1207" s="3"/>
      <c r="S1207" s="3"/>
      <c r="T1207" s="3"/>
      <c r="U1207" s="3"/>
      <c r="V1207" s="3"/>
      <c r="W1207" s="3"/>
      <c r="X1207" s="3"/>
      <c r="Y1207" s="3"/>
      <c r="Z1207" s="3"/>
      <c r="AA1207" s="3"/>
      <c r="AB1207" s="3"/>
      <c r="AC1207" s="3"/>
      <c r="AD1207" s="3"/>
      <c r="AE1207" s="3"/>
      <c r="AF1207" s="3"/>
    </row>
    <row r="1208" spans="1:32" ht="15" x14ac:dyDescent="0.25">
      <c r="A1208" s="3"/>
      <c r="B1208" s="3"/>
      <c r="C1208" s="3"/>
      <c r="D1208" s="3"/>
      <c r="E1208" s="3"/>
      <c r="F1208" s="3"/>
      <c r="G1208" s="3"/>
      <c r="H1208" s="3"/>
      <c r="I1208" s="3"/>
      <c r="J1208" s="3"/>
      <c r="K1208" s="3"/>
      <c r="L1208" s="3"/>
      <c r="M1208" s="3"/>
      <c r="N1208" s="3"/>
      <c r="O1208" s="3"/>
      <c r="P1208" s="3"/>
      <c r="Q1208" s="3"/>
      <c r="R1208" s="3"/>
      <c r="S1208" s="3"/>
      <c r="T1208" s="3"/>
      <c r="U1208" s="3"/>
      <c r="V1208" s="3"/>
      <c r="W1208" s="3"/>
      <c r="X1208" s="3"/>
      <c r="Y1208" s="3"/>
      <c r="Z1208" s="3"/>
      <c r="AA1208" s="3"/>
      <c r="AB1208" s="3"/>
      <c r="AC1208" s="3"/>
      <c r="AD1208" s="3"/>
      <c r="AE1208" s="3"/>
      <c r="AF1208" s="3"/>
    </row>
    <row r="1209" spans="1:32" ht="15" x14ac:dyDescent="0.25">
      <c r="A1209" s="3"/>
      <c r="B1209" s="3"/>
      <c r="C1209" s="3"/>
      <c r="D1209" s="3"/>
      <c r="E1209" s="3"/>
      <c r="F1209" s="3"/>
      <c r="G1209" s="3"/>
      <c r="H1209" s="3"/>
      <c r="I1209" s="3"/>
      <c r="J1209" s="3"/>
      <c r="K1209" s="3"/>
      <c r="L1209" s="3"/>
      <c r="M1209" s="3"/>
      <c r="N1209" s="3"/>
      <c r="O1209" s="3"/>
      <c r="P1209" s="3"/>
      <c r="Q1209" s="3"/>
      <c r="R1209" s="3"/>
      <c r="S1209" s="3"/>
      <c r="T1209" s="3"/>
      <c r="U1209" s="3"/>
      <c r="V1209" s="3"/>
      <c r="W1209" s="3"/>
      <c r="X1209" s="3"/>
      <c r="Y1209" s="3"/>
      <c r="Z1209" s="3"/>
      <c r="AA1209" s="3"/>
      <c r="AB1209" s="3"/>
      <c r="AC1209" s="3"/>
      <c r="AD1209" s="3"/>
      <c r="AE1209" s="3"/>
      <c r="AF1209" s="3"/>
    </row>
    <row r="1210" spans="1:32" ht="15" x14ac:dyDescent="0.25">
      <c r="A1210" s="3"/>
      <c r="B1210" s="3"/>
      <c r="C1210" s="3"/>
      <c r="D1210" s="3"/>
      <c r="E1210" s="3"/>
      <c r="F1210" s="3"/>
      <c r="G1210" s="3"/>
      <c r="H1210" s="3"/>
      <c r="I1210" s="3"/>
      <c r="J1210" s="3"/>
      <c r="K1210" s="3"/>
      <c r="L1210" s="3"/>
      <c r="M1210" s="3"/>
      <c r="N1210" s="3"/>
      <c r="O1210" s="3"/>
      <c r="P1210" s="3"/>
      <c r="Q1210" s="3"/>
      <c r="R1210" s="3"/>
      <c r="S1210" s="3"/>
      <c r="T1210" s="3"/>
      <c r="U1210" s="3"/>
      <c r="V1210" s="3"/>
      <c r="W1210" s="3"/>
      <c r="X1210" s="3"/>
      <c r="Y1210" s="3"/>
      <c r="Z1210" s="3"/>
      <c r="AA1210" s="3"/>
      <c r="AB1210" s="3"/>
      <c r="AC1210" s="3"/>
      <c r="AD1210" s="3"/>
      <c r="AE1210" s="3"/>
      <c r="AF1210" s="3"/>
    </row>
    <row r="1211" spans="1:32" ht="15" x14ac:dyDescent="0.25">
      <c r="A1211" s="3"/>
      <c r="B1211" s="3"/>
      <c r="C1211" s="3"/>
      <c r="D1211" s="3"/>
      <c r="E1211" s="3"/>
      <c r="F1211" s="3"/>
      <c r="G1211" s="3"/>
      <c r="H1211" s="3"/>
      <c r="I1211" s="3"/>
      <c r="J1211" s="3"/>
      <c r="K1211" s="3"/>
      <c r="L1211" s="3"/>
      <c r="M1211" s="3"/>
      <c r="N1211" s="3"/>
      <c r="O1211" s="3"/>
      <c r="P1211" s="3"/>
      <c r="Q1211" s="3"/>
      <c r="R1211" s="3"/>
      <c r="S1211" s="3"/>
      <c r="T1211" s="3"/>
      <c r="U1211" s="3"/>
      <c r="V1211" s="3"/>
      <c r="W1211" s="3"/>
      <c r="X1211" s="3"/>
      <c r="Y1211" s="3"/>
      <c r="Z1211" s="3"/>
      <c r="AA1211" s="3"/>
      <c r="AB1211" s="3"/>
      <c r="AC1211" s="3"/>
      <c r="AD1211" s="3"/>
      <c r="AE1211" s="3"/>
      <c r="AF1211" s="3"/>
    </row>
    <row r="1212" spans="1:32" ht="15" x14ac:dyDescent="0.25">
      <c r="A1212" s="3"/>
      <c r="B1212" s="3"/>
      <c r="C1212" s="3"/>
      <c r="D1212" s="3"/>
      <c r="E1212" s="3"/>
      <c r="F1212" s="3"/>
      <c r="G1212" s="3"/>
      <c r="H1212" s="3"/>
      <c r="I1212" s="3"/>
      <c r="J1212" s="3"/>
      <c r="K1212" s="3"/>
      <c r="L1212" s="3"/>
      <c r="M1212" s="3"/>
      <c r="N1212" s="3"/>
      <c r="O1212" s="3"/>
      <c r="P1212" s="3"/>
      <c r="Q1212" s="3"/>
      <c r="R1212" s="3"/>
      <c r="S1212" s="3"/>
      <c r="T1212" s="3"/>
      <c r="U1212" s="3"/>
      <c r="V1212" s="3"/>
      <c r="W1212" s="3"/>
      <c r="X1212" s="3"/>
      <c r="Y1212" s="3"/>
      <c r="Z1212" s="3"/>
      <c r="AA1212" s="3"/>
      <c r="AB1212" s="3"/>
      <c r="AC1212" s="3"/>
      <c r="AD1212" s="3"/>
      <c r="AE1212" s="3"/>
      <c r="AF1212" s="3"/>
    </row>
    <row r="1213" spans="1:32" ht="15" x14ac:dyDescent="0.25">
      <c r="A1213" s="3"/>
      <c r="B1213" s="3"/>
      <c r="C1213" s="3"/>
      <c r="D1213" s="3"/>
      <c r="E1213" s="3"/>
      <c r="F1213" s="3"/>
      <c r="G1213" s="3"/>
      <c r="H1213" s="3"/>
      <c r="I1213" s="3"/>
      <c r="J1213" s="3"/>
      <c r="K1213" s="3"/>
      <c r="L1213" s="3"/>
      <c r="M1213" s="3"/>
      <c r="N1213" s="3"/>
      <c r="O1213" s="3"/>
      <c r="P1213" s="3"/>
      <c r="Q1213" s="3"/>
      <c r="R1213" s="3"/>
      <c r="S1213" s="3"/>
      <c r="T1213" s="3"/>
      <c r="U1213" s="3"/>
      <c r="V1213" s="3"/>
      <c r="W1213" s="3"/>
      <c r="X1213" s="3"/>
      <c r="Y1213" s="3"/>
      <c r="Z1213" s="3"/>
      <c r="AA1213" s="3"/>
      <c r="AB1213" s="3"/>
      <c r="AC1213" s="3"/>
      <c r="AD1213" s="3"/>
      <c r="AE1213" s="3"/>
      <c r="AF1213" s="3"/>
    </row>
    <row r="1214" spans="1:32" ht="15" x14ac:dyDescent="0.25">
      <c r="A1214" s="3"/>
      <c r="B1214" s="3"/>
      <c r="C1214" s="3"/>
      <c r="D1214" s="3"/>
      <c r="E1214" s="3"/>
      <c r="F1214" s="3"/>
      <c r="G1214" s="3"/>
      <c r="H1214" s="3"/>
      <c r="I1214" s="3"/>
      <c r="J1214" s="3"/>
      <c r="K1214" s="3"/>
      <c r="L1214" s="3"/>
      <c r="M1214" s="3"/>
      <c r="N1214" s="3"/>
      <c r="O1214" s="3"/>
      <c r="P1214" s="3"/>
      <c r="Q1214" s="3"/>
      <c r="R1214" s="3"/>
      <c r="S1214" s="3"/>
      <c r="T1214" s="3"/>
      <c r="U1214" s="3"/>
      <c r="V1214" s="3"/>
      <c r="W1214" s="3"/>
      <c r="X1214" s="3"/>
      <c r="Y1214" s="3"/>
      <c r="Z1214" s="3"/>
      <c r="AA1214" s="3"/>
      <c r="AB1214" s="3"/>
      <c r="AC1214" s="3"/>
      <c r="AD1214" s="3"/>
      <c r="AE1214" s="3"/>
      <c r="AF1214" s="3"/>
    </row>
    <row r="1215" spans="1:32" ht="15" x14ac:dyDescent="0.25">
      <c r="A1215" s="3"/>
      <c r="B1215" s="3"/>
      <c r="C1215" s="3"/>
      <c r="D1215" s="3"/>
      <c r="E1215" s="3"/>
      <c r="F1215" s="3"/>
      <c r="G1215" s="3"/>
      <c r="H1215" s="3"/>
      <c r="I1215" s="3"/>
      <c r="J1215" s="3"/>
      <c r="K1215" s="3"/>
      <c r="L1215" s="3"/>
      <c r="M1215" s="3"/>
      <c r="N1215" s="3"/>
      <c r="O1215" s="3"/>
      <c r="P1215" s="3"/>
      <c r="Q1215" s="3"/>
      <c r="R1215" s="3"/>
      <c r="S1215" s="3"/>
      <c r="T1215" s="3"/>
      <c r="U1215" s="3"/>
      <c r="V1215" s="3"/>
      <c r="W1215" s="3"/>
      <c r="X1215" s="3"/>
      <c r="Y1215" s="3"/>
      <c r="Z1215" s="3"/>
      <c r="AA1215" s="3"/>
      <c r="AB1215" s="3"/>
      <c r="AC1215" s="3"/>
      <c r="AD1215" s="3"/>
      <c r="AE1215" s="3"/>
      <c r="AF1215" s="3"/>
    </row>
    <row r="1216" spans="1:32" ht="15" x14ac:dyDescent="0.25">
      <c r="A1216" s="3"/>
      <c r="B1216" s="3"/>
      <c r="C1216" s="3"/>
      <c r="D1216" s="3"/>
      <c r="E1216" s="3"/>
      <c r="F1216" s="3"/>
      <c r="G1216" s="3"/>
      <c r="H1216" s="3"/>
      <c r="I1216" s="3"/>
      <c r="J1216" s="3"/>
      <c r="K1216" s="3"/>
      <c r="L1216" s="3"/>
      <c r="M1216" s="3"/>
      <c r="N1216" s="3"/>
      <c r="O1216" s="3"/>
      <c r="P1216" s="3"/>
      <c r="Q1216" s="3"/>
      <c r="R1216" s="3"/>
      <c r="S1216" s="3"/>
      <c r="T1216" s="3"/>
      <c r="U1216" s="3"/>
      <c r="V1216" s="3"/>
      <c r="W1216" s="3"/>
      <c r="X1216" s="3"/>
      <c r="Y1216" s="3"/>
      <c r="Z1216" s="3"/>
      <c r="AA1216" s="3"/>
      <c r="AB1216" s="3"/>
      <c r="AC1216" s="3"/>
      <c r="AD1216" s="3"/>
      <c r="AE1216" s="3"/>
      <c r="AF1216" s="3"/>
    </row>
    <row r="1217" spans="1:32" ht="15" x14ac:dyDescent="0.25">
      <c r="A1217" s="3"/>
      <c r="B1217" s="3"/>
      <c r="C1217" s="3"/>
      <c r="D1217" s="3"/>
      <c r="E1217" s="3"/>
      <c r="F1217" s="3"/>
      <c r="G1217" s="3"/>
      <c r="H1217" s="3"/>
      <c r="I1217" s="3"/>
      <c r="J1217" s="3"/>
      <c r="K1217" s="3"/>
      <c r="L1217" s="3"/>
      <c r="M1217" s="3"/>
      <c r="N1217" s="3"/>
      <c r="O1217" s="3"/>
      <c r="P1217" s="3"/>
      <c r="Q1217" s="3"/>
      <c r="R1217" s="3"/>
      <c r="S1217" s="3"/>
      <c r="T1217" s="3"/>
      <c r="U1217" s="3"/>
      <c r="V1217" s="3"/>
      <c r="W1217" s="3"/>
      <c r="X1217" s="3"/>
      <c r="Y1217" s="3"/>
      <c r="Z1217" s="3"/>
      <c r="AA1217" s="3"/>
      <c r="AB1217" s="3"/>
      <c r="AC1217" s="3"/>
      <c r="AD1217" s="3"/>
      <c r="AE1217" s="3"/>
      <c r="AF1217" s="3"/>
    </row>
    <row r="1218" spans="1:32" ht="15" x14ac:dyDescent="0.25">
      <c r="A1218" s="3"/>
      <c r="B1218" s="3"/>
      <c r="C1218" s="3"/>
      <c r="D1218" s="3"/>
      <c r="E1218" s="3"/>
      <c r="F1218" s="3"/>
      <c r="G1218" s="3"/>
      <c r="H1218" s="3"/>
      <c r="I1218" s="3"/>
      <c r="J1218" s="3"/>
      <c r="K1218" s="3"/>
      <c r="L1218" s="3"/>
      <c r="M1218" s="3"/>
      <c r="N1218" s="3"/>
      <c r="O1218" s="3"/>
      <c r="P1218" s="3"/>
      <c r="Q1218" s="3"/>
      <c r="R1218" s="3"/>
      <c r="S1218" s="3"/>
      <c r="T1218" s="3"/>
      <c r="U1218" s="3"/>
      <c r="V1218" s="3"/>
      <c r="W1218" s="3"/>
      <c r="X1218" s="3"/>
      <c r="Y1218" s="3"/>
      <c r="Z1218" s="3"/>
      <c r="AA1218" s="3"/>
      <c r="AB1218" s="3"/>
      <c r="AC1218" s="3"/>
      <c r="AD1218" s="3"/>
      <c r="AE1218" s="3"/>
      <c r="AF1218" s="3"/>
    </row>
    <row r="1219" spans="1:32" ht="15" x14ac:dyDescent="0.25">
      <c r="A1219" s="3"/>
      <c r="B1219" s="3"/>
      <c r="C1219" s="3"/>
      <c r="D1219" s="3"/>
      <c r="E1219" s="3"/>
      <c r="F1219" s="3"/>
      <c r="G1219" s="3"/>
      <c r="H1219" s="3"/>
      <c r="I1219" s="3"/>
      <c r="J1219" s="3"/>
      <c r="K1219" s="3"/>
      <c r="L1219" s="3"/>
      <c r="M1219" s="3"/>
      <c r="N1219" s="3"/>
      <c r="O1219" s="3"/>
      <c r="P1219" s="3"/>
      <c r="Q1219" s="3"/>
      <c r="R1219" s="3"/>
      <c r="S1219" s="3"/>
      <c r="T1219" s="3"/>
      <c r="U1219" s="3"/>
      <c r="V1219" s="3"/>
      <c r="W1219" s="3"/>
      <c r="X1219" s="3"/>
      <c r="Y1219" s="3"/>
      <c r="Z1219" s="3"/>
      <c r="AA1219" s="3"/>
      <c r="AB1219" s="3"/>
      <c r="AC1219" s="3"/>
      <c r="AD1219" s="3"/>
      <c r="AE1219" s="3"/>
      <c r="AF1219" s="3"/>
    </row>
    <row r="1220" spans="1:32" ht="15" x14ac:dyDescent="0.25">
      <c r="A1220" s="3"/>
      <c r="B1220" s="3"/>
      <c r="C1220" s="3"/>
      <c r="D1220" s="3"/>
      <c r="E1220" s="3"/>
      <c r="F1220" s="3"/>
      <c r="G1220" s="3"/>
      <c r="H1220" s="3"/>
      <c r="I1220" s="3"/>
      <c r="J1220" s="3"/>
      <c r="K1220" s="3"/>
      <c r="L1220" s="3"/>
      <c r="M1220" s="3"/>
      <c r="N1220" s="3"/>
      <c r="O1220" s="3"/>
      <c r="P1220" s="3"/>
      <c r="Q1220" s="3"/>
      <c r="R1220" s="3"/>
      <c r="S1220" s="3"/>
      <c r="T1220" s="3"/>
      <c r="U1220" s="3"/>
      <c r="V1220" s="3"/>
      <c r="W1220" s="3"/>
      <c r="X1220" s="3"/>
      <c r="Y1220" s="3"/>
      <c r="Z1220" s="3"/>
      <c r="AA1220" s="3"/>
      <c r="AB1220" s="3"/>
      <c r="AC1220" s="3"/>
      <c r="AD1220" s="3"/>
      <c r="AE1220" s="3"/>
      <c r="AF1220" s="3"/>
    </row>
    <row r="1221" spans="1:32" ht="15" x14ac:dyDescent="0.25">
      <c r="A1221" s="3"/>
      <c r="B1221" s="3"/>
      <c r="C1221" s="3"/>
      <c r="D1221" s="3"/>
      <c r="E1221" s="3"/>
      <c r="F1221" s="3"/>
      <c r="G1221" s="3"/>
      <c r="H1221" s="3"/>
      <c r="I1221" s="3"/>
      <c r="J1221" s="3"/>
      <c r="K1221" s="3"/>
      <c r="L1221" s="3"/>
      <c r="M1221" s="3"/>
      <c r="N1221" s="3"/>
      <c r="O1221" s="3"/>
      <c r="P1221" s="3"/>
      <c r="Q1221" s="3"/>
      <c r="R1221" s="3"/>
      <c r="S1221" s="3"/>
      <c r="T1221" s="3"/>
      <c r="U1221" s="3"/>
      <c r="V1221" s="3"/>
      <c r="W1221" s="3"/>
      <c r="X1221" s="3"/>
      <c r="Y1221" s="3"/>
      <c r="Z1221" s="3"/>
      <c r="AA1221" s="3"/>
      <c r="AB1221" s="3"/>
      <c r="AC1221" s="3"/>
      <c r="AD1221" s="3"/>
      <c r="AE1221" s="3"/>
      <c r="AF1221" s="3"/>
    </row>
    <row r="1222" spans="1:32" ht="15" x14ac:dyDescent="0.25">
      <c r="A1222" s="3"/>
      <c r="B1222" s="3"/>
      <c r="C1222" s="3"/>
      <c r="D1222" s="3"/>
      <c r="E1222" s="3"/>
      <c r="F1222" s="3"/>
      <c r="G1222" s="3"/>
      <c r="H1222" s="3"/>
      <c r="I1222" s="3"/>
      <c r="J1222" s="3"/>
      <c r="K1222" s="3"/>
      <c r="L1222" s="3"/>
      <c r="M1222" s="3"/>
      <c r="N1222" s="3"/>
      <c r="O1222" s="3"/>
      <c r="P1222" s="3"/>
      <c r="Q1222" s="3"/>
      <c r="R1222" s="3"/>
      <c r="S1222" s="3"/>
      <c r="T1222" s="3"/>
      <c r="U1222" s="3"/>
      <c r="V1222" s="3"/>
      <c r="W1222" s="3"/>
      <c r="X1222" s="3"/>
      <c r="Y1222" s="3"/>
      <c r="Z1222" s="3"/>
      <c r="AA1222" s="3"/>
      <c r="AB1222" s="3"/>
      <c r="AC1222" s="3"/>
      <c r="AD1222" s="3"/>
      <c r="AE1222" s="3"/>
      <c r="AF1222" s="3"/>
    </row>
    <row r="1223" spans="1:32" ht="15" x14ac:dyDescent="0.25">
      <c r="A1223" s="3"/>
      <c r="B1223" s="3"/>
      <c r="C1223" s="3"/>
      <c r="D1223" s="3"/>
      <c r="E1223" s="3"/>
      <c r="F1223" s="3"/>
      <c r="G1223" s="3"/>
      <c r="H1223" s="3"/>
      <c r="I1223" s="3"/>
      <c r="J1223" s="3"/>
      <c r="K1223" s="3"/>
      <c r="L1223" s="3"/>
      <c r="M1223" s="3"/>
      <c r="N1223" s="3"/>
      <c r="O1223" s="3"/>
      <c r="P1223" s="3"/>
      <c r="Q1223" s="3"/>
      <c r="R1223" s="3"/>
      <c r="S1223" s="3"/>
      <c r="T1223" s="3"/>
      <c r="U1223" s="3"/>
      <c r="V1223" s="3"/>
      <c r="W1223" s="3"/>
      <c r="X1223" s="3"/>
      <c r="Y1223" s="3"/>
      <c r="Z1223" s="3"/>
      <c r="AA1223" s="3"/>
      <c r="AB1223" s="3"/>
      <c r="AC1223" s="3"/>
      <c r="AD1223" s="3"/>
      <c r="AE1223" s="3"/>
      <c r="AF1223" s="3"/>
    </row>
    <row r="1224" spans="1:32" ht="15" x14ac:dyDescent="0.25">
      <c r="A1224" s="3"/>
      <c r="B1224" s="3"/>
      <c r="C1224" s="3"/>
      <c r="D1224" s="3"/>
      <c r="E1224" s="3"/>
      <c r="F1224" s="3"/>
      <c r="G1224" s="3"/>
      <c r="H1224" s="3"/>
      <c r="I1224" s="3"/>
      <c r="J1224" s="3"/>
      <c r="K1224" s="3"/>
      <c r="L1224" s="3"/>
      <c r="M1224" s="3"/>
      <c r="N1224" s="3"/>
      <c r="O1224" s="3"/>
      <c r="P1224" s="3"/>
      <c r="Q1224" s="3"/>
      <c r="R1224" s="3"/>
      <c r="S1224" s="3"/>
      <c r="T1224" s="3"/>
      <c r="U1224" s="3"/>
      <c r="V1224" s="3"/>
      <c r="W1224" s="3"/>
      <c r="X1224" s="3"/>
      <c r="Y1224" s="3"/>
      <c r="Z1224" s="3"/>
      <c r="AA1224" s="3"/>
      <c r="AB1224" s="3"/>
      <c r="AC1224" s="3"/>
      <c r="AD1224" s="3"/>
      <c r="AE1224" s="3"/>
      <c r="AF1224" s="3"/>
    </row>
    <row r="1225" spans="1:32" ht="15" x14ac:dyDescent="0.25">
      <c r="A1225" s="3"/>
      <c r="B1225" s="3"/>
      <c r="C1225" s="3"/>
      <c r="D1225" s="3"/>
      <c r="E1225" s="3"/>
      <c r="F1225" s="3"/>
      <c r="G1225" s="3"/>
      <c r="H1225" s="3"/>
      <c r="I1225" s="3"/>
      <c r="J1225" s="3"/>
      <c r="K1225" s="3"/>
      <c r="L1225" s="3"/>
      <c r="M1225" s="3"/>
      <c r="N1225" s="3"/>
      <c r="O1225" s="3"/>
      <c r="P1225" s="3"/>
      <c r="Q1225" s="3"/>
      <c r="R1225" s="3"/>
      <c r="S1225" s="3"/>
      <c r="T1225" s="3"/>
      <c r="U1225" s="3"/>
      <c r="V1225" s="3"/>
      <c r="W1225" s="3"/>
      <c r="X1225" s="3"/>
      <c r="Y1225" s="3"/>
      <c r="Z1225" s="3"/>
      <c r="AA1225" s="3"/>
      <c r="AB1225" s="3"/>
      <c r="AC1225" s="3"/>
      <c r="AD1225" s="3"/>
      <c r="AE1225" s="3"/>
      <c r="AF1225" s="3"/>
    </row>
    <row r="1226" spans="1:32" ht="15" x14ac:dyDescent="0.25">
      <c r="A1226" s="3"/>
      <c r="B1226" s="3"/>
      <c r="C1226" s="3"/>
      <c r="D1226" s="3"/>
      <c r="E1226" s="3"/>
      <c r="F1226" s="3"/>
      <c r="G1226" s="3"/>
      <c r="H1226" s="3"/>
      <c r="I1226" s="3"/>
      <c r="J1226" s="3"/>
      <c r="K1226" s="3"/>
      <c r="L1226" s="3"/>
      <c r="M1226" s="3"/>
      <c r="N1226" s="3"/>
      <c r="O1226" s="3"/>
      <c r="P1226" s="3"/>
      <c r="Q1226" s="3"/>
      <c r="R1226" s="3"/>
      <c r="S1226" s="3"/>
      <c r="T1226" s="3"/>
      <c r="U1226" s="3"/>
      <c r="V1226" s="3"/>
      <c r="W1226" s="3"/>
      <c r="X1226" s="3"/>
      <c r="Y1226" s="3"/>
      <c r="Z1226" s="3"/>
      <c r="AA1226" s="3"/>
      <c r="AB1226" s="3"/>
      <c r="AC1226" s="3"/>
      <c r="AD1226" s="3"/>
      <c r="AE1226" s="3"/>
      <c r="AF1226" s="3"/>
    </row>
    <row r="1227" spans="1:32" ht="15" x14ac:dyDescent="0.25">
      <c r="A1227" s="3"/>
      <c r="B1227" s="3"/>
      <c r="C1227" s="3"/>
      <c r="D1227" s="3"/>
      <c r="E1227" s="3"/>
      <c r="F1227" s="3"/>
      <c r="G1227" s="3"/>
      <c r="H1227" s="3"/>
      <c r="I1227" s="3"/>
      <c r="J1227" s="3"/>
      <c r="K1227" s="3"/>
      <c r="L1227" s="3"/>
      <c r="M1227" s="3"/>
      <c r="N1227" s="3"/>
      <c r="O1227" s="3"/>
      <c r="P1227" s="3"/>
      <c r="Q1227" s="3"/>
      <c r="R1227" s="3"/>
      <c r="S1227" s="3"/>
      <c r="T1227" s="3"/>
      <c r="U1227" s="3"/>
      <c r="V1227" s="3"/>
      <c r="W1227" s="3"/>
      <c r="X1227" s="3"/>
      <c r="Y1227" s="3"/>
      <c r="Z1227" s="3"/>
      <c r="AA1227" s="3"/>
      <c r="AB1227" s="3"/>
      <c r="AC1227" s="3"/>
      <c r="AD1227" s="3"/>
      <c r="AE1227" s="3"/>
      <c r="AF1227" s="3"/>
    </row>
    <row r="1228" spans="1:32" ht="15" x14ac:dyDescent="0.25">
      <c r="A1228" s="3"/>
      <c r="B1228" s="3"/>
      <c r="C1228" s="3"/>
      <c r="D1228" s="3"/>
      <c r="E1228" s="3"/>
      <c r="F1228" s="3"/>
      <c r="G1228" s="3"/>
      <c r="H1228" s="3"/>
      <c r="I1228" s="3"/>
      <c r="J1228" s="3"/>
      <c r="K1228" s="3"/>
      <c r="L1228" s="3"/>
      <c r="M1228" s="3"/>
      <c r="N1228" s="3"/>
      <c r="O1228" s="3"/>
      <c r="P1228" s="3"/>
      <c r="Q1228" s="3"/>
      <c r="R1228" s="3"/>
      <c r="S1228" s="3"/>
      <c r="T1228" s="3"/>
      <c r="U1228" s="3"/>
      <c r="V1228" s="3"/>
      <c r="W1228" s="3"/>
      <c r="X1228" s="3"/>
      <c r="Y1228" s="3"/>
      <c r="Z1228" s="3"/>
      <c r="AA1228" s="3"/>
      <c r="AB1228" s="3"/>
      <c r="AC1228" s="3"/>
      <c r="AD1228" s="3"/>
      <c r="AE1228" s="3"/>
      <c r="AF1228" s="3"/>
    </row>
    <row r="1229" spans="1:32" ht="15" x14ac:dyDescent="0.25">
      <c r="A1229" s="3"/>
      <c r="B1229" s="3"/>
      <c r="C1229" s="3"/>
      <c r="D1229" s="3"/>
      <c r="E1229" s="3"/>
      <c r="F1229" s="3"/>
      <c r="G1229" s="3"/>
      <c r="H1229" s="3"/>
      <c r="I1229" s="3"/>
      <c r="J1229" s="3"/>
      <c r="K1229" s="3"/>
      <c r="L1229" s="3"/>
      <c r="M1229" s="3"/>
      <c r="N1229" s="3"/>
      <c r="O1229" s="3"/>
      <c r="P1229" s="3"/>
      <c r="Q1229" s="3"/>
      <c r="R1229" s="3"/>
      <c r="S1229" s="3"/>
      <c r="T1229" s="3"/>
      <c r="U1229" s="3"/>
      <c r="V1229" s="3"/>
      <c r="W1229" s="3"/>
      <c r="X1229" s="3"/>
      <c r="Y1229" s="3"/>
      <c r="Z1229" s="3"/>
      <c r="AA1229" s="3"/>
      <c r="AB1229" s="3"/>
      <c r="AC1229" s="3"/>
      <c r="AD1229" s="3"/>
      <c r="AE1229" s="3"/>
      <c r="AF1229" s="3"/>
    </row>
    <row r="1230" spans="1:32" ht="15" x14ac:dyDescent="0.25">
      <c r="A1230" s="3"/>
      <c r="B1230" s="3"/>
      <c r="C1230" s="3"/>
      <c r="D1230" s="3"/>
      <c r="E1230" s="3"/>
      <c r="F1230" s="3"/>
      <c r="G1230" s="3"/>
      <c r="H1230" s="3"/>
      <c r="I1230" s="3"/>
      <c r="J1230" s="3"/>
      <c r="K1230" s="3"/>
      <c r="L1230" s="3"/>
      <c r="M1230" s="3"/>
      <c r="N1230" s="3"/>
      <c r="O1230" s="3"/>
      <c r="P1230" s="3"/>
      <c r="Q1230" s="3"/>
      <c r="R1230" s="3"/>
      <c r="S1230" s="3"/>
      <c r="T1230" s="3"/>
      <c r="U1230" s="3"/>
      <c r="V1230" s="3"/>
      <c r="W1230" s="3"/>
      <c r="X1230" s="3"/>
      <c r="Y1230" s="3"/>
      <c r="Z1230" s="3"/>
      <c r="AA1230" s="3"/>
      <c r="AB1230" s="3"/>
      <c r="AC1230" s="3"/>
      <c r="AD1230" s="3"/>
      <c r="AE1230" s="3"/>
      <c r="AF1230" s="3"/>
    </row>
    <row r="1231" spans="1:32" ht="15" x14ac:dyDescent="0.25">
      <c r="A1231" s="3"/>
      <c r="B1231" s="3"/>
      <c r="C1231" s="3"/>
      <c r="D1231" s="3"/>
      <c r="E1231" s="3"/>
      <c r="F1231" s="3"/>
      <c r="G1231" s="3"/>
      <c r="H1231" s="3"/>
      <c r="I1231" s="3"/>
      <c r="J1231" s="3"/>
      <c r="K1231" s="3"/>
      <c r="L1231" s="3"/>
      <c r="M1231" s="3"/>
      <c r="N1231" s="3"/>
      <c r="O1231" s="3"/>
      <c r="P1231" s="3"/>
      <c r="Q1231" s="3"/>
      <c r="R1231" s="3"/>
      <c r="S1231" s="3"/>
      <c r="T1231" s="3"/>
      <c r="U1231" s="3"/>
      <c r="V1231" s="3"/>
      <c r="W1231" s="3"/>
      <c r="X1231" s="3"/>
      <c r="Y1231" s="3"/>
      <c r="Z1231" s="3"/>
      <c r="AA1231" s="3"/>
      <c r="AB1231" s="3"/>
      <c r="AC1231" s="3"/>
      <c r="AD1231" s="3"/>
      <c r="AE1231" s="3"/>
      <c r="AF1231" s="3"/>
    </row>
  </sheetData>
  <mergeCells count="9">
    <mergeCell ref="C235:F235"/>
    <mergeCell ref="G235:L235"/>
    <mergeCell ref="M235:R235"/>
    <mergeCell ref="B2:H2"/>
    <mergeCell ref="J2:K2"/>
    <mergeCell ref="B53:E53"/>
    <mergeCell ref="C222:F222"/>
    <mergeCell ref="G222:L222"/>
    <mergeCell ref="M222:R222"/>
  </mergeCells>
  <hyperlinks>
    <hyperlink ref="B51" r:id="rId1" xr:uid="{B0FE00D2-CB95-4A5F-8A88-E78B53E10A89}"/>
    <hyperlink ref="B52" r:id="rId2" xr:uid="{3036E4D5-BE84-4A61-8BD0-1BE39E564F84}"/>
    <hyperlink ref="B126" r:id="rId3" xr:uid="{7374726A-0B0D-4EB8-B918-B2EE7C9F8520}"/>
  </hyperlinks>
  <pageMargins left="0.7" right="0.7" top="0.75" bottom="0.75" header="0.3" footer="0.3"/>
  <legacyDrawing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21343-B3FF-4BA0-9945-26571D56FFED}">
  <sheetPr>
    <outlinePr summaryBelow="0" summaryRight="0"/>
  </sheetPr>
  <dimension ref="A1:Z959"/>
  <sheetViews>
    <sheetView workbookViewId="0"/>
  </sheetViews>
  <sheetFormatPr defaultColWidth="16.83203125" defaultRowHeight="11.25" x14ac:dyDescent="0.2"/>
  <cols>
    <col min="1" max="1" width="5.1640625" style="2457" bestFit="1" customWidth="1"/>
    <col min="2" max="2" width="50" style="2457" bestFit="1" customWidth="1"/>
    <col min="3" max="3" width="36.33203125" style="2457" bestFit="1" customWidth="1"/>
    <col min="4" max="4" width="31.83203125" style="2457" bestFit="1" customWidth="1"/>
    <col min="5" max="5" width="12.5" style="2457" bestFit="1" customWidth="1"/>
    <col min="6" max="6" width="6.33203125" style="2457" bestFit="1" customWidth="1"/>
    <col min="7" max="7" width="12.6640625" style="2457" bestFit="1" customWidth="1"/>
    <col min="8" max="16384" width="16.83203125" style="2457"/>
  </cols>
  <sheetData>
    <row r="1" spans="1:26" ht="12" x14ac:dyDescent="0.2">
      <c r="A1" s="2455" t="s">
        <v>835</v>
      </c>
      <c r="B1" s="2455" t="s">
        <v>2187</v>
      </c>
      <c r="C1" s="2455" t="s">
        <v>2188</v>
      </c>
      <c r="D1" s="2455" t="s">
        <v>2189</v>
      </c>
      <c r="E1" s="2455" t="s">
        <v>189</v>
      </c>
      <c r="F1" s="2455" t="s">
        <v>688</v>
      </c>
      <c r="G1" s="2456" t="s">
        <v>2190</v>
      </c>
      <c r="J1" s="2455"/>
      <c r="K1" s="2455"/>
      <c r="L1" s="2455"/>
      <c r="M1" s="2455"/>
      <c r="N1" s="2455"/>
      <c r="O1" s="2455"/>
      <c r="P1" s="2455"/>
      <c r="Q1" s="2455"/>
      <c r="R1" s="2455"/>
      <c r="S1" s="2455"/>
      <c r="T1" s="2455"/>
      <c r="U1" s="2455"/>
      <c r="V1" s="2455"/>
      <c r="W1" s="2455"/>
      <c r="X1" s="2455"/>
      <c r="Y1" s="2455"/>
      <c r="Z1" s="2455"/>
    </row>
    <row r="2" spans="1:26" ht="12" x14ac:dyDescent="0.2">
      <c r="A2" s="2455" t="str">
        <f>MID(Summary!$B$1,FIND(" ",Summary!$B$1,1)+1,4)</f>
        <v>2011</v>
      </c>
      <c r="B2" s="2455" t="s">
        <v>2191</v>
      </c>
      <c r="C2" s="2455" t="s">
        <v>63</v>
      </c>
      <c r="D2" s="2455" t="s">
        <v>53</v>
      </c>
      <c r="E2" s="2455" t="s">
        <v>3</v>
      </c>
      <c r="F2" s="2455" t="s">
        <v>2192</v>
      </c>
      <c r="G2" s="2456">
        <f>Summary!E14</f>
        <v>21.847712881476784</v>
      </c>
      <c r="H2" s="2458"/>
      <c r="I2" s="2455"/>
      <c r="J2" s="2455"/>
      <c r="K2" s="2455"/>
      <c r="L2" s="2455"/>
      <c r="M2" s="2455"/>
      <c r="N2" s="2455"/>
      <c r="O2" s="2455"/>
      <c r="P2" s="2455"/>
      <c r="Q2" s="2455"/>
      <c r="R2" s="2455"/>
      <c r="S2" s="2455"/>
      <c r="T2" s="2455"/>
      <c r="U2" s="2455"/>
      <c r="V2" s="2455"/>
      <c r="W2" s="2455"/>
      <c r="X2" s="2455"/>
      <c r="Y2" s="2455"/>
      <c r="Z2" s="2455"/>
    </row>
    <row r="3" spans="1:26" ht="12" x14ac:dyDescent="0.2">
      <c r="A3" s="2455" t="str">
        <f>MID(Summary!$B$1,FIND(" ",Summary!$B$1,1)+1,4)</f>
        <v>2011</v>
      </c>
      <c r="B3" s="2455" t="s">
        <v>2191</v>
      </c>
      <c r="C3" s="2455" t="s">
        <v>63</v>
      </c>
      <c r="D3" s="2455" t="s">
        <v>53</v>
      </c>
      <c r="E3" s="2455" t="s">
        <v>14</v>
      </c>
      <c r="F3" s="2455" t="s">
        <v>2192</v>
      </c>
      <c r="G3" s="2456">
        <f>Summary!E15</f>
        <v>1.1667917619013358E-2</v>
      </c>
      <c r="H3" s="2455"/>
      <c r="I3" s="2455"/>
      <c r="J3" s="2455"/>
      <c r="K3" s="2455"/>
      <c r="L3" s="2455"/>
      <c r="M3" s="2455"/>
      <c r="N3" s="2455"/>
      <c r="O3" s="2455"/>
      <c r="P3" s="2455"/>
      <c r="Q3" s="2455"/>
      <c r="R3" s="2455"/>
      <c r="S3" s="2455"/>
      <c r="T3" s="2455"/>
      <c r="U3" s="2455"/>
      <c r="V3" s="2455"/>
      <c r="W3" s="2455"/>
      <c r="X3" s="2455"/>
      <c r="Y3" s="2455"/>
      <c r="Z3" s="2455"/>
    </row>
    <row r="4" spans="1:26" ht="12" x14ac:dyDescent="0.2">
      <c r="A4" s="2455" t="str">
        <f>MID(Summary!$B$1,FIND(" ",Summary!$B$1,1)+1,4)</f>
        <v>2011</v>
      </c>
      <c r="B4" s="2455" t="s">
        <v>2191</v>
      </c>
      <c r="C4" s="2455" t="s">
        <v>63</v>
      </c>
      <c r="D4" s="2455" t="s">
        <v>53</v>
      </c>
      <c r="E4" s="2455" t="s">
        <v>18</v>
      </c>
      <c r="F4" s="2455" t="s">
        <v>2192</v>
      </c>
      <c r="G4" s="2456">
        <f>Summary!E16</f>
        <v>6.6055553435646286E-2</v>
      </c>
      <c r="H4" s="2455"/>
      <c r="I4" s="2455"/>
      <c r="J4" s="2455"/>
      <c r="K4" s="2455"/>
      <c r="L4" s="2455"/>
      <c r="M4" s="2455"/>
      <c r="N4" s="2455"/>
      <c r="O4" s="2455"/>
      <c r="P4" s="2455"/>
      <c r="Q4" s="2455"/>
      <c r="R4" s="2455"/>
      <c r="S4" s="2455"/>
      <c r="T4" s="2455"/>
      <c r="U4" s="2455"/>
      <c r="V4" s="2455"/>
      <c r="W4" s="2455"/>
      <c r="X4" s="2455"/>
      <c r="Y4" s="2455"/>
      <c r="Z4" s="2455"/>
    </row>
    <row r="5" spans="1:26" ht="12" x14ac:dyDescent="0.2">
      <c r="A5" s="2455" t="str">
        <f>MID(Summary!$B$1,FIND(" ",Summary!$B$1,1)+1,4)</f>
        <v>2011</v>
      </c>
      <c r="B5" s="2455" t="s">
        <v>2191</v>
      </c>
      <c r="C5" s="2455" t="s">
        <v>63</v>
      </c>
      <c r="D5" s="2455" t="s">
        <v>77</v>
      </c>
      <c r="E5" s="2455" t="s">
        <v>3</v>
      </c>
      <c r="F5" s="2455" t="s">
        <v>2192</v>
      </c>
      <c r="G5" s="2456">
        <f>Summary!E18</f>
        <v>2.4133302497043454</v>
      </c>
      <c r="H5" s="2455"/>
      <c r="I5" s="2455"/>
      <c r="J5" s="2455"/>
      <c r="K5" s="2455"/>
      <c r="L5" s="2455"/>
      <c r="M5" s="2455"/>
      <c r="N5" s="2455"/>
      <c r="O5" s="2455"/>
      <c r="P5" s="2455"/>
      <c r="Q5" s="2455"/>
      <c r="R5" s="2455"/>
      <c r="S5" s="2455"/>
      <c r="T5" s="2455"/>
      <c r="U5" s="2455"/>
      <c r="V5" s="2455"/>
      <c r="W5" s="2455"/>
      <c r="X5" s="2455"/>
      <c r="Y5" s="2455"/>
      <c r="Z5" s="2455"/>
    </row>
    <row r="6" spans="1:26" ht="12" x14ac:dyDescent="0.2">
      <c r="A6" s="2455" t="str">
        <f>MID(Summary!$B$1,FIND(" ",Summary!$B$1,1)+1,4)</f>
        <v>2011</v>
      </c>
      <c r="B6" s="2455" t="s">
        <v>2191</v>
      </c>
      <c r="C6" s="2455" t="s">
        <v>63</v>
      </c>
      <c r="D6" s="2455" t="s">
        <v>77</v>
      </c>
      <c r="E6" s="2455" t="s">
        <v>14</v>
      </c>
      <c r="F6" s="2455" t="s">
        <v>2192</v>
      </c>
      <c r="G6" s="2456">
        <f>Summary!E19</f>
        <v>1.1672715264243177E-3</v>
      </c>
      <c r="H6" s="2455"/>
      <c r="I6" s="2455"/>
      <c r="J6" s="2455"/>
      <c r="K6" s="2455"/>
      <c r="L6" s="2455"/>
      <c r="M6" s="2455"/>
      <c r="N6" s="2455"/>
      <c r="O6" s="2455"/>
      <c r="P6" s="2455"/>
      <c r="Q6" s="2455"/>
      <c r="R6" s="2455"/>
      <c r="S6" s="2455"/>
      <c r="T6" s="2455"/>
      <c r="U6" s="2455"/>
      <c r="V6" s="2455"/>
      <c r="W6" s="2455"/>
      <c r="X6" s="2455"/>
      <c r="Y6" s="2455"/>
      <c r="Z6" s="2455"/>
    </row>
    <row r="7" spans="1:26" ht="12" x14ac:dyDescent="0.2">
      <c r="A7" s="2455" t="str">
        <f>MID(Summary!$B$1,FIND(" ",Summary!$B$1,1)+1,4)</f>
        <v>2011</v>
      </c>
      <c r="B7" s="2455" t="s">
        <v>2191</v>
      </c>
      <c r="C7" s="2455" t="s">
        <v>63</v>
      </c>
      <c r="D7" s="2455" t="s">
        <v>77</v>
      </c>
      <c r="E7" s="2455" t="s">
        <v>18</v>
      </c>
      <c r="F7" s="2455" t="s">
        <v>2192</v>
      </c>
      <c r="G7" s="2456">
        <f>Summary!E20</f>
        <v>4.066135646772647E-3</v>
      </c>
      <c r="H7" s="2455"/>
      <c r="I7" s="2455"/>
      <c r="J7" s="2455"/>
      <c r="K7" s="2455"/>
      <c r="L7" s="2455"/>
      <c r="M7" s="2455"/>
      <c r="N7" s="2455"/>
      <c r="O7" s="2455"/>
      <c r="P7" s="2455"/>
      <c r="Q7" s="2455"/>
      <c r="R7" s="2455"/>
      <c r="S7" s="2455"/>
      <c r="T7" s="2455"/>
      <c r="U7" s="2455"/>
      <c r="V7" s="2455"/>
      <c r="W7" s="2455"/>
      <c r="X7" s="2455"/>
      <c r="Y7" s="2455"/>
      <c r="Z7" s="2455"/>
    </row>
    <row r="8" spans="1:26" ht="12" x14ac:dyDescent="0.2">
      <c r="A8" s="2455" t="str">
        <f>MID(Summary!$B$1,FIND(" ",Summary!$B$1,1)+1,4)</f>
        <v>2011</v>
      </c>
      <c r="B8" s="2455" t="s">
        <v>2191</v>
      </c>
      <c r="C8" s="2455" t="s">
        <v>63</v>
      </c>
      <c r="D8" s="2455" t="s">
        <v>104</v>
      </c>
      <c r="E8" s="2455" t="s">
        <v>3</v>
      </c>
      <c r="F8" s="2455" t="s">
        <v>2192</v>
      </c>
      <c r="G8" s="2456">
        <f>Summary!E22</f>
        <v>0.1946277957923413</v>
      </c>
      <c r="H8" s="2455"/>
      <c r="I8" s="2455"/>
      <c r="J8" s="2455"/>
      <c r="K8" s="2455"/>
      <c r="L8" s="2455"/>
      <c r="M8" s="2455"/>
      <c r="N8" s="2455"/>
      <c r="O8" s="2455"/>
      <c r="P8" s="2455"/>
      <c r="Q8" s="2455"/>
      <c r="R8" s="2455"/>
      <c r="S8" s="2455"/>
      <c r="T8" s="2455"/>
      <c r="U8" s="2455"/>
      <c r="V8" s="2455"/>
      <c r="W8" s="2455"/>
      <c r="X8" s="2455"/>
      <c r="Y8" s="2455"/>
      <c r="Z8" s="2455"/>
    </row>
    <row r="9" spans="1:26" ht="12" x14ac:dyDescent="0.2">
      <c r="A9" s="2455" t="str">
        <f>MID(Summary!$B$1,FIND(" ",Summary!$B$1,1)+1,4)</f>
        <v>2011</v>
      </c>
      <c r="B9" s="2455" t="s">
        <v>2191</v>
      </c>
      <c r="C9" s="2455" t="s">
        <v>63</v>
      </c>
      <c r="D9" s="2455" t="s">
        <v>104</v>
      </c>
      <c r="E9" s="2455" t="s">
        <v>14</v>
      </c>
      <c r="F9" s="2455" t="s">
        <v>2192</v>
      </c>
      <c r="G9" s="2456">
        <f>Summary!E23</f>
        <v>1.3409497601688772E-4</v>
      </c>
      <c r="H9" s="2455"/>
      <c r="I9" s="2455"/>
      <c r="J9" s="2455"/>
      <c r="K9" s="2455"/>
      <c r="L9" s="2455"/>
      <c r="M9" s="2455"/>
      <c r="N9" s="2455"/>
      <c r="O9" s="2455"/>
      <c r="P9" s="2455"/>
      <c r="Q9" s="2455"/>
      <c r="R9" s="2455"/>
      <c r="S9" s="2455"/>
      <c r="T9" s="2455"/>
      <c r="U9" s="2455"/>
      <c r="V9" s="2455"/>
      <c r="W9" s="2455"/>
      <c r="X9" s="2455"/>
      <c r="Y9" s="2455"/>
      <c r="Z9" s="2455"/>
    </row>
    <row r="10" spans="1:26" ht="12" x14ac:dyDescent="0.2">
      <c r="A10" s="2455" t="str">
        <f>MID(Summary!$B$1,FIND(" ",Summary!$B$1,1)+1,4)</f>
        <v>2011</v>
      </c>
      <c r="B10" s="2455" t="s">
        <v>2191</v>
      </c>
      <c r="C10" s="2455" t="s">
        <v>63</v>
      </c>
      <c r="D10" s="2455" t="s">
        <v>104</v>
      </c>
      <c r="E10" s="2455" t="s">
        <v>18</v>
      </c>
      <c r="F10" s="2455" t="s">
        <v>2192</v>
      </c>
      <c r="G10" s="2456">
        <f>Summary!E24</f>
        <v>1.1739592616163241E-3</v>
      </c>
      <c r="H10" s="2455"/>
      <c r="I10" s="2455"/>
      <c r="J10" s="2455"/>
      <c r="K10" s="2455"/>
      <c r="L10" s="2455"/>
      <c r="M10" s="2455"/>
      <c r="N10" s="2455"/>
      <c r="O10" s="2455"/>
      <c r="P10" s="2455"/>
      <c r="Q10" s="2455"/>
      <c r="R10" s="2455"/>
      <c r="S10" s="2455"/>
      <c r="T10" s="2455"/>
      <c r="U10" s="2455"/>
      <c r="V10" s="2455"/>
      <c r="W10" s="2455"/>
      <c r="X10" s="2455"/>
      <c r="Y10" s="2455"/>
      <c r="Z10" s="2455"/>
    </row>
    <row r="11" spans="1:26" ht="12" x14ac:dyDescent="0.2">
      <c r="A11" s="2455" t="str">
        <f>MID(Summary!$B$1,FIND(" ",Summary!$B$1,1)+1,4)</f>
        <v>2011</v>
      </c>
      <c r="B11" s="2455" t="s">
        <v>2191</v>
      </c>
      <c r="C11" s="2455" t="s">
        <v>63</v>
      </c>
      <c r="D11" s="2455" t="s">
        <v>129</v>
      </c>
      <c r="E11" s="2455" t="s">
        <v>3</v>
      </c>
      <c r="F11" s="2455" t="s">
        <v>2192</v>
      </c>
      <c r="G11" s="2456">
        <f>Summary!E26</f>
        <v>4.6682246945562601E-3</v>
      </c>
      <c r="H11" s="2455"/>
      <c r="I11" s="2455"/>
      <c r="J11" s="2455"/>
      <c r="K11" s="2455"/>
      <c r="L11" s="2455"/>
      <c r="M11" s="2455"/>
      <c r="N11" s="2455"/>
      <c r="O11" s="2455"/>
      <c r="P11" s="2455"/>
      <c r="Q11" s="2455"/>
      <c r="R11" s="2455"/>
      <c r="S11" s="2455"/>
      <c r="T11" s="2455"/>
      <c r="U11" s="2455"/>
      <c r="V11" s="2455"/>
      <c r="W11" s="2455"/>
      <c r="X11" s="2455"/>
      <c r="Y11" s="2455"/>
      <c r="Z11" s="2455"/>
    </row>
    <row r="12" spans="1:26" ht="12" x14ac:dyDescent="0.2">
      <c r="A12" s="2455" t="str">
        <f>MID(Summary!$B$1,FIND(" ",Summary!$B$1,1)+1,4)</f>
        <v>2011</v>
      </c>
      <c r="B12" s="2455" t="s">
        <v>2191</v>
      </c>
      <c r="C12" s="2455" t="s">
        <v>63</v>
      </c>
      <c r="D12" s="2455" t="s">
        <v>129</v>
      </c>
      <c r="E12" s="2455" t="s">
        <v>14</v>
      </c>
      <c r="F12" s="2455" t="s">
        <v>2192</v>
      </c>
      <c r="G12" s="2456">
        <f>Summary!E27</f>
        <v>1.5481473786930308E-5</v>
      </c>
      <c r="H12" s="2455"/>
      <c r="I12" s="2455"/>
      <c r="J12" s="2455"/>
      <c r="K12" s="2455"/>
      <c r="L12" s="2455"/>
      <c r="M12" s="2455"/>
      <c r="N12" s="2455"/>
      <c r="O12" s="2455"/>
      <c r="P12" s="2455"/>
      <c r="Q12" s="2455"/>
      <c r="R12" s="2455"/>
      <c r="S12" s="2455"/>
      <c r="T12" s="2455"/>
      <c r="U12" s="2455"/>
      <c r="V12" s="2455"/>
      <c r="W12" s="2455"/>
      <c r="X12" s="2455"/>
      <c r="Y12" s="2455"/>
      <c r="Z12" s="2455"/>
    </row>
    <row r="13" spans="1:26" ht="12" x14ac:dyDescent="0.2">
      <c r="A13" s="2455" t="str">
        <f>MID(Summary!$B$1,FIND(" ",Summary!$B$1,1)+1,4)</f>
        <v>2011</v>
      </c>
      <c r="B13" s="2455" t="s">
        <v>2191</v>
      </c>
      <c r="C13" s="2455" t="s">
        <v>63</v>
      </c>
      <c r="D13" s="2455" t="s">
        <v>129</v>
      </c>
      <c r="E13" s="2455" t="s">
        <v>18</v>
      </c>
      <c r="F13" s="2455" t="s">
        <v>2192</v>
      </c>
      <c r="G13" s="2456">
        <f>Summary!E28</f>
        <v>2.2303103711198537E-5</v>
      </c>
      <c r="H13" s="2455"/>
      <c r="I13" s="2455"/>
      <c r="J13" s="2455"/>
      <c r="K13" s="2455"/>
      <c r="L13" s="2455"/>
      <c r="M13" s="2455"/>
      <c r="N13" s="2455"/>
      <c r="O13" s="2455"/>
      <c r="P13" s="2455"/>
      <c r="Q13" s="2455"/>
      <c r="R13" s="2455"/>
      <c r="S13" s="2455"/>
      <c r="T13" s="2455"/>
      <c r="U13" s="2455"/>
      <c r="V13" s="2455"/>
      <c r="W13" s="2455"/>
      <c r="X13" s="2455"/>
      <c r="Y13" s="2455"/>
      <c r="Z13" s="2455"/>
    </row>
    <row r="14" spans="1:26" ht="12" x14ac:dyDescent="0.2">
      <c r="A14" s="2455" t="str">
        <f>MID(Summary!$B$1,FIND(" ",Summary!$B$1,1)+1,4)</f>
        <v>2011</v>
      </c>
      <c r="B14" s="2455" t="s">
        <v>2191</v>
      </c>
      <c r="C14" s="2455" t="s">
        <v>2193</v>
      </c>
      <c r="D14" s="2455" t="s">
        <v>2193</v>
      </c>
      <c r="E14" s="2455" t="s">
        <v>3</v>
      </c>
      <c r="F14" s="2455" t="s">
        <v>2192</v>
      </c>
      <c r="G14" s="2456">
        <f>Summary!E29</f>
        <v>13.309032908833277</v>
      </c>
      <c r="H14" s="2455"/>
      <c r="I14" s="2455"/>
      <c r="J14" s="2455"/>
      <c r="K14" s="2455"/>
      <c r="L14" s="2455"/>
      <c r="M14" s="2455"/>
      <c r="N14" s="2455"/>
      <c r="O14" s="2455"/>
      <c r="P14" s="2455"/>
      <c r="Q14" s="2455"/>
      <c r="R14" s="2455"/>
      <c r="S14" s="2455"/>
      <c r="T14" s="2455"/>
      <c r="U14" s="2455"/>
      <c r="V14" s="2455"/>
      <c r="W14" s="2455"/>
      <c r="X14" s="2455"/>
      <c r="Y14" s="2455"/>
      <c r="Z14" s="2455"/>
    </row>
    <row r="15" spans="1:26" ht="12" x14ac:dyDescent="0.2">
      <c r="A15" s="2455" t="str">
        <f>MID(Summary!$B$1,FIND(" ",Summary!$B$1,1)+1,4)</f>
        <v>2011</v>
      </c>
      <c r="B15" s="2455" t="s">
        <v>2191</v>
      </c>
      <c r="C15" s="2455" t="s">
        <v>2193</v>
      </c>
      <c r="D15" s="2455" t="s">
        <v>2193</v>
      </c>
      <c r="E15" s="2455" t="s">
        <v>14</v>
      </c>
      <c r="F15" s="2455" t="s">
        <v>2192</v>
      </c>
      <c r="G15" s="2456"/>
      <c r="H15" s="2455"/>
      <c r="I15" s="2455"/>
      <c r="J15" s="2455"/>
      <c r="K15" s="2455"/>
      <c r="L15" s="2455"/>
      <c r="M15" s="2455"/>
      <c r="N15" s="2455"/>
      <c r="O15" s="2455"/>
      <c r="P15" s="2455"/>
      <c r="Q15" s="2455"/>
      <c r="R15" s="2455"/>
      <c r="S15" s="2455"/>
      <c r="T15" s="2455"/>
      <c r="U15" s="2455"/>
      <c r="V15" s="2455"/>
      <c r="W15" s="2455"/>
      <c r="X15" s="2455"/>
      <c r="Y15" s="2455"/>
      <c r="Z15" s="2455"/>
    </row>
    <row r="16" spans="1:26" ht="12" x14ac:dyDescent="0.2">
      <c r="A16" s="2455" t="str">
        <f>MID(Summary!$B$1,FIND(" ",Summary!$B$1,1)+1,4)</f>
        <v>2011</v>
      </c>
      <c r="B16" s="2455" t="s">
        <v>2191</v>
      </c>
      <c r="C16" s="2455" t="s">
        <v>2193</v>
      </c>
      <c r="D16" s="2455" t="s">
        <v>2193</v>
      </c>
      <c r="E16" s="2455" t="s">
        <v>18</v>
      </c>
      <c r="F16" s="2455" t="s">
        <v>2192</v>
      </c>
      <c r="G16" s="2456"/>
      <c r="H16" s="2455"/>
      <c r="I16" s="2455"/>
      <c r="J16" s="2455"/>
      <c r="K16" s="2455"/>
      <c r="L16" s="2455"/>
      <c r="M16" s="2455"/>
      <c r="N16" s="2455"/>
      <c r="O16" s="2455"/>
      <c r="P16" s="2455"/>
      <c r="Q16" s="2455"/>
      <c r="R16" s="2455"/>
      <c r="S16" s="2455"/>
      <c r="T16" s="2455"/>
      <c r="U16" s="2455"/>
      <c r="V16" s="2455"/>
      <c r="W16" s="2455"/>
      <c r="X16" s="2455"/>
      <c r="Y16" s="2455"/>
      <c r="Z16" s="2455"/>
    </row>
    <row r="17" spans="1:26" ht="12" x14ac:dyDescent="0.2">
      <c r="A17" s="2455" t="str">
        <f>MID(Summary!$B$1,FIND(" ",Summary!$B$1,1)+1,4)</f>
        <v>2011</v>
      </c>
      <c r="B17" s="2455" t="s">
        <v>2191</v>
      </c>
      <c r="C17" s="2455" t="s">
        <v>63</v>
      </c>
      <c r="D17" s="2455" t="s">
        <v>53</v>
      </c>
      <c r="E17" s="2455" t="s">
        <v>3</v>
      </c>
      <c r="F17" s="2455" t="s">
        <v>2194</v>
      </c>
      <c r="G17" s="2456">
        <f>Summary!D14</f>
        <v>21.847712881476784</v>
      </c>
      <c r="H17" s="2455"/>
      <c r="I17" s="2455"/>
      <c r="J17" s="2455"/>
      <c r="K17" s="2455"/>
      <c r="L17" s="2455"/>
      <c r="M17" s="2455"/>
      <c r="N17" s="2455"/>
      <c r="O17" s="2455"/>
      <c r="P17" s="2455"/>
      <c r="Q17" s="2455"/>
      <c r="R17" s="2455"/>
      <c r="S17" s="2455"/>
      <c r="T17" s="2455"/>
      <c r="U17" s="2455"/>
      <c r="V17" s="2455"/>
      <c r="W17" s="2455"/>
      <c r="X17" s="2455"/>
      <c r="Y17" s="2455"/>
      <c r="Z17" s="2455"/>
    </row>
    <row r="18" spans="1:26" ht="12" x14ac:dyDescent="0.2">
      <c r="A18" s="2455" t="str">
        <f>MID(Summary!$B$1,FIND(" ",Summary!$B$1,1)+1,4)</f>
        <v>2011</v>
      </c>
      <c r="B18" s="2455" t="s">
        <v>2191</v>
      </c>
      <c r="C18" s="2455" t="s">
        <v>63</v>
      </c>
      <c r="D18" s="2455" t="s">
        <v>53</v>
      </c>
      <c r="E18" s="2455" t="s">
        <v>14</v>
      </c>
      <c r="F18" s="2455" t="s">
        <v>2194</v>
      </c>
      <c r="G18" s="2456">
        <f>Summary!D15</f>
        <v>3.3958240525587269E-2</v>
      </c>
      <c r="H18" s="2455"/>
      <c r="I18" s="2455"/>
      <c r="J18" s="2455"/>
      <c r="K18" s="2455"/>
      <c r="L18" s="2455"/>
      <c r="M18" s="2455"/>
      <c r="N18" s="2455"/>
      <c r="O18" s="2455"/>
      <c r="P18" s="2455"/>
      <c r="Q18" s="2455"/>
      <c r="R18" s="2455"/>
      <c r="S18" s="2455"/>
      <c r="T18" s="2455"/>
      <c r="U18" s="2455"/>
      <c r="V18" s="2455"/>
      <c r="W18" s="2455"/>
      <c r="X18" s="2455"/>
      <c r="Y18" s="2455"/>
      <c r="Z18" s="2455"/>
    </row>
    <row r="19" spans="1:26" ht="12" x14ac:dyDescent="0.2">
      <c r="A19" s="2455" t="str">
        <f>MID(Summary!$B$1,FIND(" ",Summary!$B$1,1)+1,4)</f>
        <v>2011</v>
      </c>
      <c r="B19" s="2455" t="s">
        <v>2191</v>
      </c>
      <c r="C19" s="2455" t="s">
        <v>63</v>
      </c>
      <c r="D19" s="2455" t="s">
        <v>53</v>
      </c>
      <c r="E19" s="2455" t="s">
        <v>18</v>
      </c>
      <c r="F19" s="2455" t="s">
        <v>2194</v>
      </c>
      <c r="G19" s="2456">
        <f>Summary!D16</f>
        <v>6.6055553435646286E-2</v>
      </c>
      <c r="H19" s="2455"/>
      <c r="I19" s="2455"/>
      <c r="J19" s="2455"/>
      <c r="K19" s="2455"/>
      <c r="L19" s="2455"/>
      <c r="M19" s="2455"/>
      <c r="N19" s="2455"/>
      <c r="O19" s="2455"/>
      <c r="P19" s="2455"/>
      <c r="Q19" s="2455"/>
      <c r="R19" s="2455"/>
      <c r="S19" s="2455"/>
      <c r="T19" s="2455"/>
      <c r="U19" s="2455"/>
      <c r="V19" s="2455"/>
      <c r="W19" s="2455"/>
      <c r="X19" s="2455"/>
      <c r="Y19" s="2455"/>
      <c r="Z19" s="2455"/>
    </row>
    <row r="20" spans="1:26" ht="12" x14ac:dyDescent="0.2">
      <c r="A20" s="2455" t="str">
        <f>MID(Summary!$B$1,FIND(" ",Summary!$B$1,1)+1,4)</f>
        <v>2011</v>
      </c>
      <c r="B20" s="2455" t="s">
        <v>2191</v>
      </c>
      <c r="C20" s="2455" t="s">
        <v>63</v>
      </c>
      <c r="D20" s="2455" t="s">
        <v>77</v>
      </c>
      <c r="E20" s="2455" t="s">
        <v>3</v>
      </c>
      <c r="F20" s="2455" t="s">
        <v>2194</v>
      </c>
      <c r="G20" s="2456">
        <f>Summary!D18</f>
        <v>2.4133302497043454</v>
      </c>
      <c r="H20" s="2455"/>
      <c r="I20" s="2455"/>
      <c r="J20" s="2455"/>
      <c r="K20" s="2455"/>
      <c r="L20" s="2455"/>
      <c r="M20" s="2455"/>
      <c r="N20" s="2455"/>
      <c r="O20" s="2455"/>
      <c r="P20" s="2455"/>
      <c r="Q20" s="2455"/>
      <c r="R20" s="2455"/>
      <c r="S20" s="2455"/>
      <c r="T20" s="2455"/>
      <c r="U20" s="2455"/>
      <c r="V20" s="2455"/>
      <c r="W20" s="2455"/>
      <c r="X20" s="2455"/>
      <c r="Y20" s="2455"/>
      <c r="Z20" s="2455"/>
    </row>
    <row r="21" spans="1:26" ht="12" x14ac:dyDescent="0.2">
      <c r="A21" s="2455" t="str">
        <f>MID(Summary!$B$1,FIND(" ",Summary!$B$1,1)+1,4)</f>
        <v>2011</v>
      </c>
      <c r="B21" s="2455" t="s">
        <v>2191</v>
      </c>
      <c r="C21" s="2455" t="s">
        <v>63</v>
      </c>
      <c r="D21" s="2455" t="s">
        <v>77</v>
      </c>
      <c r="E21" s="2455" t="s">
        <v>14</v>
      </c>
      <c r="F21" s="2455" t="s">
        <v>2194</v>
      </c>
      <c r="G21" s="2456">
        <f>Summary!D19</f>
        <v>3.3972203564750754E-3</v>
      </c>
      <c r="H21" s="2455"/>
      <c r="I21" s="2455"/>
      <c r="J21" s="2455"/>
      <c r="K21" s="2455"/>
      <c r="L21" s="2455"/>
      <c r="M21" s="2455"/>
      <c r="N21" s="2455"/>
      <c r="O21" s="2455"/>
      <c r="P21" s="2455"/>
      <c r="Q21" s="2455"/>
      <c r="R21" s="2455"/>
      <c r="S21" s="2455"/>
      <c r="T21" s="2455"/>
      <c r="U21" s="2455"/>
      <c r="V21" s="2455"/>
      <c r="W21" s="2455"/>
      <c r="X21" s="2455"/>
      <c r="Y21" s="2455"/>
      <c r="Z21" s="2455"/>
    </row>
    <row r="22" spans="1:26" ht="12" x14ac:dyDescent="0.2">
      <c r="A22" s="2455" t="str">
        <f>MID(Summary!$B$1,FIND(" ",Summary!$B$1,1)+1,4)</f>
        <v>2011</v>
      </c>
      <c r="B22" s="2455" t="s">
        <v>2191</v>
      </c>
      <c r="C22" s="2455" t="s">
        <v>63</v>
      </c>
      <c r="D22" s="2455" t="s">
        <v>77</v>
      </c>
      <c r="E22" s="2455" t="s">
        <v>18</v>
      </c>
      <c r="F22" s="2455" t="s">
        <v>2194</v>
      </c>
      <c r="G22" s="2456">
        <f>Summary!D20</f>
        <v>4.066135646772647E-3</v>
      </c>
      <c r="H22" s="2455"/>
      <c r="I22" s="2455"/>
      <c r="J22" s="2455"/>
      <c r="K22" s="2455"/>
      <c r="L22" s="2455"/>
      <c r="M22" s="2455"/>
      <c r="N22" s="2455"/>
      <c r="O22" s="2455"/>
      <c r="P22" s="2455"/>
      <c r="Q22" s="2455"/>
      <c r="R22" s="2455"/>
      <c r="S22" s="2455"/>
      <c r="T22" s="2455"/>
      <c r="U22" s="2455"/>
      <c r="V22" s="2455"/>
      <c r="W22" s="2455"/>
      <c r="X22" s="2455"/>
      <c r="Y22" s="2455"/>
      <c r="Z22" s="2455"/>
    </row>
    <row r="23" spans="1:26" ht="12" x14ac:dyDescent="0.2">
      <c r="A23" s="2455" t="str">
        <f>MID(Summary!$B$1,FIND(" ",Summary!$B$1,1)+1,4)</f>
        <v>2011</v>
      </c>
      <c r="B23" s="2455" t="s">
        <v>2191</v>
      </c>
      <c r="C23" s="2455" t="s">
        <v>63</v>
      </c>
      <c r="D23" s="2455" t="s">
        <v>104</v>
      </c>
      <c r="E23" s="2455" t="s">
        <v>3</v>
      </c>
      <c r="F23" s="2455" t="s">
        <v>2194</v>
      </c>
      <c r="G23" s="2456">
        <f>Summary!D22</f>
        <v>0.1946277957923413</v>
      </c>
      <c r="H23" s="2455"/>
      <c r="I23" s="2455"/>
      <c r="J23" s="2455"/>
      <c r="K23" s="2455"/>
      <c r="L23" s="2455"/>
      <c r="M23" s="2455"/>
      <c r="N23" s="2455"/>
      <c r="O23" s="2455"/>
      <c r="P23" s="2455"/>
      <c r="Q23" s="2455"/>
      <c r="R23" s="2455"/>
      <c r="S23" s="2455"/>
      <c r="T23" s="2455"/>
      <c r="U23" s="2455"/>
      <c r="V23" s="2455"/>
      <c r="W23" s="2455"/>
      <c r="X23" s="2455"/>
      <c r="Y23" s="2455"/>
      <c r="Z23" s="2455"/>
    </row>
    <row r="24" spans="1:26" ht="12" x14ac:dyDescent="0.2">
      <c r="A24" s="2455" t="str">
        <f>MID(Summary!$B$1,FIND(" ",Summary!$B$1,1)+1,4)</f>
        <v>2011</v>
      </c>
      <c r="B24" s="2455" t="s">
        <v>2191</v>
      </c>
      <c r="C24" s="2455" t="s">
        <v>63</v>
      </c>
      <c r="D24" s="2455" t="s">
        <v>104</v>
      </c>
      <c r="E24" s="2455" t="s">
        <v>14</v>
      </c>
      <c r="F24" s="2455" t="s">
        <v>2194</v>
      </c>
      <c r="G24" s="2456">
        <f>Summary!D23</f>
        <v>3.9026924919610337E-4</v>
      </c>
      <c r="H24" s="2455"/>
      <c r="I24" s="2455"/>
      <c r="J24" s="2455"/>
      <c r="K24" s="2455"/>
      <c r="L24" s="2455"/>
      <c r="M24" s="2455"/>
      <c r="N24" s="2455"/>
      <c r="O24" s="2455"/>
      <c r="P24" s="2455"/>
      <c r="Q24" s="2455"/>
      <c r="R24" s="2455"/>
      <c r="S24" s="2455"/>
      <c r="T24" s="2455"/>
      <c r="U24" s="2455"/>
      <c r="V24" s="2455"/>
      <c r="W24" s="2455"/>
      <c r="X24" s="2455"/>
      <c r="Y24" s="2455"/>
      <c r="Z24" s="2455"/>
    </row>
    <row r="25" spans="1:26" ht="12" x14ac:dyDescent="0.2">
      <c r="A25" s="2455" t="str">
        <f>MID(Summary!$B$1,FIND(" ",Summary!$B$1,1)+1,4)</f>
        <v>2011</v>
      </c>
      <c r="B25" s="2455" t="s">
        <v>2191</v>
      </c>
      <c r="C25" s="2455" t="s">
        <v>63</v>
      </c>
      <c r="D25" s="2455" t="s">
        <v>104</v>
      </c>
      <c r="E25" s="2455" t="s">
        <v>18</v>
      </c>
      <c r="F25" s="2455" t="s">
        <v>2194</v>
      </c>
      <c r="G25" s="2456">
        <f>Summary!D24</f>
        <v>1.1739592616163241E-3</v>
      </c>
      <c r="H25" s="2455"/>
      <c r="I25" s="2455"/>
      <c r="J25" s="2455"/>
      <c r="K25" s="2455"/>
      <c r="L25" s="2455"/>
      <c r="M25" s="2455"/>
      <c r="N25" s="2455"/>
      <c r="O25" s="2455"/>
      <c r="P25" s="2455"/>
      <c r="Q25" s="2455"/>
      <c r="R25" s="2455"/>
      <c r="S25" s="2455"/>
      <c r="T25" s="2455"/>
      <c r="U25" s="2455"/>
      <c r="V25" s="2455"/>
      <c r="W25" s="2455"/>
      <c r="X25" s="2455"/>
      <c r="Y25" s="2455"/>
      <c r="Z25" s="2455"/>
    </row>
    <row r="26" spans="1:26" ht="12" x14ac:dyDescent="0.2">
      <c r="A26" s="2455" t="str">
        <f>MID(Summary!$B$1,FIND(" ",Summary!$B$1,1)+1,4)</f>
        <v>2011</v>
      </c>
      <c r="B26" s="2455" t="s">
        <v>2191</v>
      </c>
      <c r="C26" s="2455" t="s">
        <v>63</v>
      </c>
      <c r="D26" s="2455" t="s">
        <v>129</v>
      </c>
      <c r="E26" s="2455" t="s">
        <v>3</v>
      </c>
      <c r="F26" s="2455" t="s">
        <v>2194</v>
      </c>
      <c r="G26" s="2456">
        <f>Summary!D26</f>
        <v>4.6682246945562601E-3</v>
      </c>
      <c r="H26" s="2455"/>
      <c r="I26" s="2455"/>
      <c r="J26" s="2455"/>
      <c r="K26" s="2455"/>
      <c r="L26" s="2455"/>
      <c r="M26" s="2455"/>
      <c r="N26" s="2455"/>
      <c r="O26" s="2455"/>
      <c r="P26" s="2455"/>
      <c r="Q26" s="2455"/>
      <c r="R26" s="2455"/>
      <c r="S26" s="2455"/>
      <c r="T26" s="2455"/>
      <c r="U26" s="2455"/>
      <c r="V26" s="2455"/>
      <c r="W26" s="2455"/>
      <c r="X26" s="2455"/>
      <c r="Y26" s="2455"/>
      <c r="Z26" s="2455"/>
    </row>
    <row r="27" spans="1:26" ht="12" x14ac:dyDescent="0.2">
      <c r="A27" s="2455" t="str">
        <f>MID(Summary!$B$1,FIND(" ",Summary!$B$1,1)+1,4)</f>
        <v>2011</v>
      </c>
      <c r="B27" s="2455" t="s">
        <v>2191</v>
      </c>
      <c r="C27" s="2455" t="s">
        <v>63</v>
      </c>
      <c r="D27" s="2455" t="s">
        <v>129</v>
      </c>
      <c r="E27" s="2455" t="s">
        <v>14</v>
      </c>
      <c r="F27" s="2455" t="s">
        <v>2194</v>
      </c>
      <c r="G27" s="2456">
        <f>Summary!D27</f>
        <v>4.5057192526836601E-5</v>
      </c>
      <c r="H27" s="2455"/>
      <c r="I27" s="2455"/>
      <c r="J27" s="2455"/>
      <c r="K27" s="2455"/>
      <c r="L27" s="2455"/>
      <c r="M27" s="2455"/>
      <c r="N27" s="2455"/>
      <c r="O27" s="2455"/>
      <c r="P27" s="2455"/>
      <c r="Q27" s="2455"/>
      <c r="R27" s="2455"/>
      <c r="S27" s="2455"/>
      <c r="T27" s="2455"/>
      <c r="U27" s="2455"/>
      <c r="V27" s="2455"/>
      <c r="W27" s="2455"/>
      <c r="X27" s="2455"/>
      <c r="Y27" s="2455"/>
      <c r="Z27" s="2455"/>
    </row>
    <row r="28" spans="1:26" ht="12" x14ac:dyDescent="0.2">
      <c r="A28" s="2455" t="str">
        <f>MID(Summary!$B$1,FIND(" ",Summary!$B$1,1)+1,4)</f>
        <v>2011</v>
      </c>
      <c r="B28" s="2455" t="s">
        <v>2191</v>
      </c>
      <c r="C28" s="2455" t="s">
        <v>63</v>
      </c>
      <c r="D28" s="2455" t="s">
        <v>129</v>
      </c>
      <c r="E28" s="2455" t="s">
        <v>18</v>
      </c>
      <c r="F28" s="2455" t="s">
        <v>2194</v>
      </c>
      <c r="G28" s="2456">
        <f>Summary!D28</f>
        <v>2.2303103711198537E-5</v>
      </c>
      <c r="H28" s="2455"/>
      <c r="I28" s="2455"/>
      <c r="J28" s="2455"/>
      <c r="K28" s="2455"/>
      <c r="L28" s="2455"/>
      <c r="M28" s="2455"/>
      <c r="N28" s="2455"/>
      <c r="O28" s="2455"/>
      <c r="P28" s="2455"/>
      <c r="Q28" s="2455"/>
      <c r="R28" s="2455"/>
      <c r="S28" s="2455"/>
      <c r="T28" s="2455"/>
      <c r="U28" s="2455"/>
      <c r="V28" s="2455"/>
      <c r="W28" s="2455"/>
      <c r="X28" s="2455"/>
      <c r="Y28" s="2455"/>
      <c r="Z28" s="2455"/>
    </row>
    <row r="29" spans="1:26" ht="12" x14ac:dyDescent="0.2">
      <c r="A29" s="2455" t="str">
        <f>MID(Summary!$B$1,FIND(" ",Summary!$B$1,1)+1,4)</f>
        <v>2011</v>
      </c>
      <c r="B29" s="2455" t="s">
        <v>2191</v>
      </c>
      <c r="C29" s="2455" t="s">
        <v>2193</v>
      </c>
      <c r="D29" s="2455" t="s">
        <v>2193</v>
      </c>
      <c r="E29" s="2455" t="s">
        <v>3</v>
      </c>
      <c r="F29" s="2455" t="s">
        <v>2194</v>
      </c>
      <c r="G29" s="2456">
        <f>Summary!D29</f>
        <v>13.309032908833277</v>
      </c>
      <c r="H29" s="2455"/>
      <c r="I29" s="2455"/>
      <c r="J29" s="2455"/>
      <c r="K29" s="2455"/>
      <c r="L29" s="2455"/>
      <c r="M29" s="2455"/>
      <c r="N29" s="2455"/>
      <c r="O29" s="2455"/>
      <c r="P29" s="2455"/>
      <c r="Q29" s="2455"/>
      <c r="R29" s="2455"/>
      <c r="S29" s="2455"/>
      <c r="T29" s="2455"/>
      <c r="U29" s="2455"/>
      <c r="V29" s="2455"/>
      <c r="W29" s="2455"/>
      <c r="X29" s="2455"/>
      <c r="Y29" s="2455"/>
      <c r="Z29" s="2455"/>
    </row>
    <row r="30" spans="1:26" ht="12" x14ac:dyDescent="0.2">
      <c r="A30" s="2455" t="str">
        <f>MID(Summary!$B$1,FIND(" ",Summary!$B$1,1)+1,4)</f>
        <v>2011</v>
      </c>
      <c r="B30" s="2455" t="s">
        <v>2191</v>
      </c>
      <c r="C30" s="2455" t="s">
        <v>2193</v>
      </c>
      <c r="D30" s="2455" t="s">
        <v>2193</v>
      </c>
      <c r="E30" s="2455" t="s">
        <v>14</v>
      </c>
      <c r="F30" s="2455" t="s">
        <v>2194</v>
      </c>
      <c r="G30" s="2456"/>
      <c r="H30" s="2455"/>
      <c r="I30" s="2455"/>
      <c r="J30" s="2455"/>
      <c r="K30" s="2455"/>
      <c r="L30" s="2455"/>
      <c r="M30" s="2455"/>
      <c r="N30" s="2455"/>
      <c r="O30" s="2455"/>
      <c r="P30" s="2455"/>
      <c r="Q30" s="2455"/>
      <c r="R30" s="2455"/>
      <c r="S30" s="2455"/>
      <c r="T30" s="2455"/>
      <c r="U30" s="2455"/>
      <c r="V30" s="2455"/>
      <c r="W30" s="2455"/>
      <c r="X30" s="2455"/>
      <c r="Y30" s="2455"/>
      <c r="Z30" s="2455"/>
    </row>
    <row r="31" spans="1:26" ht="12" x14ac:dyDescent="0.2">
      <c r="A31" s="2455" t="str">
        <f>MID(Summary!$B$1,FIND(" ",Summary!$B$1,1)+1,4)</f>
        <v>2011</v>
      </c>
      <c r="B31" s="2455" t="s">
        <v>2191</v>
      </c>
      <c r="C31" s="2455" t="s">
        <v>2193</v>
      </c>
      <c r="D31" s="2455" t="s">
        <v>2193</v>
      </c>
      <c r="E31" s="2455" t="s">
        <v>18</v>
      </c>
      <c r="F31" s="2455" t="s">
        <v>2194</v>
      </c>
      <c r="G31" s="2456"/>
      <c r="H31" s="2455"/>
      <c r="I31" s="2455"/>
      <c r="J31" s="2455"/>
      <c r="K31" s="2455"/>
      <c r="L31" s="2455"/>
      <c r="M31" s="2455"/>
      <c r="N31" s="2455"/>
      <c r="O31" s="2455"/>
      <c r="P31" s="2455"/>
      <c r="Q31" s="2455"/>
      <c r="R31" s="2455"/>
      <c r="S31" s="2455"/>
      <c r="T31" s="2455"/>
      <c r="U31" s="2455"/>
      <c r="V31" s="2455"/>
      <c r="W31" s="2455"/>
      <c r="X31" s="2455"/>
      <c r="Y31" s="2455"/>
      <c r="Z31" s="2455"/>
    </row>
    <row r="32" spans="1:26" ht="12" x14ac:dyDescent="0.2">
      <c r="A32" s="2455" t="str">
        <f>MID(Summary!$B$1,FIND(" ",Summary!$B$1,1)+1,4)</f>
        <v>2011</v>
      </c>
      <c r="B32" s="2455" t="s">
        <v>2195</v>
      </c>
      <c r="C32" s="2455" t="s">
        <v>716</v>
      </c>
      <c r="D32" s="2455" t="s">
        <v>53</v>
      </c>
      <c r="E32" s="2455" t="s">
        <v>3</v>
      </c>
      <c r="F32" s="2455" t="s">
        <v>2192</v>
      </c>
      <c r="G32" s="2456">
        <f>Residential!C58</f>
        <v>0</v>
      </c>
      <c r="J32" s="2455"/>
      <c r="K32" s="2455"/>
      <c r="L32" s="2455"/>
      <c r="M32" s="2455"/>
      <c r="N32" s="2455"/>
      <c r="O32" s="2455"/>
      <c r="P32" s="2455"/>
      <c r="Q32" s="2455"/>
      <c r="R32" s="2455"/>
      <c r="S32" s="2455"/>
      <c r="T32" s="2455"/>
      <c r="U32" s="2455"/>
      <c r="V32" s="2455"/>
      <c r="W32" s="2455"/>
      <c r="X32" s="2455"/>
      <c r="Y32" s="2455"/>
      <c r="Z32" s="2455"/>
    </row>
    <row r="33" spans="1:26" ht="12" x14ac:dyDescent="0.2">
      <c r="A33" s="2455" t="str">
        <f>MID(Summary!$B$1,FIND(" ",Summary!$B$1,1)+1,4)</f>
        <v>2011</v>
      </c>
      <c r="B33" s="2455" t="s">
        <v>2195</v>
      </c>
      <c r="C33" s="2455" t="s">
        <v>716</v>
      </c>
      <c r="D33" s="2455" t="s">
        <v>53</v>
      </c>
      <c r="E33" s="2455" t="s">
        <v>14</v>
      </c>
      <c r="F33" s="2455" t="s">
        <v>2192</v>
      </c>
      <c r="G33" s="2456">
        <f>Residential!E58</f>
        <v>0</v>
      </c>
      <c r="J33" s="2455"/>
      <c r="K33" s="2455"/>
      <c r="L33" s="2455"/>
      <c r="M33" s="2455"/>
      <c r="N33" s="2455"/>
      <c r="O33" s="2455"/>
      <c r="P33" s="2455"/>
      <c r="Q33" s="2455"/>
      <c r="R33" s="2455"/>
      <c r="S33" s="2455"/>
      <c r="T33" s="2455"/>
      <c r="U33" s="2455"/>
      <c r="V33" s="2455"/>
      <c r="W33" s="2455"/>
      <c r="X33" s="2455"/>
      <c r="Y33" s="2455"/>
      <c r="Z33" s="2455"/>
    </row>
    <row r="34" spans="1:26" ht="12" x14ac:dyDescent="0.2">
      <c r="A34" s="2455" t="str">
        <f>MID(Summary!$B$1,FIND(" ",Summary!$B$1,1)+1,4)</f>
        <v>2011</v>
      </c>
      <c r="B34" s="2455" t="s">
        <v>2195</v>
      </c>
      <c r="C34" s="2455" t="s">
        <v>716</v>
      </c>
      <c r="D34" s="2455" t="s">
        <v>53</v>
      </c>
      <c r="E34" s="2455" t="s">
        <v>18</v>
      </c>
      <c r="F34" s="2455" t="s">
        <v>2192</v>
      </c>
      <c r="G34" s="2456">
        <f>Residential!D58</f>
        <v>0</v>
      </c>
      <c r="J34" s="2455"/>
      <c r="K34" s="2455"/>
      <c r="L34" s="2455"/>
      <c r="M34" s="2455"/>
      <c r="N34" s="2455"/>
      <c r="O34" s="2455"/>
      <c r="P34" s="2455"/>
      <c r="Q34" s="2455"/>
      <c r="R34" s="2455"/>
      <c r="S34" s="2455"/>
      <c r="T34" s="2455"/>
      <c r="U34" s="2455"/>
      <c r="V34" s="2455"/>
      <c r="W34" s="2455"/>
      <c r="X34" s="2455"/>
      <c r="Y34" s="2455"/>
      <c r="Z34" s="2455"/>
    </row>
    <row r="35" spans="1:26" ht="12" x14ac:dyDescent="0.2">
      <c r="A35" s="2455" t="str">
        <f>MID(Summary!$B$1,FIND(" ",Summary!$B$1,1)+1,4)</f>
        <v>2011</v>
      </c>
      <c r="B35" s="2455" t="s">
        <v>2195</v>
      </c>
      <c r="C35" s="2455" t="s">
        <v>716</v>
      </c>
      <c r="D35" s="2455" t="s">
        <v>166</v>
      </c>
      <c r="E35" s="2455" t="s">
        <v>3</v>
      </c>
      <c r="F35" s="2455" t="s">
        <v>2192</v>
      </c>
      <c r="G35" s="2456">
        <f>Residential!C59</f>
        <v>4.7423978258400883</v>
      </c>
      <c r="J35" s="2455"/>
      <c r="K35" s="2455"/>
      <c r="L35" s="2455"/>
      <c r="M35" s="2455"/>
      <c r="N35" s="2455"/>
      <c r="O35" s="2455"/>
      <c r="P35" s="2455"/>
      <c r="Q35" s="2455"/>
      <c r="R35" s="2455"/>
      <c r="S35" s="2455"/>
      <c r="T35" s="2455"/>
      <c r="U35" s="2455"/>
      <c r="V35" s="2455"/>
      <c r="W35" s="2455"/>
      <c r="X35" s="2455"/>
      <c r="Y35" s="2455"/>
      <c r="Z35" s="2455"/>
    </row>
    <row r="36" spans="1:26" ht="12" x14ac:dyDescent="0.2">
      <c r="A36" s="2455" t="str">
        <f>MID(Summary!$B$1,FIND(" ",Summary!$B$1,1)+1,4)</f>
        <v>2011</v>
      </c>
      <c r="B36" s="2455" t="s">
        <v>2195</v>
      </c>
      <c r="C36" s="2455" t="s">
        <v>716</v>
      </c>
      <c r="D36" s="2455" t="s">
        <v>166</v>
      </c>
      <c r="E36" s="2455" t="s">
        <v>14</v>
      </c>
      <c r="F36" s="2455" t="s">
        <v>2192</v>
      </c>
      <c r="G36" s="2456">
        <f>Residential!E59</f>
        <v>1.2872064492744084E-2</v>
      </c>
      <c r="J36" s="2455"/>
      <c r="K36" s="2455"/>
      <c r="L36" s="2455"/>
      <c r="M36" s="2455"/>
      <c r="N36" s="2455"/>
      <c r="O36" s="2455"/>
      <c r="P36" s="2455"/>
      <c r="Q36" s="2455"/>
      <c r="R36" s="2455"/>
      <c r="S36" s="2455"/>
      <c r="T36" s="2455"/>
      <c r="U36" s="2455"/>
      <c r="V36" s="2455"/>
      <c r="W36" s="2455"/>
      <c r="X36" s="2455"/>
      <c r="Y36" s="2455"/>
      <c r="Z36" s="2455"/>
    </row>
    <row r="37" spans="1:26" ht="12" x14ac:dyDescent="0.2">
      <c r="A37" s="2455" t="str">
        <f>MID(Summary!$B$1,FIND(" ",Summary!$B$1,1)+1,4)</f>
        <v>2011</v>
      </c>
      <c r="B37" s="2455" t="s">
        <v>2195</v>
      </c>
      <c r="C37" s="2455" t="s">
        <v>716</v>
      </c>
      <c r="D37" s="2455" t="s">
        <v>166</v>
      </c>
      <c r="E37" s="2455" t="s">
        <v>18</v>
      </c>
      <c r="F37" s="2455" t="s">
        <v>2192</v>
      </c>
      <c r="G37" s="2456">
        <f>Residential!D59</f>
        <v>3.4098748911938069E-3</v>
      </c>
      <c r="J37" s="2455"/>
      <c r="K37" s="2455"/>
      <c r="L37" s="2455"/>
      <c r="M37" s="2455"/>
      <c r="N37" s="2455"/>
      <c r="O37" s="2455"/>
      <c r="P37" s="2455"/>
      <c r="Q37" s="2455"/>
      <c r="R37" s="2455"/>
      <c r="S37" s="2455"/>
      <c r="T37" s="2455"/>
      <c r="U37" s="2455"/>
      <c r="V37" s="2455"/>
      <c r="W37" s="2455"/>
      <c r="X37" s="2455"/>
      <c r="Y37" s="2455"/>
      <c r="Z37" s="2455"/>
    </row>
    <row r="38" spans="1:26" ht="12" x14ac:dyDescent="0.2">
      <c r="A38" s="2455" t="str">
        <f>MID(Summary!$B$1,FIND(" ",Summary!$B$1,1)+1,4)</f>
        <v>2011</v>
      </c>
      <c r="B38" s="2455" t="s">
        <v>2195</v>
      </c>
      <c r="C38" s="2455" t="s">
        <v>716</v>
      </c>
      <c r="D38" s="2455" t="s">
        <v>179</v>
      </c>
      <c r="E38" s="2455" t="s">
        <v>3</v>
      </c>
      <c r="F38" s="2455" t="s">
        <v>2192</v>
      </c>
      <c r="G38" s="2456">
        <f>Residential!C60</f>
        <v>1.1843467936220946</v>
      </c>
      <c r="J38" s="2455"/>
      <c r="K38" s="2455"/>
      <c r="L38" s="2455"/>
      <c r="M38" s="2455"/>
      <c r="N38" s="2455"/>
      <c r="O38" s="2455"/>
      <c r="P38" s="2455"/>
      <c r="Q38" s="2455"/>
      <c r="R38" s="2455"/>
      <c r="S38" s="2455"/>
      <c r="T38" s="2455"/>
      <c r="U38" s="2455"/>
      <c r="V38" s="2455"/>
      <c r="W38" s="2455"/>
      <c r="X38" s="2455"/>
      <c r="Y38" s="2455"/>
      <c r="Z38" s="2455"/>
    </row>
    <row r="39" spans="1:26" ht="12" x14ac:dyDescent="0.2">
      <c r="A39" s="2455" t="str">
        <f>MID(Summary!$B$1,FIND(" ",Summary!$B$1,1)+1,4)</f>
        <v>2011</v>
      </c>
      <c r="B39" s="2455" t="s">
        <v>2195</v>
      </c>
      <c r="C39" s="2455" t="s">
        <v>716</v>
      </c>
      <c r="D39" s="2455" t="s">
        <v>179</v>
      </c>
      <c r="E39" s="2455" t="s">
        <v>14</v>
      </c>
      <c r="F39" s="2455" t="s">
        <v>2192</v>
      </c>
      <c r="G39" s="2456">
        <f>Residential!E60</f>
        <v>4.4832294215104776E-3</v>
      </c>
      <c r="J39" s="2455"/>
      <c r="K39" s="2455"/>
      <c r="L39" s="2455"/>
      <c r="M39" s="2455"/>
      <c r="N39" s="2455"/>
      <c r="O39" s="2455"/>
      <c r="P39" s="2455"/>
      <c r="Q39" s="2455"/>
      <c r="R39" s="2455"/>
      <c r="S39" s="2455"/>
      <c r="T39" s="2455"/>
      <c r="U39" s="2455"/>
      <c r="V39" s="2455"/>
      <c r="W39" s="2455"/>
      <c r="X39" s="2455"/>
      <c r="Y39" s="2455"/>
      <c r="Z39" s="2455"/>
    </row>
    <row r="40" spans="1:26" ht="12" x14ac:dyDescent="0.2">
      <c r="A40" s="2455" t="str">
        <f>MID(Summary!$B$1,FIND(" ",Summary!$B$1,1)+1,4)</f>
        <v>2011</v>
      </c>
      <c r="B40" s="2455" t="s">
        <v>2195</v>
      </c>
      <c r="C40" s="2455" t="s">
        <v>716</v>
      </c>
      <c r="D40" s="2455" t="s">
        <v>179</v>
      </c>
      <c r="E40" s="2455" t="s">
        <v>18</v>
      </c>
      <c r="F40" s="2455" t="s">
        <v>2192</v>
      </c>
      <c r="G40" s="2456">
        <f>Residential!D60</f>
        <v>2.6320895313384093E-3</v>
      </c>
      <c r="J40" s="2455"/>
      <c r="K40" s="2455"/>
      <c r="L40" s="2455"/>
      <c r="M40" s="2455"/>
      <c r="N40" s="2455"/>
      <c r="O40" s="2455"/>
      <c r="P40" s="2455"/>
      <c r="Q40" s="2455"/>
      <c r="R40" s="2455"/>
      <c r="S40" s="2455"/>
      <c r="T40" s="2455"/>
      <c r="U40" s="2455"/>
      <c r="V40" s="2455"/>
      <c r="W40" s="2455"/>
      <c r="X40" s="2455"/>
      <c r="Y40" s="2455"/>
      <c r="Z40" s="2455"/>
    </row>
    <row r="41" spans="1:26" ht="12" x14ac:dyDescent="0.2">
      <c r="A41" s="2455" t="str">
        <f>MID(Summary!$B$1,FIND(" ",Summary!$B$1,1)+1,4)</f>
        <v>2011</v>
      </c>
      <c r="B41" s="2455" t="s">
        <v>2195</v>
      </c>
      <c r="C41" s="2455" t="s">
        <v>716</v>
      </c>
      <c r="D41" s="2455" t="s">
        <v>129</v>
      </c>
      <c r="E41" s="2455" t="s">
        <v>3</v>
      </c>
      <c r="F41" s="2455" t="s">
        <v>2192</v>
      </c>
      <c r="G41" s="2456">
        <f>Residential!C61</f>
        <v>0</v>
      </c>
      <c r="J41" s="2455"/>
      <c r="K41" s="2455"/>
      <c r="L41" s="2455"/>
      <c r="M41" s="2455"/>
      <c r="N41" s="2455"/>
      <c r="O41" s="2455"/>
      <c r="P41" s="2455"/>
      <c r="Q41" s="2455"/>
      <c r="R41" s="2455"/>
      <c r="S41" s="2455"/>
      <c r="T41" s="2455"/>
      <c r="U41" s="2455"/>
      <c r="V41" s="2455"/>
      <c r="W41" s="2455"/>
      <c r="X41" s="2455"/>
      <c r="Y41" s="2455"/>
      <c r="Z41" s="2455"/>
    </row>
    <row r="42" spans="1:26" ht="12" x14ac:dyDescent="0.2">
      <c r="A42" s="2455" t="str">
        <f>MID(Summary!$B$1,FIND(" ",Summary!$B$1,1)+1,4)</f>
        <v>2011</v>
      </c>
      <c r="B42" s="2455" t="s">
        <v>2195</v>
      </c>
      <c r="C42" s="2455" t="s">
        <v>716</v>
      </c>
      <c r="D42" s="2455" t="s">
        <v>129</v>
      </c>
      <c r="E42" s="2455" t="s">
        <v>14</v>
      </c>
      <c r="F42" s="2455" t="s">
        <v>2192</v>
      </c>
      <c r="G42" s="2456">
        <f>Residential!E61</f>
        <v>7.0838168630890722E-2</v>
      </c>
      <c r="J42" s="2455"/>
      <c r="K42" s="2455"/>
      <c r="L42" s="2455"/>
      <c r="M42" s="2455"/>
      <c r="N42" s="2455"/>
      <c r="O42" s="2455"/>
      <c r="P42" s="2455"/>
      <c r="Q42" s="2455"/>
      <c r="R42" s="2455"/>
      <c r="S42" s="2455"/>
      <c r="T42" s="2455"/>
      <c r="U42" s="2455"/>
      <c r="V42" s="2455"/>
      <c r="W42" s="2455"/>
      <c r="X42" s="2455"/>
      <c r="Y42" s="2455"/>
      <c r="Z42" s="2455"/>
    </row>
    <row r="43" spans="1:26" ht="12" x14ac:dyDescent="0.2">
      <c r="A43" s="2455" t="str">
        <f>MID(Summary!$B$1,FIND(" ",Summary!$B$1,1)+1,4)</f>
        <v>2011</v>
      </c>
      <c r="B43" s="2455" t="s">
        <v>2195</v>
      </c>
      <c r="C43" s="2455" t="s">
        <v>716</v>
      </c>
      <c r="D43" s="2455" t="s">
        <v>129</v>
      </c>
      <c r="E43" s="2455" t="s">
        <v>18</v>
      </c>
      <c r="F43" s="2455" t="s">
        <v>2192</v>
      </c>
      <c r="G43" s="2456">
        <f>Residential!D61</f>
        <v>9.241968953994345E-3</v>
      </c>
      <c r="J43" s="2455"/>
      <c r="K43" s="2455"/>
      <c r="L43" s="2455"/>
      <c r="M43" s="2455"/>
      <c r="N43" s="2455"/>
      <c r="O43" s="2455"/>
      <c r="P43" s="2455"/>
      <c r="Q43" s="2455"/>
      <c r="R43" s="2455"/>
      <c r="S43" s="2455"/>
      <c r="T43" s="2455"/>
      <c r="U43" s="2455"/>
      <c r="V43" s="2455"/>
      <c r="W43" s="2455"/>
      <c r="X43" s="2455"/>
      <c r="Y43" s="2455"/>
      <c r="Z43" s="2455"/>
    </row>
    <row r="44" spans="1:26" ht="12" x14ac:dyDescent="0.2">
      <c r="A44" s="2455" t="str">
        <f>MID(Summary!$B$1,FIND(" ",Summary!$B$1,1)+1,4)</f>
        <v>2011</v>
      </c>
      <c r="B44" s="2455" t="s">
        <v>2195</v>
      </c>
      <c r="C44" s="2455" t="s">
        <v>716</v>
      </c>
      <c r="D44" s="2455" t="s">
        <v>53</v>
      </c>
      <c r="E44" s="2455" t="s">
        <v>3</v>
      </c>
      <c r="F44" s="2455" t="s">
        <v>2194</v>
      </c>
      <c r="G44" s="2456">
        <f>Residential!C58/_xlfn.XLOOKUP(E44,Summary!C$4:C$7,Summary!E$4:E$7,"ERROR")*_xlfn.XLOOKUP(E44,Summary!C$4:C$7,Summary!D$4:D$7,"ERROR")</f>
        <v>0</v>
      </c>
      <c r="H44" s="2455"/>
      <c r="I44" s="2455"/>
      <c r="J44" s="2455"/>
      <c r="K44" s="2455"/>
      <c r="L44" s="2455"/>
      <c r="M44" s="2455"/>
      <c r="N44" s="2455"/>
      <c r="O44" s="2455"/>
      <c r="P44" s="2455"/>
      <c r="Q44" s="2455"/>
      <c r="R44" s="2455"/>
      <c r="S44" s="2455"/>
      <c r="T44" s="2455"/>
      <c r="U44" s="2455"/>
      <c r="V44" s="2455"/>
      <c r="W44" s="2455"/>
      <c r="X44" s="2455"/>
      <c r="Y44" s="2455"/>
      <c r="Z44" s="2455"/>
    </row>
    <row r="45" spans="1:26" ht="12" x14ac:dyDescent="0.2">
      <c r="A45" s="2455" t="str">
        <f>MID(Summary!$B$1,FIND(" ",Summary!$B$1,1)+1,4)</f>
        <v>2011</v>
      </c>
      <c r="B45" s="2455" t="s">
        <v>2195</v>
      </c>
      <c r="C45" s="2455" t="s">
        <v>716</v>
      </c>
      <c r="D45" s="2455" t="s">
        <v>53</v>
      </c>
      <c r="E45" s="2455" t="s">
        <v>14</v>
      </c>
      <c r="F45" s="2455" t="s">
        <v>2194</v>
      </c>
      <c r="G45" s="2456">
        <f>Residential!E58/_xlfn.XLOOKUP(E45,Summary!C$4:C$7,Summary!E$4:E$7,"ERROR")*_xlfn.XLOOKUP(E45,Summary!C$4:C$7,Summary!D$4:D$7,"ERROR")</f>
        <v>0</v>
      </c>
      <c r="H45" s="2455"/>
      <c r="I45" s="2455"/>
      <c r="J45" s="2455"/>
      <c r="K45" s="2455"/>
      <c r="L45" s="2455"/>
      <c r="M45" s="2455"/>
      <c r="N45" s="2455"/>
      <c r="O45" s="2455"/>
      <c r="P45" s="2455"/>
      <c r="Q45" s="2455"/>
      <c r="R45" s="2455"/>
      <c r="S45" s="2455"/>
      <c r="T45" s="2455"/>
      <c r="U45" s="2455"/>
      <c r="V45" s="2455"/>
      <c r="W45" s="2455"/>
      <c r="X45" s="2455"/>
      <c r="Y45" s="2455"/>
      <c r="Z45" s="2455"/>
    </row>
    <row r="46" spans="1:26" ht="12" x14ac:dyDescent="0.2">
      <c r="A46" s="2455" t="str">
        <f>MID(Summary!$B$1,FIND(" ",Summary!$B$1,1)+1,4)</f>
        <v>2011</v>
      </c>
      <c r="B46" s="2455" t="s">
        <v>2195</v>
      </c>
      <c r="C46" s="2455" t="s">
        <v>716</v>
      </c>
      <c r="D46" s="2455" t="s">
        <v>53</v>
      </c>
      <c r="E46" s="2455" t="s">
        <v>18</v>
      </c>
      <c r="F46" s="2455" t="s">
        <v>2194</v>
      </c>
      <c r="G46" s="2456">
        <f>Residential!D58/_xlfn.XLOOKUP(E46,Summary!C$4:C$7,Summary!E$4:E$7,"ERROR")*_xlfn.XLOOKUP(E46,Summary!C$4:C$7,Summary!D$4:D$7,"ERROR")</f>
        <v>0</v>
      </c>
      <c r="H46" s="2455"/>
      <c r="I46" s="2455"/>
      <c r="J46" s="2455"/>
      <c r="K46" s="2455"/>
      <c r="L46" s="2455"/>
      <c r="M46" s="2455"/>
      <c r="N46" s="2455"/>
      <c r="O46" s="2455"/>
      <c r="P46" s="2455"/>
      <c r="Q46" s="2455"/>
      <c r="R46" s="2455"/>
      <c r="S46" s="2455"/>
      <c r="T46" s="2455"/>
      <c r="U46" s="2455"/>
      <c r="V46" s="2455"/>
      <c r="W46" s="2455"/>
      <c r="X46" s="2455"/>
      <c r="Y46" s="2455"/>
      <c r="Z46" s="2455"/>
    </row>
    <row r="47" spans="1:26" ht="12" x14ac:dyDescent="0.2">
      <c r="A47" s="2455" t="str">
        <f>MID(Summary!$B$1,FIND(" ",Summary!$B$1,1)+1,4)</f>
        <v>2011</v>
      </c>
      <c r="B47" s="2455" t="s">
        <v>2195</v>
      </c>
      <c r="C47" s="2455" t="s">
        <v>716</v>
      </c>
      <c r="D47" s="2455" t="s">
        <v>166</v>
      </c>
      <c r="E47" s="2455" t="s">
        <v>3</v>
      </c>
      <c r="F47" s="2455" t="s">
        <v>2194</v>
      </c>
      <c r="G47" s="2456">
        <f>Residential!C59/_xlfn.XLOOKUP(E47,Summary!C$4:C$7,Summary!E$4:E$7,"ERROR")*_xlfn.XLOOKUP(E47,Summary!C$4:C$7,Summary!D$4:D$7,"ERROR")</f>
        <v>4.7423978258400883</v>
      </c>
      <c r="H47" s="2455"/>
      <c r="I47" s="2455"/>
      <c r="J47" s="2455"/>
      <c r="K47" s="2455"/>
      <c r="L47" s="2455"/>
      <c r="M47" s="2455"/>
      <c r="N47" s="2455"/>
      <c r="O47" s="2455"/>
      <c r="P47" s="2455"/>
      <c r="Q47" s="2455"/>
      <c r="R47" s="2455"/>
      <c r="S47" s="2455"/>
      <c r="T47" s="2455"/>
      <c r="U47" s="2455"/>
      <c r="V47" s="2455"/>
      <c r="W47" s="2455"/>
      <c r="X47" s="2455"/>
      <c r="Y47" s="2455"/>
      <c r="Z47" s="2455"/>
    </row>
    <row r="48" spans="1:26" ht="12" x14ac:dyDescent="0.2">
      <c r="A48" s="2455" t="str">
        <f>MID(Summary!$B$1,FIND(" ",Summary!$B$1,1)+1,4)</f>
        <v>2011</v>
      </c>
      <c r="B48" s="2455" t="s">
        <v>2195</v>
      </c>
      <c r="C48" s="2455" t="s">
        <v>716</v>
      </c>
      <c r="D48" s="2455" t="s">
        <v>166</v>
      </c>
      <c r="E48" s="2455" t="s">
        <v>14</v>
      </c>
      <c r="F48" s="2455" t="s">
        <v>2194</v>
      </c>
      <c r="G48" s="2456">
        <f>Residential!E59/_xlfn.XLOOKUP(E48,Summary!C$4:C$7,Summary!E$4:E$7,"ERROR")*_xlfn.XLOOKUP(E48,Summary!C$4:C$7,Summary!D$4:D$7,"ERROR")</f>
        <v>3.7462782681391388E-2</v>
      </c>
      <c r="H48" s="2455"/>
      <c r="I48" s="2455"/>
      <c r="J48" s="2455"/>
      <c r="K48" s="2455"/>
      <c r="L48" s="2455"/>
      <c r="M48" s="2455"/>
      <c r="N48" s="2455"/>
      <c r="O48" s="2455"/>
      <c r="P48" s="2455"/>
      <c r="Q48" s="2455"/>
      <c r="R48" s="2455"/>
      <c r="S48" s="2455"/>
      <c r="T48" s="2455"/>
      <c r="U48" s="2455"/>
      <c r="V48" s="2455"/>
      <c r="W48" s="2455"/>
      <c r="X48" s="2455"/>
      <c r="Y48" s="2455"/>
      <c r="Z48" s="2455"/>
    </row>
    <row r="49" spans="1:26" ht="12" x14ac:dyDescent="0.2">
      <c r="A49" s="2455" t="str">
        <f>MID(Summary!$B$1,FIND(" ",Summary!$B$1,1)+1,4)</f>
        <v>2011</v>
      </c>
      <c r="B49" s="2455" t="s">
        <v>2195</v>
      </c>
      <c r="C49" s="2455" t="s">
        <v>716</v>
      </c>
      <c r="D49" s="2455" t="s">
        <v>166</v>
      </c>
      <c r="E49" s="2455" t="s">
        <v>18</v>
      </c>
      <c r="F49" s="2455" t="s">
        <v>2194</v>
      </c>
      <c r="G49" s="2456">
        <f>Residential!D59/_xlfn.XLOOKUP(E49,Summary!C$4:C$7,Summary!E$4:E$7,"ERROR")*_xlfn.XLOOKUP(E49,Summary!C$4:C$7,Summary!D$4:D$7,"ERROR")</f>
        <v>3.4098748911938069E-3</v>
      </c>
      <c r="H49" s="2455"/>
      <c r="I49" s="2455"/>
      <c r="J49" s="2455"/>
      <c r="K49" s="2455"/>
      <c r="L49" s="2455"/>
      <c r="M49" s="2455"/>
      <c r="N49" s="2455"/>
      <c r="O49" s="2455"/>
      <c r="P49" s="2455"/>
      <c r="Q49" s="2455"/>
      <c r="R49" s="2455"/>
      <c r="S49" s="2455"/>
      <c r="T49" s="2455"/>
      <c r="U49" s="2455"/>
      <c r="V49" s="2455"/>
      <c r="W49" s="2455"/>
      <c r="X49" s="2455"/>
      <c r="Y49" s="2455"/>
      <c r="Z49" s="2455"/>
    </row>
    <row r="50" spans="1:26" ht="12" x14ac:dyDescent="0.2">
      <c r="A50" s="2455" t="str">
        <f>MID(Summary!$B$1,FIND(" ",Summary!$B$1,1)+1,4)</f>
        <v>2011</v>
      </c>
      <c r="B50" s="2455" t="s">
        <v>2195</v>
      </c>
      <c r="C50" s="2455" t="s">
        <v>716</v>
      </c>
      <c r="D50" s="2455" t="s">
        <v>179</v>
      </c>
      <c r="E50" s="2455" t="s">
        <v>3</v>
      </c>
      <c r="F50" s="2455" t="s">
        <v>2194</v>
      </c>
      <c r="G50" s="2456">
        <f>Residential!C60/_xlfn.XLOOKUP(E50,Summary!C$4:C$7,Summary!E$4:E$7,"ERROR")*_xlfn.XLOOKUP(E50,Summary!C$4:C$7,Summary!D$4:D$7,"ERROR")</f>
        <v>1.1843467936220946</v>
      </c>
      <c r="H50" s="2455"/>
      <c r="I50" s="2455"/>
      <c r="J50" s="2455"/>
      <c r="K50" s="2455"/>
      <c r="L50" s="2455"/>
      <c r="M50" s="2455"/>
      <c r="N50" s="2455"/>
      <c r="O50" s="2455"/>
      <c r="P50" s="2455"/>
      <c r="Q50" s="2455"/>
      <c r="R50" s="2455"/>
      <c r="S50" s="2455"/>
      <c r="T50" s="2455"/>
      <c r="U50" s="2455"/>
      <c r="V50" s="2455"/>
      <c r="W50" s="2455"/>
      <c r="X50" s="2455"/>
      <c r="Y50" s="2455"/>
      <c r="Z50" s="2455"/>
    </row>
    <row r="51" spans="1:26" ht="12" x14ac:dyDescent="0.2">
      <c r="A51" s="2455" t="str">
        <f>MID(Summary!$B$1,FIND(" ",Summary!$B$1,1)+1,4)</f>
        <v>2011</v>
      </c>
      <c r="B51" s="2455" t="s">
        <v>2195</v>
      </c>
      <c r="C51" s="2455" t="s">
        <v>716</v>
      </c>
      <c r="D51" s="2455" t="s">
        <v>179</v>
      </c>
      <c r="E51" s="2455" t="s">
        <v>14</v>
      </c>
      <c r="F51" s="2455" t="s">
        <v>2194</v>
      </c>
      <c r="G51" s="2456">
        <f>Residential!E60/_xlfn.XLOOKUP(E51,Summary!C$4:C$7,Summary!E$4:E$7,"ERROR")*_xlfn.XLOOKUP(E51,Summary!C$4:C$7,Summary!D$4:D$7,"ERROR")</f>
        <v>1.3047965198087843E-2</v>
      </c>
      <c r="H51" s="2455"/>
      <c r="I51" s="2455"/>
      <c r="J51" s="2455"/>
      <c r="K51" s="2455"/>
      <c r="L51" s="2455"/>
      <c r="M51" s="2455"/>
      <c r="N51" s="2455"/>
      <c r="O51" s="2455"/>
      <c r="P51" s="2455"/>
      <c r="Q51" s="2455"/>
      <c r="R51" s="2455"/>
      <c r="S51" s="2455"/>
      <c r="T51" s="2455"/>
      <c r="U51" s="2455"/>
      <c r="V51" s="2455"/>
      <c r="W51" s="2455"/>
      <c r="X51" s="2455"/>
      <c r="Y51" s="2455"/>
      <c r="Z51" s="2455"/>
    </row>
    <row r="52" spans="1:26" ht="12" x14ac:dyDescent="0.2">
      <c r="A52" s="2455" t="str">
        <f>MID(Summary!$B$1,FIND(" ",Summary!$B$1,1)+1,4)</f>
        <v>2011</v>
      </c>
      <c r="B52" s="2455" t="s">
        <v>2195</v>
      </c>
      <c r="C52" s="2455" t="s">
        <v>716</v>
      </c>
      <c r="D52" s="2455" t="s">
        <v>179</v>
      </c>
      <c r="E52" s="2455" t="s">
        <v>18</v>
      </c>
      <c r="F52" s="2455" t="s">
        <v>2194</v>
      </c>
      <c r="G52" s="2456">
        <f>Residential!D60/_xlfn.XLOOKUP(E52,Summary!C$4:C$7,Summary!E$4:E$7,"ERROR")*_xlfn.XLOOKUP(E52,Summary!C$4:C$7,Summary!D$4:D$7,"ERROR")</f>
        <v>2.6320895313384093E-3</v>
      </c>
      <c r="H52" s="2455"/>
      <c r="I52" s="2455"/>
      <c r="J52" s="2455"/>
      <c r="K52" s="2455"/>
      <c r="L52" s="2455"/>
      <c r="M52" s="2455"/>
      <c r="N52" s="2455"/>
      <c r="O52" s="2455"/>
      <c r="P52" s="2455"/>
      <c r="Q52" s="2455"/>
      <c r="R52" s="2455"/>
      <c r="S52" s="2455"/>
      <c r="T52" s="2455"/>
      <c r="U52" s="2455"/>
      <c r="V52" s="2455"/>
      <c r="W52" s="2455"/>
      <c r="X52" s="2455"/>
      <c r="Y52" s="2455"/>
      <c r="Z52" s="2455"/>
    </row>
    <row r="53" spans="1:26" ht="12" x14ac:dyDescent="0.2">
      <c r="A53" s="2455" t="str">
        <f>MID(Summary!$B$1,FIND(" ",Summary!$B$1,1)+1,4)</f>
        <v>2011</v>
      </c>
      <c r="B53" s="2455" t="s">
        <v>2195</v>
      </c>
      <c r="C53" s="2455" t="s">
        <v>716</v>
      </c>
      <c r="D53" s="2455" t="s">
        <v>129</v>
      </c>
      <c r="E53" s="2455" t="s">
        <v>3</v>
      </c>
      <c r="F53" s="2455" t="s">
        <v>2194</v>
      </c>
      <c r="G53" s="2456">
        <f>Residential!C61/_xlfn.XLOOKUP(E53,Summary!C$4:C$7,Summary!E$4:E$7,"ERROR")*_xlfn.XLOOKUP(E53,Summary!C$4:C$7,Summary!D$4:D$7,"ERROR")</f>
        <v>0</v>
      </c>
      <c r="H53" s="2455"/>
      <c r="I53" s="2455"/>
      <c r="J53" s="2455"/>
      <c r="K53" s="2455"/>
      <c r="L53" s="2455"/>
      <c r="M53" s="2455"/>
      <c r="N53" s="2455"/>
      <c r="O53" s="2455"/>
      <c r="P53" s="2455"/>
      <c r="Q53" s="2455"/>
      <c r="R53" s="2455"/>
      <c r="S53" s="2455"/>
      <c r="T53" s="2455"/>
      <c r="U53" s="2455"/>
      <c r="V53" s="2455"/>
      <c r="W53" s="2455"/>
      <c r="X53" s="2455"/>
      <c r="Y53" s="2455"/>
      <c r="Z53" s="2455"/>
    </row>
    <row r="54" spans="1:26" ht="12" x14ac:dyDescent="0.2">
      <c r="A54" s="2455" t="str">
        <f>MID(Summary!$B$1,FIND(" ",Summary!$B$1,1)+1,4)</f>
        <v>2011</v>
      </c>
      <c r="B54" s="2455" t="s">
        <v>2195</v>
      </c>
      <c r="C54" s="2455" t="s">
        <v>716</v>
      </c>
      <c r="D54" s="2455" t="s">
        <v>129</v>
      </c>
      <c r="E54" s="2455" t="s">
        <v>14</v>
      </c>
      <c r="F54" s="2455" t="s">
        <v>2194</v>
      </c>
      <c r="G54" s="2456">
        <f>Residential!E61/_xlfn.XLOOKUP(E54,Summary!C$4:C$7,Summary!E$4:E$7,"ERROR")*_xlfn.XLOOKUP(E54,Summary!C$4:C$7,Summary!D$4:D$7,"ERROR")</f>
        <v>0.20616699974295077</v>
      </c>
      <c r="H54" s="2455"/>
      <c r="I54" s="2455"/>
      <c r="J54" s="2455"/>
      <c r="K54" s="2455"/>
      <c r="L54" s="2455"/>
      <c r="M54" s="2455"/>
      <c r="N54" s="2455"/>
      <c r="O54" s="2455"/>
      <c r="P54" s="2455"/>
      <c r="Q54" s="2455"/>
      <c r="R54" s="2455"/>
      <c r="S54" s="2455"/>
      <c r="T54" s="2455"/>
      <c r="U54" s="2455"/>
      <c r="V54" s="2455"/>
      <c r="W54" s="2455"/>
      <c r="X54" s="2455"/>
      <c r="Y54" s="2455"/>
      <c r="Z54" s="2455"/>
    </row>
    <row r="55" spans="1:26" ht="12" x14ac:dyDescent="0.2">
      <c r="A55" s="2455" t="str">
        <f>MID(Summary!$B$1,FIND(" ",Summary!$B$1,1)+1,4)</f>
        <v>2011</v>
      </c>
      <c r="B55" s="2455" t="s">
        <v>2195</v>
      </c>
      <c r="C55" s="2455" t="s">
        <v>716</v>
      </c>
      <c r="D55" s="2455" t="s">
        <v>129</v>
      </c>
      <c r="E55" s="2455" t="s">
        <v>18</v>
      </c>
      <c r="F55" s="2455" t="s">
        <v>2194</v>
      </c>
      <c r="G55" s="2456">
        <f>Residential!D61/_xlfn.XLOOKUP(E55,Summary!C$4:C$7,Summary!E$4:E$7,"ERROR")*_xlfn.XLOOKUP(E55,Summary!C$4:C$7,Summary!D$4:D$7,"ERROR")</f>
        <v>9.241968953994345E-3</v>
      </c>
      <c r="H55" s="2455"/>
      <c r="J55" s="2455"/>
      <c r="K55" s="2455"/>
      <c r="L55" s="2455"/>
      <c r="M55" s="2455"/>
      <c r="N55" s="2455"/>
      <c r="O55" s="2455"/>
      <c r="P55" s="2455"/>
      <c r="Q55" s="2455"/>
      <c r="R55" s="2455"/>
      <c r="S55" s="2455"/>
      <c r="T55" s="2455"/>
      <c r="U55" s="2455"/>
      <c r="V55" s="2455"/>
      <c r="W55" s="2455"/>
      <c r="X55" s="2455"/>
      <c r="Y55" s="2455"/>
      <c r="Z55" s="2455"/>
    </row>
    <row r="56" spans="1:26" ht="12" x14ac:dyDescent="0.2">
      <c r="A56" s="2455" t="str">
        <f>MID(Summary!$B$1,FIND(" ",Summary!$B$1,1)+1,4)</f>
        <v>2011</v>
      </c>
      <c r="B56" s="2455" t="s">
        <v>2195</v>
      </c>
      <c r="C56" s="2455" t="s">
        <v>717</v>
      </c>
      <c r="D56" s="2455" t="s">
        <v>53</v>
      </c>
      <c r="E56" s="2455" t="s">
        <v>3</v>
      </c>
      <c r="F56" s="2455" t="s">
        <v>2192</v>
      </c>
      <c r="G56" s="2456">
        <f>Commercial!C66</f>
        <v>5.8279398354469596E-2</v>
      </c>
      <c r="L56" s="2455"/>
      <c r="M56" s="2455"/>
      <c r="N56" s="2455"/>
      <c r="O56" s="2455"/>
      <c r="P56" s="2455"/>
      <c r="Q56" s="2455"/>
      <c r="R56" s="2455"/>
      <c r="S56" s="2455"/>
      <c r="T56" s="2455"/>
      <c r="U56" s="2455"/>
      <c r="V56" s="2455"/>
      <c r="W56" s="2455"/>
      <c r="X56" s="2455"/>
      <c r="Y56" s="2455"/>
      <c r="Z56" s="2455"/>
    </row>
    <row r="57" spans="1:26" ht="12" x14ac:dyDescent="0.2">
      <c r="A57" s="2455" t="str">
        <f>MID(Summary!$B$1,FIND(" ",Summary!$B$1,1)+1,4)</f>
        <v>2011</v>
      </c>
      <c r="B57" s="2455" t="s">
        <v>2195</v>
      </c>
      <c r="C57" s="2455" t="s">
        <v>717</v>
      </c>
      <c r="D57" s="2455" t="s">
        <v>53</v>
      </c>
      <c r="E57" s="2455" t="s">
        <v>14</v>
      </c>
      <c r="F57" s="2455" t="s">
        <v>2192</v>
      </c>
      <c r="G57" s="2456">
        <f>Commercial!D66</f>
        <v>1.7253945565568642E-4</v>
      </c>
      <c r="L57" s="2455"/>
      <c r="M57" s="2455"/>
      <c r="N57" s="2455"/>
      <c r="O57" s="2455"/>
      <c r="P57" s="2455"/>
      <c r="Q57" s="2455"/>
      <c r="R57" s="2455"/>
      <c r="S57" s="2455"/>
      <c r="T57" s="2455"/>
      <c r="U57" s="2455"/>
      <c r="V57" s="2455"/>
      <c r="W57" s="2455"/>
      <c r="X57" s="2455"/>
      <c r="Y57" s="2455"/>
      <c r="Z57" s="2455"/>
    </row>
    <row r="58" spans="1:26" ht="12" x14ac:dyDescent="0.2">
      <c r="A58" s="2455" t="str">
        <f>MID(Summary!$B$1,FIND(" ",Summary!$B$1,1)+1,4)</f>
        <v>2011</v>
      </c>
      <c r="B58" s="2455" t="s">
        <v>2195</v>
      </c>
      <c r="C58" s="2455" t="s">
        <v>717</v>
      </c>
      <c r="D58" s="2455" t="s">
        <v>53</v>
      </c>
      <c r="E58" s="2455" t="s">
        <v>18</v>
      </c>
      <c r="F58" s="2455" t="s">
        <v>2192</v>
      </c>
      <c r="G58" s="2456">
        <f>Commercial!E66</f>
        <v>2.5324339459141071E-4</v>
      </c>
      <c r="L58" s="2455"/>
      <c r="M58" s="2455"/>
      <c r="N58" s="2455"/>
      <c r="O58" s="2455"/>
      <c r="P58" s="2455"/>
      <c r="Q58" s="2455"/>
      <c r="R58" s="2455"/>
      <c r="S58" s="2455"/>
      <c r="T58" s="2455"/>
      <c r="U58" s="2455"/>
      <c r="V58" s="2455"/>
      <c r="W58" s="2455"/>
      <c r="X58" s="2455"/>
      <c r="Y58" s="2455"/>
      <c r="Z58" s="2455"/>
    </row>
    <row r="59" spans="1:26" ht="12" x14ac:dyDescent="0.2">
      <c r="A59" s="2455" t="str">
        <f>MID(Summary!$B$1,FIND(" ",Summary!$B$1,1)+1,4)</f>
        <v>2011</v>
      </c>
      <c r="B59" s="2455" t="s">
        <v>2195</v>
      </c>
      <c r="C59" s="2455" t="s">
        <v>717</v>
      </c>
      <c r="D59" s="2455" t="s">
        <v>166</v>
      </c>
      <c r="E59" s="2455" t="s">
        <v>3</v>
      </c>
      <c r="F59" s="2455" t="s">
        <v>2192</v>
      </c>
      <c r="G59" s="2456">
        <f>Commercial!C67</f>
        <v>3.8793864467223447</v>
      </c>
      <c r="L59" s="2455"/>
      <c r="M59" s="2455"/>
      <c r="N59" s="2455"/>
      <c r="O59" s="2455"/>
      <c r="P59" s="2455"/>
      <c r="Q59" s="2455"/>
      <c r="R59" s="2455"/>
      <c r="S59" s="2455"/>
      <c r="T59" s="2455"/>
      <c r="U59" s="2455"/>
      <c r="V59" s="2455"/>
      <c r="W59" s="2455"/>
      <c r="X59" s="2455"/>
      <c r="Y59" s="2455"/>
      <c r="Z59" s="2455"/>
    </row>
    <row r="60" spans="1:26" ht="12" x14ac:dyDescent="0.2">
      <c r="A60" s="2455" t="str">
        <f>MID(Summary!$B$1,FIND(" ",Summary!$B$1,1)+1,4)</f>
        <v>2011</v>
      </c>
      <c r="B60" s="2455" t="s">
        <v>2195</v>
      </c>
      <c r="C60" s="2455" t="s">
        <v>717</v>
      </c>
      <c r="D60" s="2455" t="s">
        <v>166</v>
      </c>
      <c r="E60" s="2455" t="s">
        <v>14</v>
      </c>
      <c r="F60" s="2455" t="s">
        <v>2192</v>
      </c>
      <c r="G60" s="2456">
        <f>Commercial!D67</f>
        <v>1.0105545990595483E-2</v>
      </c>
      <c r="L60" s="2455"/>
      <c r="M60" s="2455"/>
      <c r="N60" s="2455"/>
      <c r="O60" s="2455"/>
      <c r="P60" s="2455"/>
      <c r="Q60" s="2455"/>
      <c r="R60" s="2455"/>
      <c r="S60" s="2455"/>
      <c r="T60" s="2455"/>
      <c r="U60" s="2455"/>
      <c r="V60" s="2455"/>
      <c r="W60" s="2455"/>
      <c r="X60" s="2455"/>
      <c r="Y60" s="2455"/>
      <c r="Z60" s="2455"/>
    </row>
    <row r="61" spans="1:26" ht="12" x14ac:dyDescent="0.2">
      <c r="A61" s="2455" t="str">
        <f>MID(Summary!$B$1,FIND(" ",Summary!$B$1,1)+1,4)</f>
        <v>2011</v>
      </c>
      <c r="B61" s="2455" t="s">
        <v>2195</v>
      </c>
      <c r="C61" s="2455" t="s">
        <v>717</v>
      </c>
      <c r="D61" s="2455" t="s">
        <v>166</v>
      </c>
      <c r="E61" s="2455" t="s">
        <v>18</v>
      </c>
      <c r="F61" s="2455" t="s">
        <v>2192</v>
      </c>
      <c r="G61" s="2456">
        <f>Commercial!E67</f>
        <v>2.3362075790190687E-3</v>
      </c>
      <c r="L61" s="2455"/>
      <c r="M61" s="2455"/>
      <c r="N61" s="2455"/>
      <c r="O61" s="2455"/>
      <c r="P61" s="2455"/>
      <c r="Q61" s="2455"/>
      <c r="R61" s="2455"/>
      <c r="S61" s="2455"/>
      <c r="T61" s="2455"/>
      <c r="U61" s="2455"/>
      <c r="V61" s="2455"/>
      <c r="W61" s="2455"/>
      <c r="X61" s="2455"/>
      <c r="Y61" s="2455"/>
      <c r="Z61" s="2455"/>
    </row>
    <row r="62" spans="1:26" ht="12" x14ac:dyDescent="0.2">
      <c r="A62" s="2455" t="str">
        <f>MID(Summary!$B$1,FIND(" ",Summary!$B$1,1)+1,4)</f>
        <v>2011</v>
      </c>
      <c r="B62" s="2455" t="s">
        <v>2195</v>
      </c>
      <c r="C62" s="2455" t="s">
        <v>717</v>
      </c>
      <c r="D62" s="2455" t="s">
        <v>179</v>
      </c>
      <c r="E62" s="2455" t="s">
        <v>3</v>
      </c>
      <c r="F62" s="2455" t="s">
        <v>2192</v>
      </c>
      <c r="G62" s="2456">
        <f>Commercial!C68</f>
        <v>0.64229331931566536</v>
      </c>
      <c r="L62" s="2455"/>
      <c r="M62" s="2455"/>
      <c r="N62" s="2455"/>
      <c r="O62" s="2455"/>
      <c r="P62" s="2455"/>
      <c r="Q62" s="2455"/>
      <c r="R62" s="2455"/>
      <c r="S62" s="2455"/>
      <c r="T62" s="2455"/>
      <c r="U62" s="2455"/>
      <c r="V62" s="2455"/>
      <c r="W62" s="2455"/>
      <c r="X62" s="2455"/>
      <c r="Y62" s="2455"/>
      <c r="Z62" s="2455"/>
    </row>
    <row r="63" spans="1:26" ht="12" x14ac:dyDescent="0.2">
      <c r="A63" s="2455" t="str">
        <f>MID(Summary!$B$1,FIND(" ",Summary!$B$1,1)+1,4)</f>
        <v>2011</v>
      </c>
      <c r="B63" s="2455" t="s">
        <v>2195</v>
      </c>
      <c r="C63" s="2455" t="s">
        <v>717</v>
      </c>
      <c r="D63" s="2455" t="s">
        <v>179</v>
      </c>
      <c r="E63" s="2455" t="s">
        <v>14</v>
      </c>
      <c r="F63" s="2455" t="s">
        <v>2192</v>
      </c>
      <c r="G63" s="2456">
        <f>Commercial!D68</f>
        <v>2.432610574957562E-3</v>
      </c>
      <c r="L63" s="2455"/>
      <c r="M63" s="2455"/>
      <c r="N63" s="2455"/>
      <c r="O63" s="2455"/>
      <c r="P63" s="2455"/>
      <c r="Q63" s="2455"/>
      <c r="R63" s="2455"/>
      <c r="S63" s="2455"/>
      <c r="T63" s="2455"/>
      <c r="U63" s="2455"/>
      <c r="V63" s="2455"/>
      <c r="W63" s="2455"/>
      <c r="X63" s="2455"/>
      <c r="Y63" s="2455"/>
      <c r="Z63" s="2455"/>
    </row>
    <row r="64" spans="1:26" ht="12" x14ac:dyDescent="0.2">
      <c r="A64" s="2455" t="str">
        <f>MID(Summary!$B$1,FIND(" ",Summary!$B$1,1)+1,4)</f>
        <v>2011</v>
      </c>
      <c r="B64" s="2455" t="s">
        <v>2195</v>
      </c>
      <c r="C64" s="2455" t="s">
        <v>717</v>
      </c>
      <c r="D64" s="2455" t="s">
        <v>179</v>
      </c>
      <c r="E64" s="2455" t="s">
        <v>18</v>
      </c>
      <c r="F64" s="2455" t="s">
        <v>2192</v>
      </c>
      <c r="G64" s="2456">
        <f>Commercial!E68</f>
        <v>1.4281778214266978E-3</v>
      </c>
      <c r="J64" s="2455"/>
      <c r="K64" s="2455"/>
      <c r="L64" s="2455"/>
      <c r="M64" s="2455"/>
      <c r="N64" s="2455"/>
      <c r="O64" s="2455"/>
      <c r="P64" s="2455"/>
      <c r="Q64" s="2455"/>
      <c r="R64" s="2455"/>
      <c r="S64" s="2455"/>
      <c r="T64" s="2455"/>
      <c r="U64" s="2455"/>
      <c r="V64" s="2455"/>
      <c r="W64" s="2455"/>
      <c r="X64" s="2455"/>
      <c r="Y64" s="2455"/>
      <c r="Z64" s="2455"/>
    </row>
    <row r="65" spans="1:26" ht="12" x14ac:dyDescent="0.2">
      <c r="A65" s="2455" t="str">
        <f>MID(Summary!$B$1,FIND(" ",Summary!$B$1,1)+1,4)</f>
        <v>2011</v>
      </c>
      <c r="B65" s="2455" t="s">
        <v>2195</v>
      </c>
      <c r="C65" s="2455" t="s">
        <v>717</v>
      </c>
      <c r="D65" s="2455" t="s">
        <v>129</v>
      </c>
      <c r="E65" s="2455" t="s">
        <v>3</v>
      </c>
      <c r="F65" s="2455" t="s">
        <v>2192</v>
      </c>
      <c r="G65" s="2456">
        <f>Commercial!C69</f>
        <v>0</v>
      </c>
      <c r="L65" s="2455"/>
      <c r="M65" s="2455"/>
      <c r="N65" s="2455"/>
      <c r="O65" s="2455"/>
      <c r="P65" s="2455"/>
      <c r="Q65" s="2455"/>
      <c r="R65" s="2455"/>
      <c r="S65" s="2455"/>
      <c r="T65" s="2455"/>
      <c r="U65" s="2455"/>
      <c r="V65" s="2455"/>
      <c r="W65" s="2455"/>
      <c r="X65" s="2455"/>
      <c r="Y65" s="2455"/>
      <c r="Z65" s="2455"/>
    </row>
    <row r="66" spans="1:26" ht="12" x14ac:dyDescent="0.2">
      <c r="A66" s="2455" t="str">
        <f>MID(Summary!$B$1,FIND(" ",Summary!$B$1,1)+1,4)</f>
        <v>2011</v>
      </c>
      <c r="B66" s="2455" t="s">
        <v>2195</v>
      </c>
      <c r="C66" s="2455" t="s">
        <v>717</v>
      </c>
      <c r="D66" s="2455" t="s">
        <v>129</v>
      </c>
      <c r="E66" s="2455" t="s">
        <v>14</v>
      </c>
      <c r="F66" s="2455" t="s">
        <v>2192</v>
      </c>
      <c r="G66" s="2456">
        <f>Commercial!D69</f>
        <v>2.8262148283568655E-2</v>
      </c>
      <c r="K66" s="2455"/>
      <c r="L66" s="2455"/>
      <c r="M66" s="2455"/>
      <c r="N66" s="2455"/>
      <c r="O66" s="2455"/>
      <c r="P66" s="2455"/>
      <c r="Q66" s="2455"/>
      <c r="R66" s="2455"/>
      <c r="S66" s="2455"/>
      <c r="T66" s="2455"/>
      <c r="U66" s="2455"/>
      <c r="V66" s="2455"/>
      <c r="W66" s="2455"/>
      <c r="X66" s="2455"/>
      <c r="Y66" s="2455"/>
      <c r="Z66" s="2455"/>
    </row>
    <row r="67" spans="1:26" ht="12" x14ac:dyDescent="0.2">
      <c r="A67" s="2455" t="str">
        <f>MID(Summary!$B$1,FIND(" ",Summary!$B$1,1)+1,4)</f>
        <v>2011</v>
      </c>
      <c r="B67" s="2455" t="s">
        <v>2195</v>
      </c>
      <c r="C67" s="2455" t="s">
        <v>717</v>
      </c>
      <c r="D67" s="2455" t="s">
        <v>129</v>
      </c>
      <c r="E67" s="2455" t="s">
        <v>18</v>
      </c>
      <c r="F67" s="2455" t="s">
        <v>2192</v>
      </c>
      <c r="G67" s="2456">
        <f>Commercial!E69</f>
        <v>3.6872480197917526E-3</v>
      </c>
      <c r="J67" s="2455"/>
      <c r="K67" s="2455"/>
      <c r="L67" s="2455"/>
      <c r="M67" s="2455"/>
      <c r="N67" s="2455"/>
      <c r="O67" s="2455"/>
      <c r="P67" s="2455"/>
      <c r="Q67" s="2455"/>
      <c r="R67" s="2455"/>
      <c r="S67" s="2455"/>
      <c r="T67" s="2455"/>
      <c r="U67" s="2455"/>
      <c r="V67" s="2455"/>
      <c r="W67" s="2455"/>
      <c r="X67" s="2455"/>
      <c r="Y67" s="2455"/>
      <c r="Z67" s="2455"/>
    </row>
    <row r="68" spans="1:26" ht="12" x14ac:dyDescent="0.2">
      <c r="A68" s="2455" t="str">
        <f>MID(Summary!$B$1,FIND(" ",Summary!$B$1,1)+1,4)</f>
        <v>2011</v>
      </c>
      <c r="B68" s="2455" t="s">
        <v>2195</v>
      </c>
      <c r="C68" s="2455" t="s">
        <v>717</v>
      </c>
      <c r="D68" s="2455" t="s">
        <v>53</v>
      </c>
      <c r="E68" s="2455" t="s">
        <v>3</v>
      </c>
      <c r="F68" s="2455" t="s">
        <v>2194</v>
      </c>
      <c r="G68" s="2456">
        <f>Commercial!C66/_xlfn.XLOOKUP(E68,Summary!C$4:C$7,Summary!E$4:E$7,"ERROR")*_xlfn.XLOOKUP(E68,Summary!C$4:C$7,Summary!D$4:D$7,"ERROR")</f>
        <v>5.8279398354469596E-2</v>
      </c>
      <c r="H68" s="2455"/>
      <c r="I68" s="2455"/>
      <c r="J68" s="2455"/>
      <c r="K68" s="2455"/>
      <c r="L68" s="2455"/>
      <c r="M68" s="2455"/>
      <c r="N68" s="2455"/>
      <c r="O68" s="2455"/>
      <c r="P68" s="2455"/>
      <c r="Q68" s="2455"/>
      <c r="R68" s="2455"/>
      <c r="S68" s="2455"/>
      <c r="T68" s="2455"/>
      <c r="U68" s="2455"/>
      <c r="V68" s="2455"/>
      <c r="W68" s="2455"/>
      <c r="X68" s="2455"/>
      <c r="Y68" s="2455"/>
      <c r="Z68" s="2455"/>
    </row>
    <row r="69" spans="1:26" ht="12" x14ac:dyDescent="0.2">
      <c r="A69" s="2455" t="str">
        <f>MID(Summary!$B$1,FIND(" ",Summary!$B$1,1)+1,4)</f>
        <v>2011</v>
      </c>
      <c r="B69" s="2455" t="s">
        <v>2195</v>
      </c>
      <c r="C69" s="2455" t="s">
        <v>717</v>
      </c>
      <c r="D69" s="2455" t="s">
        <v>53</v>
      </c>
      <c r="E69" s="2455" t="s">
        <v>14</v>
      </c>
      <c r="F69" s="2455" t="s">
        <v>2194</v>
      </c>
      <c r="G69" s="2456">
        <f>Commercial!D66/_xlfn.XLOOKUP(E69,Summary!C$4:C$7,Summary!E$4:E$7,"ERROR")*_xlfn.XLOOKUP(E69,Summary!C$4:C$7,Summary!D$4:D$7,"ERROR")</f>
        <v>5.0215784226672895E-4</v>
      </c>
      <c r="H69" s="2455"/>
      <c r="I69" s="2455"/>
      <c r="J69" s="2455"/>
      <c r="K69" s="2455"/>
      <c r="L69" s="2455"/>
      <c r="M69" s="2455"/>
      <c r="N69" s="2455"/>
      <c r="O69" s="2455"/>
      <c r="P69" s="2455"/>
      <c r="Q69" s="2455"/>
      <c r="R69" s="2455"/>
      <c r="S69" s="2455"/>
      <c r="T69" s="2455"/>
      <c r="U69" s="2455"/>
      <c r="V69" s="2455"/>
      <c r="W69" s="2455"/>
      <c r="X69" s="2455"/>
      <c r="Y69" s="2455"/>
      <c r="Z69" s="2455"/>
    </row>
    <row r="70" spans="1:26" ht="12" x14ac:dyDescent="0.2">
      <c r="A70" s="2455" t="str">
        <f>MID(Summary!$B$1,FIND(" ",Summary!$B$1,1)+1,4)</f>
        <v>2011</v>
      </c>
      <c r="B70" s="2455" t="s">
        <v>2195</v>
      </c>
      <c r="C70" s="2455" t="s">
        <v>717</v>
      </c>
      <c r="D70" s="2455" t="s">
        <v>53</v>
      </c>
      <c r="E70" s="2455" t="s">
        <v>18</v>
      </c>
      <c r="F70" s="2455" t="s">
        <v>2194</v>
      </c>
      <c r="G70" s="2456">
        <f>Commercial!E66/_xlfn.XLOOKUP(E70,Summary!C$4:C$7,Summary!E$4:E$7,"ERROR")*_xlfn.XLOOKUP(E70,Summary!C$4:C$7,Summary!D$4:D$7,"ERROR")</f>
        <v>2.5324339459141071E-4</v>
      </c>
      <c r="H70" s="2455"/>
      <c r="I70" s="2455"/>
      <c r="J70" s="2455"/>
      <c r="K70" s="2455"/>
      <c r="L70" s="2455"/>
      <c r="M70" s="2455"/>
      <c r="N70" s="2455"/>
      <c r="O70" s="2455"/>
      <c r="P70" s="2455"/>
      <c r="Q70" s="2455"/>
      <c r="R70" s="2455"/>
      <c r="S70" s="2455"/>
      <c r="T70" s="2455"/>
      <c r="U70" s="2455"/>
      <c r="V70" s="2455"/>
      <c r="W70" s="2455"/>
      <c r="X70" s="2455"/>
      <c r="Y70" s="2455"/>
      <c r="Z70" s="2455"/>
    </row>
    <row r="71" spans="1:26" ht="12" x14ac:dyDescent="0.2">
      <c r="A71" s="2455" t="str">
        <f>MID(Summary!$B$1,FIND(" ",Summary!$B$1,1)+1,4)</f>
        <v>2011</v>
      </c>
      <c r="B71" s="2455" t="s">
        <v>2195</v>
      </c>
      <c r="C71" s="2455" t="s">
        <v>717</v>
      </c>
      <c r="D71" s="2455" t="s">
        <v>166</v>
      </c>
      <c r="E71" s="2455" t="s">
        <v>3</v>
      </c>
      <c r="F71" s="2455" t="s">
        <v>2194</v>
      </c>
      <c r="G71" s="2456">
        <f>Commercial!C67/_xlfn.XLOOKUP(E71,Summary!C$4:C$7,Summary!E$4:E$7,"ERROR")*_xlfn.XLOOKUP(E71,Summary!C$4:C$7,Summary!D$4:D$7,"ERROR")</f>
        <v>3.8793864467223447</v>
      </c>
      <c r="H71" s="2455"/>
      <c r="I71" s="2455"/>
      <c r="J71" s="2455"/>
      <c r="K71" s="2455"/>
      <c r="L71" s="2455"/>
      <c r="M71" s="2455"/>
      <c r="N71" s="2455"/>
      <c r="O71" s="2455"/>
      <c r="P71" s="2455"/>
      <c r="Q71" s="2455"/>
      <c r="R71" s="2455"/>
      <c r="S71" s="2455"/>
      <c r="T71" s="2455"/>
      <c r="U71" s="2455"/>
      <c r="V71" s="2455"/>
      <c r="W71" s="2455"/>
      <c r="X71" s="2455"/>
      <c r="Y71" s="2455"/>
      <c r="Z71" s="2455"/>
    </row>
    <row r="72" spans="1:26" ht="12" x14ac:dyDescent="0.2">
      <c r="A72" s="2455" t="str">
        <f>MID(Summary!$B$1,FIND(" ",Summary!$B$1,1)+1,4)</f>
        <v>2011</v>
      </c>
      <c r="B72" s="2455" t="s">
        <v>2195</v>
      </c>
      <c r="C72" s="2455" t="s">
        <v>717</v>
      </c>
      <c r="D72" s="2455" t="s">
        <v>166</v>
      </c>
      <c r="E72" s="2455" t="s">
        <v>14</v>
      </c>
      <c r="F72" s="2455" t="s">
        <v>2194</v>
      </c>
      <c r="G72" s="2456">
        <f>Commercial!D67/_xlfn.XLOOKUP(E72,Summary!C$4:C$7,Summary!E$4:E$7,"ERROR")*_xlfn.XLOOKUP(E72,Summary!C$4:C$7,Summary!D$4:D$7,"ERROR")</f>
        <v>2.9411123098077179E-2</v>
      </c>
      <c r="H72" s="2455"/>
      <c r="I72" s="2455"/>
      <c r="J72" s="2455"/>
      <c r="K72" s="2455"/>
      <c r="L72" s="2455"/>
      <c r="M72" s="2455"/>
      <c r="N72" s="2455"/>
      <c r="O72" s="2455"/>
      <c r="P72" s="2455"/>
      <c r="Q72" s="2455"/>
      <c r="R72" s="2455"/>
      <c r="S72" s="2455"/>
      <c r="T72" s="2455"/>
      <c r="U72" s="2455"/>
      <c r="V72" s="2455"/>
      <c r="W72" s="2455"/>
      <c r="X72" s="2455"/>
      <c r="Y72" s="2455"/>
      <c r="Z72" s="2455"/>
    </row>
    <row r="73" spans="1:26" ht="12" x14ac:dyDescent="0.2">
      <c r="A73" s="2455" t="str">
        <f>MID(Summary!$B$1,FIND(" ",Summary!$B$1,1)+1,4)</f>
        <v>2011</v>
      </c>
      <c r="B73" s="2455" t="s">
        <v>2195</v>
      </c>
      <c r="C73" s="2455" t="s">
        <v>717</v>
      </c>
      <c r="D73" s="2455" t="s">
        <v>166</v>
      </c>
      <c r="E73" s="2455" t="s">
        <v>18</v>
      </c>
      <c r="F73" s="2455" t="s">
        <v>2194</v>
      </c>
      <c r="G73" s="2456">
        <f>Commercial!E67/_xlfn.XLOOKUP(E73,Summary!C$4:C$7,Summary!E$4:E$7,"ERROR")*_xlfn.XLOOKUP(E73,Summary!C$4:C$7,Summary!D$4:D$7,"ERROR")</f>
        <v>2.3362075790190682E-3</v>
      </c>
      <c r="H73" s="2455"/>
      <c r="I73" s="2455"/>
      <c r="J73" s="2455"/>
      <c r="K73" s="2455"/>
      <c r="L73" s="2455"/>
      <c r="M73" s="2455"/>
      <c r="N73" s="2455"/>
      <c r="O73" s="2455"/>
      <c r="P73" s="2455"/>
      <c r="Q73" s="2455"/>
      <c r="R73" s="2455"/>
      <c r="S73" s="2455"/>
      <c r="T73" s="2455"/>
      <c r="U73" s="2455"/>
      <c r="V73" s="2455"/>
      <c r="W73" s="2455"/>
      <c r="X73" s="2455"/>
      <c r="Y73" s="2455"/>
      <c r="Z73" s="2455"/>
    </row>
    <row r="74" spans="1:26" ht="12" x14ac:dyDescent="0.2">
      <c r="A74" s="2455" t="str">
        <f>MID(Summary!$B$1,FIND(" ",Summary!$B$1,1)+1,4)</f>
        <v>2011</v>
      </c>
      <c r="B74" s="2455" t="s">
        <v>2195</v>
      </c>
      <c r="C74" s="2455" t="s">
        <v>717</v>
      </c>
      <c r="D74" s="2455" t="s">
        <v>179</v>
      </c>
      <c r="E74" s="2455" t="s">
        <v>3</v>
      </c>
      <c r="F74" s="2455" t="s">
        <v>2194</v>
      </c>
      <c r="G74" s="2456">
        <f>Commercial!C68/_xlfn.XLOOKUP(E74,Summary!C$4:C$7,Summary!E$4:E$7,"ERROR")*_xlfn.XLOOKUP(E74,Summary!C$4:C$7,Summary!D$4:D$7,"ERROR")</f>
        <v>0.64229331931566536</v>
      </c>
      <c r="H74" s="2455"/>
      <c r="I74" s="2455"/>
      <c r="J74" s="2455"/>
      <c r="K74" s="2455"/>
      <c r="L74" s="2455"/>
      <c r="M74" s="2455"/>
      <c r="N74" s="2455"/>
      <c r="O74" s="2455"/>
      <c r="P74" s="2455"/>
      <c r="Q74" s="2455"/>
      <c r="R74" s="2455"/>
      <c r="S74" s="2455"/>
      <c r="T74" s="2455"/>
      <c r="U74" s="2455"/>
      <c r="V74" s="2455"/>
      <c r="W74" s="2455"/>
      <c r="X74" s="2455"/>
      <c r="Y74" s="2455"/>
      <c r="Z74" s="2455"/>
    </row>
    <row r="75" spans="1:26" ht="12" x14ac:dyDescent="0.2">
      <c r="A75" s="2455" t="str">
        <f>MID(Summary!$B$1,FIND(" ",Summary!$B$1,1)+1,4)</f>
        <v>2011</v>
      </c>
      <c r="B75" s="2455" t="s">
        <v>2195</v>
      </c>
      <c r="C75" s="2455" t="s">
        <v>717</v>
      </c>
      <c r="D75" s="2455" t="s">
        <v>179</v>
      </c>
      <c r="E75" s="2455" t="s">
        <v>14</v>
      </c>
      <c r="F75" s="2455" t="s">
        <v>2194</v>
      </c>
      <c r="G75" s="2456">
        <f>Commercial!D68/_xlfn.XLOOKUP(E75,Summary!C$4:C$7,Summary!E$4:E$7,"ERROR")*_xlfn.XLOOKUP(E75,Summary!C$4:C$7,Summary!D$4:D$7,"ERROR")</f>
        <v>7.0798558669015786E-3</v>
      </c>
      <c r="H75" s="2455"/>
      <c r="I75" s="2455"/>
      <c r="J75" s="2455"/>
      <c r="K75" s="2455"/>
      <c r="L75" s="2455"/>
      <c r="M75" s="2455"/>
      <c r="N75" s="2455"/>
      <c r="O75" s="2455"/>
      <c r="P75" s="2455"/>
      <c r="Q75" s="2455"/>
      <c r="R75" s="2455"/>
      <c r="S75" s="2455"/>
      <c r="T75" s="2455"/>
      <c r="U75" s="2455"/>
      <c r="V75" s="2455"/>
      <c r="W75" s="2455"/>
      <c r="X75" s="2455"/>
      <c r="Y75" s="2455"/>
      <c r="Z75" s="2455"/>
    </row>
    <row r="76" spans="1:26" ht="12" x14ac:dyDescent="0.2">
      <c r="A76" s="2455" t="str">
        <f>MID(Summary!$B$1,FIND(" ",Summary!$B$1,1)+1,4)</f>
        <v>2011</v>
      </c>
      <c r="B76" s="2455" t="s">
        <v>2195</v>
      </c>
      <c r="C76" s="2455" t="s">
        <v>717</v>
      </c>
      <c r="D76" s="2455" t="s">
        <v>179</v>
      </c>
      <c r="E76" s="2455" t="s">
        <v>18</v>
      </c>
      <c r="F76" s="2455" t="s">
        <v>2194</v>
      </c>
      <c r="G76" s="2456">
        <f>Commercial!E68/_xlfn.XLOOKUP(E76,Summary!C$4:C$7,Summary!E$4:E$7,"ERROR")*_xlfn.XLOOKUP(E76,Summary!C$4:C$7,Summary!D$4:D$7,"ERROR")</f>
        <v>1.4281778214266978E-3</v>
      </c>
      <c r="H76" s="2455"/>
      <c r="I76" s="2455"/>
      <c r="J76" s="2455"/>
      <c r="K76" s="2455"/>
      <c r="L76" s="2455"/>
      <c r="M76" s="2455"/>
      <c r="N76" s="2455"/>
      <c r="O76" s="2455"/>
      <c r="P76" s="2455"/>
      <c r="Q76" s="2455"/>
      <c r="R76" s="2455"/>
      <c r="S76" s="2455"/>
      <c r="T76" s="2455"/>
      <c r="U76" s="2455"/>
      <c r="V76" s="2455"/>
      <c r="W76" s="2455"/>
      <c r="X76" s="2455"/>
      <c r="Y76" s="2455"/>
      <c r="Z76" s="2455"/>
    </row>
    <row r="77" spans="1:26" ht="12" x14ac:dyDescent="0.2">
      <c r="A77" s="2455" t="str">
        <f>MID(Summary!$B$1,FIND(" ",Summary!$B$1,1)+1,4)</f>
        <v>2011</v>
      </c>
      <c r="B77" s="2455" t="s">
        <v>2195</v>
      </c>
      <c r="C77" s="2455" t="s">
        <v>717</v>
      </c>
      <c r="D77" s="2455" t="s">
        <v>129</v>
      </c>
      <c r="E77" s="2455" t="s">
        <v>3</v>
      </c>
      <c r="F77" s="2455" t="s">
        <v>2194</v>
      </c>
      <c r="G77" s="2456">
        <f>Commercial!C69/_xlfn.XLOOKUP(E77,Summary!C$4:C$7,Summary!E$4:E$7,"ERROR")*_xlfn.XLOOKUP(E77,Summary!C$4:C$7,Summary!D$4:D$7,"ERROR")</f>
        <v>0</v>
      </c>
      <c r="H77" s="2455"/>
      <c r="I77" s="2455"/>
      <c r="J77" s="2455"/>
      <c r="K77" s="2455"/>
      <c r="L77" s="2455"/>
      <c r="M77" s="2455"/>
      <c r="N77" s="2455"/>
      <c r="O77" s="2455"/>
      <c r="P77" s="2455"/>
      <c r="Q77" s="2455"/>
      <c r="R77" s="2455"/>
      <c r="S77" s="2455"/>
      <c r="T77" s="2455"/>
      <c r="U77" s="2455"/>
      <c r="V77" s="2455"/>
      <c r="W77" s="2455"/>
      <c r="X77" s="2455"/>
      <c r="Y77" s="2455"/>
      <c r="Z77" s="2455"/>
    </row>
    <row r="78" spans="1:26" ht="12" x14ac:dyDescent="0.2">
      <c r="A78" s="2455" t="str">
        <f>MID(Summary!$B$1,FIND(" ",Summary!$B$1,1)+1,4)</f>
        <v>2011</v>
      </c>
      <c r="B78" s="2455" t="s">
        <v>2195</v>
      </c>
      <c r="C78" s="2455" t="s">
        <v>717</v>
      </c>
      <c r="D78" s="2455" t="s">
        <v>129</v>
      </c>
      <c r="E78" s="2455" t="s">
        <v>14</v>
      </c>
      <c r="F78" s="2455" t="s">
        <v>2194</v>
      </c>
      <c r="G78" s="2456">
        <f>Commercial!D69/_xlfn.XLOOKUP(E78,Summary!C$4:C$7,Summary!E$4:E$7,"ERROR")*_xlfn.XLOOKUP(E78,Summary!C$4:C$7,Summary!D$4:D$7,"ERROR")</f>
        <v>8.2253994287662197E-2</v>
      </c>
      <c r="H78" s="2455"/>
      <c r="I78" s="2455"/>
      <c r="J78" s="2455"/>
      <c r="K78" s="2455"/>
      <c r="L78" s="2455"/>
      <c r="M78" s="2455"/>
      <c r="N78" s="2455"/>
      <c r="O78" s="2455"/>
      <c r="P78" s="2455"/>
      <c r="Q78" s="2455"/>
      <c r="R78" s="2455"/>
      <c r="S78" s="2455"/>
      <c r="T78" s="2455"/>
      <c r="U78" s="2455"/>
      <c r="V78" s="2455"/>
      <c r="W78" s="2455"/>
      <c r="X78" s="2455"/>
      <c r="Y78" s="2455"/>
      <c r="Z78" s="2455"/>
    </row>
    <row r="79" spans="1:26" ht="12" x14ac:dyDescent="0.2">
      <c r="A79" s="2455" t="str">
        <f>MID(Summary!$B$1,FIND(" ",Summary!$B$1,1)+1,4)</f>
        <v>2011</v>
      </c>
      <c r="B79" s="2455" t="s">
        <v>2195</v>
      </c>
      <c r="C79" s="2455" t="s">
        <v>717</v>
      </c>
      <c r="D79" s="2455" t="s">
        <v>129</v>
      </c>
      <c r="E79" s="2455" t="s">
        <v>18</v>
      </c>
      <c r="F79" s="2455" t="s">
        <v>2194</v>
      </c>
      <c r="G79" s="2456">
        <f>Commercial!E69/_xlfn.XLOOKUP(E79,Summary!C$4:C$7,Summary!E$4:E$7,"ERROR")*_xlfn.XLOOKUP(E79,Summary!C$4:C$7,Summary!D$4:D$7,"ERROR")</f>
        <v>3.6872480197917526E-3</v>
      </c>
      <c r="H79" s="2455"/>
      <c r="J79" s="2455"/>
      <c r="K79" s="2455"/>
      <c r="L79" s="2455"/>
      <c r="M79" s="2455"/>
      <c r="N79" s="2455"/>
      <c r="O79" s="2455"/>
      <c r="P79" s="2455"/>
      <c r="Q79" s="2455"/>
      <c r="R79" s="2455"/>
      <c r="S79" s="2455"/>
      <c r="T79" s="2455"/>
      <c r="U79" s="2455"/>
      <c r="V79" s="2455"/>
      <c r="W79" s="2455"/>
      <c r="X79" s="2455"/>
      <c r="Y79" s="2455"/>
      <c r="Z79" s="2455"/>
    </row>
    <row r="80" spans="1:26" ht="12" x14ac:dyDescent="0.2">
      <c r="A80" s="2455" t="str">
        <f>MID(Summary!$B$1,FIND(" ",Summary!$B$1,1)+1,4)</f>
        <v>2011</v>
      </c>
      <c r="B80" s="2455" t="s">
        <v>2195</v>
      </c>
      <c r="C80" s="2455" t="s">
        <v>718</v>
      </c>
      <c r="D80" s="2455" t="s">
        <v>53</v>
      </c>
      <c r="E80" s="2455" t="s">
        <v>3</v>
      </c>
      <c r="F80" s="2455" t="s">
        <v>2192</v>
      </c>
      <c r="G80" s="2456">
        <f>Industrial!C129</f>
        <v>2.0476072663240812</v>
      </c>
      <c r="L80" s="2455"/>
      <c r="M80" s="2455"/>
      <c r="N80" s="2455"/>
      <c r="O80" s="2455"/>
      <c r="P80" s="2455"/>
      <c r="Q80" s="2455"/>
      <c r="R80" s="2455"/>
      <c r="S80" s="2455"/>
      <c r="T80" s="2455"/>
      <c r="U80" s="2455"/>
      <c r="V80" s="2455"/>
      <c r="W80" s="2455"/>
      <c r="X80" s="2455"/>
      <c r="Y80" s="2455"/>
      <c r="Z80" s="2455"/>
    </row>
    <row r="81" spans="1:26" ht="12" x14ac:dyDescent="0.2">
      <c r="A81" s="2455" t="str">
        <f>MID(Summary!$B$1,FIND(" ",Summary!$B$1,1)+1,4)</f>
        <v>2011</v>
      </c>
      <c r="B81" s="2455" t="s">
        <v>2195</v>
      </c>
      <c r="C81" s="2455" t="s">
        <v>718</v>
      </c>
      <c r="D81" s="2455" t="s">
        <v>53</v>
      </c>
      <c r="E81" s="2455" t="s">
        <v>14</v>
      </c>
      <c r="F81" s="2455" t="s">
        <v>2192</v>
      </c>
      <c r="G81" s="2456">
        <f>Industrial!D129</f>
        <v>5.9921806414749571E-3</v>
      </c>
      <c r="L81" s="2455"/>
      <c r="M81" s="2455"/>
      <c r="N81" s="2455"/>
      <c r="O81" s="2455"/>
      <c r="P81" s="2455"/>
      <c r="Q81" s="2455"/>
      <c r="R81" s="2455"/>
      <c r="S81" s="2455"/>
      <c r="T81" s="2455"/>
      <c r="U81" s="2455"/>
      <c r="V81" s="2455"/>
      <c r="W81" s="2455"/>
      <c r="X81" s="2455"/>
      <c r="Y81" s="2455"/>
      <c r="Z81" s="2455"/>
    </row>
    <row r="82" spans="1:26" ht="12" x14ac:dyDescent="0.2">
      <c r="A82" s="2455" t="str">
        <f>MID(Summary!$B$1,FIND(" ",Summary!$B$1,1)+1,4)</f>
        <v>2011</v>
      </c>
      <c r="B82" s="2455" t="s">
        <v>2195</v>
      </c>
      <c r="C82" s="2455" t="s">
        <v>718</v>
      </c>
      <c r="D82" s="2455" t="s">
        <v>53</v>
      </c>
      <c r="E82" s="2455" t="s">
        <v>18</v>
      </c>
      <c r="F82" s="2455" t="s">
        <v>2192</v>
      </c>
      <c r="G82" s="2456">
        <f>Industrial!E129</f>
        <v>8.7949748124874372E-3</v>
      </c>
      <c r="L82" s="2455"/>
      <c r="M82" s="2455"/>
      <c r="N82" s="2455"/>
      <c r="O82" s="2455"/>
      <c r="P82" s="2455"/>
      <c r="Q82" s="2455"/>
      <c r="R82" s="2455"/>
      <c r="S82" s="2455"/>
      <c r="T82" s="2455"/>
      <c r="U82" s="2455"/>
      <c r="V82" s="2455"/>
      <c r="W82" s="2455"/>
      <c r="X82" s="2455"/>
      <c r="Y82" s="2455"/>
      <c r="Z82" s="2455"/>
    </row>
    <row r="83" spans="1:26" ht="12" x14ac:dyDescent="0.2">
      <c r="A83" s="2455" t="str">
        <f>MID(Summary!$B$1,FIND(" ",Summary!$B$1,1)+1,4)</f>
        <v>2011</v>
      </c>
      <c r="B83" s="2455" t="s">
        <v>2195</v>
      </c>
      <c r="C83" s="2455" t="s">
        <v>718</v>
      </c>
      <c r="D83" s="2455" t="s">
        <v>166</v>
      </c>
      <c r="E83" s="2455" t="s">
        <v>3</v>
      </c>
      <c r="F83" s="2455" t="s">
        <v>2192</v>
      </c>
      <c r="G83" s="2456">
        <f>Industrial!C130</f>
        <v>1.1782676928553526</v>
      </c>
      <c r="L83" s="2455"/>
      <c r="M83" s="2455"/>
      <c r="N83" s="2455"/>
      <c r="O83" s="2455"/>
      <c r="P83" s="2455"/>
      <c r="Q83" s="2455"/>
      <c r="R83" s="2455"/>
      <c r="S83" s="2455"/>
      <c r="T83" s="2455"/>
      <c r="U83" s="2455"/>
      <c r="V83" s="2455"/>
      <c r="W83" s="2455"/>
      <c r="X83" s="2455"/>
      <c r="Y83" s="2455"/>
      <c r="Z83" s="2455"/>
    </row>
    <row r="84" spans="1:26" ht="12" x14ac:dyDescent="0.2">
      <c r="A84" s="2455" t="str">
        <f>MID(Summary!$B$1,FIND(" ",Summary!$B$1,1)+1,4)</f>
        <v>2011</v>
      </c>
      <c r="B84" s="2455" t="s">
        <v>2195</v>
      </c>
      <c r="C84" s="2455" t="s">
        <v>718</v>
      </c>
      <c r="D84" s="2455" t="s">
        <v>166</v>
      </c>
      <c r="E84" s="2455" t="s">
        <v>14</v>
      </c>
      <c r="F84" s="2455" t="s">
        <v>2192</v>
      </c>
      <c r="G84" s="2456">
        <f>Industrial!D130</f>
        <v>5.7604747086601935E-4</v>
      </c>
      <c r="K84" s="2455"/>
      <c r="L84" s="2455"/>
      <c r="M84" s="2455"/>
      <c r="N84" s="2455"/>
      <c r="O84" s="2455"/>
      <c r="P84" s="2455"/>
      <c r="Q84" s="2455"/>
      <c r="R84" s="2455"/>
      <c r="S84" s="2455"/>
      <c r="T84" s="2455"/>
      <c r="U84" s="2455"/>
      <c r="V84" s="2455"/>
      <c r="W84" s="2455"/>
      <c r="X84" s="2455"/>
      <c r="Y84" s="2455"/>
      <c r="Z84" s="2455"/>
    </row>
    <row r="85" spans="1:26" ht="12" x14ac:dyDescent="0.2">
      <c r="A85" s="2455" t="str">
        <f>MID(Summary!$B$1,FIND(" ",Summary!$B$1,1)+1,4)</f>
        <v>2011</v>
      </c>
      <c r="B85" s="2455" t="s">
        <v>2195</v>
      </c>
      <c r="C85" s="2455" t="s">
        <v>718</v>
      </c>
      <c r="D85" s="2455" t="s">
        <v>166</v>
      </c>
      <c r="E85" s="2455" t="s">
        <v>18</v>
      </c>
      <c r="F85" s="2455" t="s">
        <v>2192</v>
      </c>
      <c r="G85" s="2456">
        <f>Industrial!E130</f>
        <v>5.7983081147376723E-4</v>
      </c>
      <c r="J85" s="2455"/>
      <c r="K85" s="2455"/>
      <c r="L85" s="2455"/>
      <c r="M85" s="2455"/>
      <c r="N85" s="2455"/>
      <c r="O85" s="2455"/>
      <c r="P85" s="2455"/>
      <c r="Q85" s="2455"/>
      <c r="R85" s="2455"/>
      <c r="S85" s="2455"/>
      <c r="T85" s="2455"/>
      <c r="U85" s="2455"/>
      <c r="V85" s="2455"/>
      <c r="W85" s="2455"/>
      <c r="X85" s="2455"/>
      <c r="Y85" s="2455"/>
      <c r="Z85" s="2455"/>
    </row>
    <row r="86" spans="1:26" ht="12" x14ac:dyDescent="0.2">
      <c r="A86" s="2455" t="str">
        <f>MID(Summary!$B$1,FIND(" ",Summary!$B$1,1)+1,4)</f>
        <v>2011</v>
      </c>
      <c r="B86" s="2455" t="s">
        <v>2195</v>
      </c>
      <c r="C86" s="2455" t="s">
        <v>718</v>
      </c>
      <c r="D86" s="2455" t="s">
        <v>179</v>
      </c>
      <c r="E86" s="2455" t="s">
        <v>3</v>
      </c>
      <c r="F86" s="2455" t="s">
        <v>2192</v>
      </c>
      <c r="G86" s="2456">
        <f>Industrial!C131</f>
        <v>1.1641585616167136</v>
      </c>
      <c r="J86" s="2455"/>
      <c r="K86" s="2455"/>
      <c r="L86" s="2455"/>
      <c r="M86" s="2455"/>
      <c r="N86" s="2455"/>
      <c r="O86" s="2455"/>
      <c r="P86" s="2455"/>
      <c r="Q86" s="2455"/>
      <c r="R86" s="2455"/>
      <c r="S86" s="2455"/>
      <c r="T86" s="2455"/>
      <c r="U86" s="2455"/>
      <c r="V86" s="2455"/>
      <c r="W86" s="2455"/>
      <c r="X86" s="2455"/>
      <c r="Y86" s="2455"/>
      <c r="Z86" s="2455"/>
    </row>
    <row r="87" spans="1:26" ht="12" x14ac:dyDescent="0.2">
      <c r="A87" s="2455" t="str">
        <f>MID(Summary!$B$1,FIND(" ",Summary!$B$1,1)+1,4)</f>
        <v>2011</v>
      </c>
      <c r="B87" s="2455" t="s">
        <v>2195</v>
      </c>
      <c r="C87" s="2455" t="s">
        <v>718</v>
      </c>
      <c r="D87" s="2455" t="s">
        <v>179</v>
      </c>
      <c r="E87" s="2455" t="s">
        <v>14</v>
      </c>
      <c r="F87" s="2455" t="s">
        <v>2192</v>
      </c>
      <c r="G87" s="2456">
        <f>Industrial!D131</f>
        <v>1.0931227425576633E-3</v>
      </c>
      <c r="J87" s="2455"/>
      <c r="K87" s="2455"/>
      <c r="L87" s="2455"/>
      <c r="M87" s="2455"/>
      <c r="N87" s="2455"/>
      <c r="O87" s="2455"/>
      <c r="P87" s="2455"/>
      <c r="Q87" s="2455"/>
      <c r="R87" s="2455"/>
      <c r="S87" s="2455"/>
      <c r="T87" s="2455"/>
      <c r="U87" s="2455"/>
      <c r="V87" s="2455"/>
      <c r="W87" s="2455"/>
      <c r="X87" s="2455"/>
      <c r="Y87" s="2455"/>
      <c r="Z87" s="2455"/>
    </row>
    <row r="88" spans="1:26" ht="12" x14ac:dyDescent="0.2">
      <c r="A88" s="2455" t="str">
        <f>MID(Summary!$B$1,FIND(" ",Summary!$B$1,1)+1,4)</f>
        <v>2011</v>
      </c>
      <c r="B88" s="2455" t="s">
        <v>2195</v>
      </c>
      <c r="C88" s="2455" t="s">
        <v>718</v>
      </c>
      <c r="D88" s="2455" t="s">
        <v>179</v>
      </c>
      <c r="E88" s="2455" t="s">
        <v>18</v>
      </c>
      <c r="F88" s="2455" t="s">
        <v>2192</v>
      </c>
      <c r="G88" s="2456">
        <f>Industrial!E131</f>
        <v>2.1392294531773623E-3</v>
      </c>
      <c r="J88" s="2455"/>
      <c r="K88" s="2455"/>
      <c r="L88" s="2455"/>
      <c r="M88" s="2455"/>
      <c r="N88" s="2455"/>
      <c r="O88" s="2455"/>
      <c r="P88" s="2455"/>
      <c r="Q88" s="2455"/>
      <c r="R88" s="2455"/>
      <c r="S88" s="2455"/>
      <c r="T88" s="2455"/>
      <c r="U88" s="2455"/>
      <c r="V88" s="2455"/>
      <c r="W88" s="2455"/>
      <c r="X88" s="2455"/>
      <c r="Y88" s="2455"/>
      <c r="Z88" s="2455"/>
    </row>
    <row r="89" spans="1:26" ht="12" x14ac:dyDescent="0.2">
      <c r="A89" s="2455" t="str">
        <f>MID(Summary!$B$1,FIND(" ",Summary!$B$1,1)+1,4)</f>
        <v>2011</v>
      </c>
      <c r="B89" s="2455" t="s">
        <v>2195</v>
      </c>
      <c r="C89" s="2455" t="s">
        <v>718</v>
      </c>
      <c r="D89" s="2455" t="s">
        <v>129</v>
      </c>
      <c r="E89" s="2455" t="s">
        <v>3</v>
      </c>
      <c r="F89" s="2455" t="s">
        <v>2192</v>
      </c>
      <c r="G89" s="2456">
        <f>Industrial!C132</f>
        <v>0</v>
      </c>
      <c r="J89" s="2455"/>
      <c r="K89" s="2455"/>
      <c r="L89" s="2455"/>
      <c r="M89" s="2455"/>
      <c r="N89" s="2455"/>
      <c r="O89" s="2455"/>
      <c r="P89" s="2455"/>
      <c r="Q89" s="2455"/>
      <c r="R89" s="2455"/>
      <c r="S89" s="2455"/>
      <c r="T89" s="2455"/>
      <c r="U89" s="2455"/>
      <c r="V89" s="2455"/>
      <c r="W89" s="2455"/>
      <c r="X89" s="2455"/>
      <c r="Y89" s="2455"/>
      <c r="Z89" s="2455"/>
    </row>
    <row r="90" spans="1:26" ht="12" x14ac:dyDescent="0.2">
      <c r="A90" s="2455" t="str">
        <f>MID(Summary!$B$1,FIND(" ",Summary!$B$1,1)+1,4)</f>
        <v>2011</v>
      </c>
      <c r="B90" s="2455" t="s">
        <v>2195</v>
      </c>
      <c r="C90" s="2455" t="s">
        <v>718</v>
      </c>
      <c r="D90" s="2455" t="s">
        <v>129</v>
      </c>
      <c r="E90" s="2455" t="s">
        <v>14</v>
      </c>
      <c r="F90" s="2455" t="s">
        <v>2192</v>
      </c>
      <c r="G90" s="2456">
        <f>Industrial!D132</f>
        <v>7.343707821714689E-3</v>
      </c>
      <c r="J90" s="2455"/>
      <c r="K90" s="2455"/>
      <c r="L90" s="2455"/>
      <c r="M90" s="2455"/>
      <c r="N90" s="2455"/>
      <c r="O90" s="2455"/>
      <c r="P90" s="2455"/>
      <c r="Q90" s="2455"/>
      <c r="R90" s="2455"/>
      <c r="S90" s="2455"/>
      <c r="T90" s="2455"/>
      <c r="U90" s="2455"/>
      <c r="V90" s="2455"/>
      <c r="W90" s="2455"/>
      <c r="X90" s="2455"/>
      <c r="Y90" s="2455"/>
      <c r="Z90" s="2455"/>
    </row>
    <row r="91" spans="1:26" ht="12" x14ac:dyDescent="0.2">
      <c r="A91" s="2455" t="str">
        <f>MID(Summary!$B$1,FIND(" ",Summary!$B$1,1)+1,4)</f>
        <v>2011</v>
      </c>
      <c r="B91" s="2455" t="s">
        <v>2195</v>
      </c>
      <c r="C91" s="2455" t="s">
        <v>718</v>
      </c>
      <c r="D91" s="2455" t="s">
        <v>129</v>
      </c>
      <c r="E91" s="2455" t="s">
        <v>18</v>
      </c>
      <c r="F91" s="2455" t="s">
        <v>2192</v>
      </c>
      <c r="G91" s="2456">
        <f>Industrial!E132</f>
        <v>9.5810381616636096E-3</v>
      </c>
      <c r="J91" s="2455"/>
      <c r="K91" s="2455"/>
      <c r="L91" s="2455"/>
      <c r="M91" s="2455"/>
      <c r="N91" s="2455"/>
      <c r="O91" s="2455"/>
      <c r="P91" s="2455"/>
      <c r="Q91" s="2455"/>
      <c r="R91" s="2455"/>
      <c r="S91" s="2455"/>
      <c r="T91" s="2455"/>
      <c r="U91" s="2455"/>
      <c r="V91" s="2455"/>
      <c r="W91" s="2455"/>
      <c r="X91" s="2455"/>
      <c r="Y91" s="2455"/>
      <c r="Z91" s="2455"/>
    </row>
    <row r="92" spans="1:26" ht="12" x14ac:dyDescent="0.2">
      <c r="A92" s="2455" t="str">
        <f>MID(Summary!$B$1,FIND(" ",Summary!$B$1,1)+1,4)</f>
        <v>2011</v>
      </c>
      <c r="B92" s="2455" t="s">
        <v>2195</v>
      </c>
      <c r="C92" s="2455" t="s">
        <v>718</v>
      </c>
      <c r="D92" s="2455" t="s">
        <v>53</v>
      </c>
      <c r="E92" s="2455" t="s">
        <v>3</v>
      </c>
      <c r="F92" s="2455" t="s">
        <v>2194</v>
      </c>
      <c r="G92" s="2456">
        <f>Industrial!C129/_xlfn.XLOOKUP(E92,Summary!C$4:C$7,Summary!E$4:E$7,"ERROR")*_xlfn.XLOOKUP(E92,Summary!C$4:C$7,Summary!D$4:D$7,"ERROR")</f>
        <v>2.0476072663240812</v>
      </c>
      <c r="H92" s="2455"/>
      <c r="I92" s="2455"/>
      <c r="J92" s="2455"/>
      <c r="K92" s="2455"/>
      <c r="L92" s="2455"/>
      <c r="M92" s="2455"/>
      <c r="N92" s="2455"/>
      <c r="O92" s="2455"/>
      <c r="P92" s="2455"/>
      <c r="Q92" s="2455"/>
      <c r="R92" s="2455"/>
      <c r="S92" s="2455"/>
      <c r="T92" s="2455"/>
      <c r="U92" s="2455"/>
      <c r="V92" s="2455"/>
      <c r="W92" s="2455"/>
      <c r="X92" s="2455"/>
      <c r="Y92" s="2455"/>
      <c r="Z92" s="2455"/>
    </row>
    <row r="93" spans="1:26" ht="12" x14ac:dyDescent="0.2">
      <c r="A93" s="2455" t="str">
        <f>MID(Summary!$B$1,FIND(" ",Summary!$B$1,1)+1,4)</f>
        <v>2011</v>
      </c>
      <c r="B93" s="2455" t="s">
        <v>2195</v>
      </c>
      <c r="C93" s="2455" t="s">
        <v>718</v>
      </c>
      <c r="D93" s="2455" t="s">
        <v>53</v>
      </c>
      <c r="E93" s="2455" t="s">
        <v>14</v>
      </c>
      <c r="F93" s="2455" t="s">
        <v>2194</v>
      </c>
      <c r="G93" s="2456">
        <f>Industrial!D129/_xlfn.XLOOKUP(E93,Summary!C$4:C$7,Summary!E$4:E$7,"ERROR")*_xlfn.XLOOKUP(E93,Summary!C$4:C$7,Summary!D$4:D$7,"ERROR")</f>
        <v>1.7439608175188765E-2</v>
      </c>
      <c r="H93" s="2455"/>
      <c r="I93" s="2455"/>
      <c r="J93" s="2455"/>
      <c r="K93" s="2455"/>
      <c r="L93" s="2455"/>
      <c r="M93" s="2455"/>
      <c r="N93" s="2455"/>
      <c r="O93" s="2455"/>
      <c r="P93" s="2455"/>
      <c r="Q93" s="2455"/>
      <c r="R93" s="2455"/>
      <c r="S93" s="2455"/>
      <c r="T93" s="2455"/>
      <c r="U93" s="2455"/>
      <c r="V93" s="2455"/>
      <c r="W93" s="2455"/>
      <c r="X93" s="2455"/>
      <c r="Y93" s="2455"/>
      <c r="Z93" s="2455"/>
    </row>
    <row r="94" spans="1:26" ht="12" x14ac:dyDescent="0.2">
      <c r="A94" s="2455" t="str">
        <f>MID(Summary!$B$1,FIND(" ",Summary!$B$1,1)+1,4)</f>
        <v>2011</v>
      </c>
      <c r="B94" s="2455" t="s">
        <v>2195</v>
      </c>
      <c r="C94" s="2455" t="s">
        <v>718</v>
      </c>
      <c r="D94" s="2455" t="s">
        <v>53</v>
      </c>
      <c r="E94" s="2455" t="s">
        <v>18</v>
      </c>
      <c r="F94" s="2455" t="s">
        <v>2194</v>
      </c>
      <c r="G94" s="2456">
        <f>Industrial!E129/_xlfn.XLOOKUP(E94,Summary!C$4:C$7,Summary!E$4:E$7,"ERROR")*_xlfn.XLOOKUP(E94,Summary!C$4:C$7,Summary!D$4:D$7,"ERROR")</f>
        <v>8.7949748124874372E-3</v>
      </c>
      <c r="H94" s="2455"/>
      <c r="I94" s="2455"/>
      <c r="J94" s="2455"/>
      <c r="K94" s="2455"/>
      <c r="L94" s="2455"/>
      <c r="M94" s="2455"/>
      <c r="N94" s="2455"/>
      <c r="O94" s="2455"/>
      <c r="P94" s="2455"/>
      <c r="Q94" s="2455"/>
      <c r="R94" s="2455"/>
      <c r="S94" s="2455"/>
      <c r="T94" s="2455"/>
      <c r="U94" s="2455"/>
      <c r="V94" s="2455"/>
      <c r="W94" s="2455"/>
      <c r="X94" s="2455"/>
      <c r="Y94" s="2455"/>
      <c r="Z94" s="2455"/>
    </row>
    <row r="95" spans="1:26" ht="12" x14ac:dyDescent="0.2">
      <c r="A95" s="2455" t="str">
        <f>MID(Summary!$B$1,FIND(" ",Summary!$B$1,1)+1,4)</f>
        <v>2011</v>
      </c>
      <c r="B95" s="2455" t="s">
        <v>2195</v>
      </c>
      <c r="C95" s="2455" t="s">
        <v>718</v>
      </c>
      <c r="D95" s="2455" t="s">
        <v>166</v>
      </c>
      <c r="E95" s="2455" t="s">
        <v>3</v>
      </c>
      <c r="F95" s="2455" t="s">
        <v>2194</v>
      </c>
      <c r="G95" s="2456">
        <f>Industrial!C130/_xlfn.XLOOKUP(E95,Summary!C$4:C$7,Summary!E$4:E$7,"ERROR")*_xlfn.XLOOKUP(E95,Summary!C$4:C$7,Summary!D$4:D$7,"ERROR")</f>
        <v>1.1782676928553526</v>
      </c>
      <c r="H95" s="2455"/>
      <c r="I95" s="2455"/>
      <c r="J95" s="2455"/>
      <c r="K95" s="2455"/>
      <c r="L95" s="2455"/>
      <c r="M95" s="2455"/>
      <c r="N95" s="2455"/>
      <c r="O95" s="2455"/>
      <c r="P95" s="2455"/>
      <c r="Q95" s="2455"/>
      <c r="R95" s="2455"/>
      <c r="S95" s="2455"/>
      <c r="T95" s="2455"/>
      <c r="U95" s="2455"/>
      <c r="V95" s="2455"/>
      <c r="W95" s="2455"/>
      <c r="X95" s="2455"/>
      <c r="Y95" s="2455"/>
      <c r="Z95" s="2455"/>
    </row>
    <row r="96" spans="1:26" ht="12" x14ac:dyDescent="0.2">
      <c r="A96" s="2455" t="str">
        <f>MID(Summary!$B$1,FIND(" ",Summary!$B$1,1)+1,4)</f>
        <v>2011</v>
      </c>
      <c r="B96" s="2455" t="s">
        <v>2195</v>
      </c>
      <c r="C96" s="2455" t="s">
        <v>718</v>
      </c>
      <c r="D96" s="2455" t="s">
        <v>166</v>
      </c>
      <c r="E96" s="2455" t="s">
        <v>14</v>
      </c>
      <c r="F96" s="2455" t="s">
        <v>2194</v>
      </c>
      <c r="G96" s="2456">
        <f>Industrial!D130/_xlfn.XLOOKUP(E96,Summary!C$4:C$7,Summary!E$4:E$7,"ERROR")*_xlfn.XLOOKUP(E96,Summary!C$4:C$7,Summary!D$4:D$7,"ERROR")</f>
        <v>1.6765252557104221E-3</v>
      </c>
      <c r="H96" s="2455"/>
      <c r="I96" s="2455"/>
      <c r="J96" s="2455"/>
      <c r="K96" s="2455"/>
      <c r="L96" s="2455"/>
      <c r="M96" s="2455"/>
      <c r="N96" s="2455"/>
      <c r="O96" s="2455"/>
      <c r="P96" s="2455"/>
      <c r="Q96" s="2455"/>
      <c r="R96" s="2455"/>
      <c r="S96" s="2455"/>
      <c r="T96" s="2455"/>
      <c r="U96" s="2455"/>
      <c r="V96" s="2455"/>
      <c r="W96" s="2455"/>
      <c r="X96" s="2455"/>
      <c r="Y96" s="2455"/>
      <c r="Z96" s="2455"/>
    </row>
    <row r="97" spans="1:26" ht="12" x14ac:dyDescent="0.2">
      <c r="A97" s="2455" t="str">
        <f>MID(Summary!$B$1,FIND(" ",Summary!$B$1,1)+1,4)</f>
        <v>2011</v>
      </c>
      <c r="B97" s="2455" t="s">
        <v>2195</v>
      </c>
      <c r="C97" s="2455" t="s">
        <v>718</v>
      </c>
      <c r="D97" s="2455" t="s">
        <v>166</v>
      </c>
      <c r="E97" s="2455" t="s">
        <v>18</v>
      </c>
      <c r="F97" s="2455" t="s">
        <v>2194</v>
      </c>
      <c r="G97" s="2456">
        <f>Industrial!E130/_xlfn.XLOOKUP(E97,Summary!C$4:C$7,Summary!E$4:E$7,"ERROR")*_xlfn.XLOOKUP(E97,Summary!C$4:C$7,Summary!D$4:D$7,"ERROR")</f>
        <v>5.7983081147376713E-4</v>
      </c>
      <c r="H97" s="2455"/>
      <c r="I97" s="2455"/>
      <c r="J97" s="2455"/>
      <c r="K97" s="2455"/>
      <c r="L97" s="2455"/>
      <c r="M97" s="2455"/>
      <c r="N97" s="2455"/>
      <c r="O97" s="2455"/>
      <c r="P97" s="2455"/>
      <c r="Q97" s="2455"/>
      <c r="R97" s="2455"/>
      <c r="S97" s="2455"/>
      <c r="T97" s="2455"/>
      <c r="U97" s="2455"/>
      <c r="V97" s="2455"/>
      <c r="W97" s="2455"/>
      <c r="X97" s="2455"/>
      <c r="Y97" s="2455"/>
      <c r="Z97" s="2455"/>
    </row>
    <row r="98" spans="1:26" ht="12" x14ac:dyDescent="0.2">
      <c r="A98" s="2455" t="str">
        <f>MID(Summary!$B$1,FIND(" ",Summary!$B$1,1)+1,4)</f>
        <v>2011</v>
      </c>
      <c r="B98" s="2455" t="s">
        <v>2195</v>
      </c>
      <c r="C98" s="2455" t="s">
        <v>718</v>
      </c>
      <c r="D98" s="2455" t="s">
        <v>179</v>
      </c>
      <c r="E98" s="2455" t="s">
        <v>3</v>
      </c>
      <c r="F98" s="2455" t="s">
        <v>2194</v>
      </c>
      <c r="G98" s="2456">
        <f>Industrial!C131/_xlfn.XLOOKUP(E98,Summary!C$4:C$7,Summary!E$4:E$7,"ERROR")*_xlfn.XLOOKUP(E98,Summary!C$4:C$7,Summary!D$4:D$7,"ERROR")</f>
        <v>1.1641585616167136</v>
      </c>
      <c r="H98" s="2455"/>
      <c r="I98" s="2455"/>
      <c r="J98" s="2455"/>
      <c r="K98" s="2455"/>
      <c r="L98" s="2455"/>
      <c r="M98" s="2455"/>
      <c r="N98" s="2455"/>
      <c r="O98" s="2455"/>
      <c r="P98" s="2455"/>
      <c r="Q98" s="2455"/>
      <c r="R98" s="2455"/>
      <c r="S98" s="2455"/>
      <c r="T98" s="2455"/>
      <c r="U98" s="2455"/>
      <c r="V98" s="2455"/>
      <c r="W98" s="2455"/>
      <c r="X98" s="2455"/>
      <c r="Y98" s="2455"/>
      <c r="Z98" s="2455"/>
    </row>
    <row r="99" spans="1:26" ht="12" x14ac:dyDescent="0.2">
      <c r="A99" s="2455" t="str">
        <f>MID(Summary!$B$1,FIND(" ",Summary!$B$1,1)+1,4)</f>
        <v>2011</v>
      </c>
      <c r="B99" s="2455" t="s">
        <v>2195</v>
      </c>
      <c r="C99" s="2455" t="s">
        <v>718</v>
      </c>
      <c r="D99" s="2455" t="s">
        <v>179</v>
      </c>
      <c r="E99" s="2455" t="s">
        <v>14</v>
      </c>
      <c r="F99" s="2455" t="s">
        <v>2194</v>
      </c>
      <c r="G99" s="2456">
        <f>Industrial!D131/_xlfn.XLOOKUP(E99,Summary!C$4:C$7,Summary!E$4:E$7,"ERROR")*_xlfn.XLOOKUP(E99,Summary!C$4:C$7,Summary!D$4:D$7,"ERROR")</f>
        <v>3.1814181611355655E-3</v>
      </c>
      <c r="H99" s="2455"/>
      <c r="I99" s="2455"/>
      <c r="J99" s="2455"/>
      <c r="K99" s="2455"/>
      <c r="L99" s="2455"/>
      <c r="M99" s="2455"/>
      <c r="N99" s="2455"/>
      <c r="O99" s="2455"/>
      <c r="P99" s="2455"/>
      <c r="Q99" s="2455"/>
      <c r="R99" s="2455"/>
      <c r="S99" s="2455"/>
      <c r="T99" s="2455"/>
      <c r="U99" s="2455"/>
      <c r="V99" s="2455"/>
      <c r="W99" s="2455"/>
      <c r="X99" s="2455"/>
      <c r="Y99" s="2455"/>
      <c r="Z99" s="2455"/>
    </row>
    <row r="100" spans="1:26" ht="12" x14ac:dyDescent="0.2">
      <c r="A100" s="2455" t="str">
        <f>MID(Summary!$B$1,FIND(" ",Summary!$B$1,1)+1,4)</f>
        <v>2011</v>
      </c>
      <c r="B100" s="2455" t="s">
        <v>2195</v>
      </c>
      <c r="C100" s="2455" t="s">
        <v>718</v>
      </c>
      <c r="D100" s="2455" t="s">
        <v>179</v>
      </c>
      <c r="E100" s="2455" t="s">
        <v>18</v>
      </c>
      <c r="F100" s="2455" t="s">
        <v>2194</v>
      </c>
      <c r="G100" s="2456">
        <f>Industrial!E131/_xlfn.XLOOKUP(E100,Summary!C$4:C$7,Summary!E$4:E$7,"ERROR")*_xlfn.XLOOKUP(E100,Summary!C$4:C$7,Summary!D$4:D$7,"ERROR")</f>
        <v>2.1392294531773623E-3</v>
      </c>
      <c r="H100" s="2455"/>
      <c r="I100" s="2455"/>
      <c r="J100" s="2455"/>
      <c r="K100" s="2455"/>
      <c r="L100" s="2455"/>
      <c r="M100" s="2455"/>
      <c r="N100" s="2455"/>
      <c r="O100" s="2455"/>
      <c r="P100" s="2455"/>
      <c r="Q100" s="2455"/>
      <c r="R100" s="2455"/>
      <c r="S100" s="2455"/>
      <c r="T100" s="2455"/>
      <c r="U100" s="2455"/>
      <c r="V100" s="2455"/>
      <c r="W100" s="2455"/>
      <c r="X100" s="2455"/>
      <c r="Y100" s="2455"/>
      <c r="Z100" s="2455"/>
    </row>
    <row r="101" spans="1:26" ht="12" x14ac:dyDescent="0.2">
      <c r="A101" s="2455" t="str">
        <f>MID(Summary!$B$1,FIND(" ",Summary!$B$1,1)+1,4)</f>
        <v>2011</v>
      </c>
      <c r="B101" s="2455" t="s">
        <v>2195</v>
      </c>
      <c r="C101" s="2455" t="s">
        <v>718</v>
      </c>
      <c r="D101" s="2455" t="s">
        <v>129</v>
      </c>
      <c r="E101" s="2455" t="s">
        <v>3</v>
      </c>
      <c r="F101" s="2455" t="s">
        <v>2194</v>
      </c>
      <c r="G101" s="2456">
        <f>Industrial!C132/_xlfn.XLOOKUP(E101,Summary!C$4:C$7,Summary!E$4:E$7,"ERROR")*_xlfn.XLOOKUP(E101,Summary!C$4:C$7,Summary!D$4:D$7,"ERROR")</f>
        <v>0</v>
      </c>
      <c r="H101" s="2455"/>
      <c r="I101" s="2455"/>
      <c r="J101" s="2455"/>
      <c r="K101" s="2455"/>
      <c r="L101" s="2455"/>
      <c r="M101" s="2455"/>
      <c r="N101" s="2455"/>
      <c r="O101" s="2455"/>
      <c r="P101" s="2455"/>
      <c r="Q101" s="2455"/>
      <c r="R101" s="2455"/>
      <c r="S101" s="2455"/>
      <c r="T101" s="2455"/>
      <c r="U101" s="2455"/>
      <c r="V101" s="2455"/>
      <c r="W101" s="2455"/>
      <c r="X101" s="2455"/>
      <c r="Y101" s="2455"/>
      <c r="Z101" s="2455"/>
    </row>
    <row r="102" spans="1:26" ht="12" x14ac:dyDescent="0.2">
      <c r="A102" s="2455" t="str">
        <f>MID(Summary!$B$1,FIND(" ",Summary!$B$1,1)+1,4)</f>
        <v>2011</v>
      </c>
      <c r="B102" s="2455" t="s">
        <v>2195</v>
      </c>
      <c r="C102" s="2455" t="s">
        <v>718</v>
      </c>
      <c r="D102" s="2455" t="s">
        <v>129</v>
      </c>
      <c r="E102" s="2455" t="s">
        <v>14</v>
      </c>
      <c r="F102" s="2455" t="s">
        <v>2194</v>
      </c>
      <c r="G102" s="2456">
        <f>Industrial!D132/_xlfn.XLOOKUP(E102,Summary!C$4:C$7,Summary!E$4:E$7,"ERROR")*_xlfn.XLOOKUP(E102,Summary!C$4:C$7,Summary!D$4:D$7,"ERROR")</f>
        <v>2.1373085129864976E-2</v>
      </c>
      <c r="H102" s="2455"/>
      <c r="I102" s="2455"/>
      <c r="J102" s="2455"/>
      <c r="K102" s="2455"/>
      <c r="L102" s="2455"/>
      <c r="M102" s="2455"/>
      <c r="N102" s="2455"/>
      <c r="O102" s="2455"/>
      <c r="P102" s="2455"/>
      <c r="Q102" s="2455"/>
      <c r="R102" s="2455"/>
      <c r="S102" s="2455"/>
      <c r="T102" s="2455"/>
      <c r="U102" s="2455"/>
      <c r="V102" s="2455"/>
      <c r="W102" s="2455"/>
      <c r="X102" s="2455"/>
      <c r="Y102" s="2455"/>
      <c r="Z102" s="2455"/>
    </row>
    <row r="103" spans="1:26" ht="12" x14ac:dyDescent="0.2">
      <c r="A103" s="2455" t="str">
        <f>MID(Summary!$B$1,FIND(" ",Summary!$B$1,1)+1,4)</f>
        <v>2011</v>
      </c>
      <c r="B103" s="2455" t="s">
        <v>2195</v>
      </c>
      <c r="C103" s="2455" t="s">
        <v>718</v>
      </c>
      <c r="D103" s="2455" t="s">
        <v>129</v>
      </c>
      <c r="E103" s="2455" t="s">
        <v>18</v>
      </c>
      <c r="F103" s="2455" t="s">
        <v>2194</v>
      </c>
      <c r="G103" s="2456">
        <f>Industrial!E132/_xlfn.XLOOKUP(E103,Summary!C$4:C$7,Summary!E$4:E$7,"ERROR")*_xlfn.XLOOKUP(E103,Summary!C$4:C$7,Summary!D$4:D$7,"ERROR")</f>
        <v>9.5810381616636096E-3</v>
      </c>
      <c r="H103" s="2455"/>
      <c r="I103" s="2455"/>
      <c r="J103" s="2455"/>
      <c r="K103" s="2455"/>
      <c r="L103" s="2455"/>
      <c r="M103" s="2455"/>
      <c r="N103" s="2455"/>
      <c r="O103" s="2455"/>
      <c r="P103" s="2455"/>
      <c r="Q103" s="2455"/>
      <c r="R103" s="2455"/>
      <c r="S103" s="2455"/>
      <c r="T103" s="2455"/>
      <c r="U103" s="2455"/>
      <c r="V103" s="2455"/>
      <c r="W103" s="2455"/>
      <c r="X103" s="2455"/>
      <c r="Y103" s="2455"/>
      <c r="Z103" s="2455"/>
    </row>
    <row r="104" spans="1:26" ht="12" x14ac:dyDescent="0.2">
      <c r="A104" s="2455" t="str">
        <f>MID(Summary!$B$1,FIND(" ",Summary!$B$1,1)+1,4)</f>
        <v>2011</v>
      </c>
      <c r="B104" s="2455" t="s">
        <v>719</v>
      </c>
      <c r="C104" s="2455" t="s">
        <v>2196</v>
      </c>
      <c r="D104" s="2455" t="s">
        <v>211</v>
      </c>
      <c r="E104" s="2455" t="s">
        <v>3</v>
      </c>
      <c r="F104" s="2455" t="s">
        <v>2192</v>
      </c>
      <c r="G104" s="2456">
        <f>Summary!E49</f>
        <v>22.519055143367485</v>
      </c>
      <c r="J104" s="2455"/>
      <c r="K104" s="2455"/>
      <c r="L104" s="2455"/>
      <c r="M104" s="2455"/>
      <c r="N104" s="2455"/>
      <c r="O104" s="2455"/>
      <c r="P104" s="2455"/>
      <c r="Q104" s="2455"/>
      <c r="R104" s="2455"/>
      <c r="S104" s="2455"/>
      <c r="T104" s="2455"/>
      <c r="U104" s="2455"/>
      <c r="V104" s="2455"/>
      <c r="W104" s="2455"/>
      <c r="X104" s="2455"/>
      <c r="Y104" s="2455"/>
      <c r="Z104" s="2455"/>
    </row>
    <row r="105" spans="1:26" ht="12" x14ac:dyDescent="0.2">
      <c r="A105" s="2455" t="str">
        <f>MID(Summary!$B$1,FIND(" ",Summary!$B$1,1)+1,4)</f>
        <v>2011</v>
      </c>
      <c r="B105" s="2455" t="s">
        <v>719</v>
      </c>
      <c r="C105" s="2455" t="s">
        <v>2196</v>
      </c>
      <c r="D105" s="2455" t="s">
        <v>211</v>
      </c>
      <c r="E105" s="2455" t="s">
        <v>14</v>
      </c>
      <c r="F105" s="2455" t="s">
        <v>2192</v>
      </c>
      <c r="G105" s="2456">
        <f>Summary!E50</f>
        <v>8.4574699277590246E-3</v>
      </c>
      <c r="J105" s="2455"/>
      <c r="K105" s="2455"/>
      <c r="L105" s="2455"/>
      <c r="M105" s="2455"/>
      <c r="N105" s="2455"/>
      <c r="O105" s="2455"/>
      <c r="P105" s="2455"/>
      <c r="Q105" s="2455"/>
      <c r="R105" s="2455"/>
      <c r="S105" s="2455"/>
      <c r="T105" s="2455"/>
      <c r="U105" s="2455"/>
      <c r="V105" s="2455"/>
      <c r="W105" s="2455"/>
      <c r="X105" s="2455"/>
      <c r="Y105" s="2455"/>
      <c r="Z105" s="2455"/>
    </row>
    <row r="106" spans="1:26" ht="12" x14ac:dyDescent="0.2">
      <c r="A106" s="2455" t="str">
        <f>MID(Summary!$B$1,FIND(" ",Summary!$B$1,1)+1,4)</f>
        <v>2011</v>
      </c>
      <c r="B106" s="2455" t="s">
        <v>719</v>
      </c>
      <c r="C106" s="2455" t="s">
        <v>2196</v>
      </c>
      <c r="D106" s="2455" t="s">
        <v>211</v>
      </c>
      <c r="E106" s="2455" t="s">
        <v>18</v>
      </c>
      <c r="F106" s="2455" t="s">
        <v>2192</v>
      </c>
      <c r="G106" s="2456">
        <f>Summary!E51</f>
        <v>7.3560789813722485E-4</v>
      </c>
      <c r="K106" s="2455"/>
      <c r="L106" s="2455"/>
      <c r="M106" s="2455"/>
      <c r="N106" s="2455"/>
      <c r="O106" s="2455"/>
      <c r="P106" s="2455"/>
      <c r="Q106" s="2455"/>
      <c r="R106" s="2455"/>
      <c r="S106" s="2455"/>
      <c r="T106" s="2455"/>
      <c r="U106" s="2455"/>
      <c r="V106" s="2455"/>
      <c r="W106" s="2455"/>
      <c r="X106" s="2455"/>
      <c r="Y106" s="2455"/>
      <c r="Z106" s="2455"/>
    </row>
    <row r="107" spans="1:26" ht="12" x14ac:dyDescent="0.2">
      <c r="A107" s="2455" t="str">
        <f>MID(Summary!$B$1,FIND(" ",Summary!$B$1,1)+1,4)</f>
        <v>2011</v>
      </c>
      <c r="B107" s="2455" t="s">
        <v>719</v>
      </c>
      <c r="C107" s="2455" t="s">
        <v>2196</v>
      </c>
      <c r="D107" s="2455" t="s">
        <v>235</v>
      </c>
      <c r="E107" s="2455" t="s">
        <v>3</v>
      </c>
      <c r="F107" s="2455" t="s">
        <v>2192</v>
      </c>
      <c r="G107" s="2456">
        <f>Summary!E57</f>
        <v>5.720528738777328</v>
      </c>
      <c r="J107" s="2455"/>
      <c r="K107" s="2455"/>
      <c r="L107" s="2455"/>
      <c r="M107" s="2455"/>
      <c r="N107" s="2455"/>
      <c r="O107" s="2455"/>
      <c r="P107" s="2455"/>
      <c r="Q107" s="2455"/>
      <c r="R107" s="2455"/>
      <c r="S107" s="2455"/>
      <c r="T107" s="2455"/>
      <c r="U107" s="2455"/>
      <c r="V107" s="2455"/>
      <c r="W107" s="2455"/>
      <c r="X107" s="2455"/>
      <c r="Y107" s="2455"/>
      <c r="Z107" s="2455"/>
    </row>
    <row r="108" spans="1:26" ht="12" x14ac:dyDescent="0.2">
      <c r="A108" s="2455" t="str">
        <f>MID(Summary!$B$1,FIND(" ",Summary!$B$1,1)+1,4)</f>
        <v>2011</v>
      </c>
      <c r="B108" s="2455" t="s">
        <v>719</v>
      </c>
      <c r="C108" s="2455" t="s">
        <v>2196</v>
      </c>
      <c r="D108" s="2455" t="s">
        <v>235</v>
      </c>
      <c r="E108" s="2455" t="s">
        <v>14</v>
      </c>
      <c r="F108" s="2455" t="s">
        <v>2192</v>
      </c>
      <c r="G108" s="2456">
        <f>Summary!E58</f>
        <v>1.082564417891381E-4</v>
      </c>
      <c r="J108" s="2455"/>
      <c r="K108" s="2455"/>
      <c r="L108" s="2455"/>
      <c r="M108" s="2455"/>
      <c r="N108" s="2455"/>
      <c r="O108" s="2455"/>
      <c r="P108" s="2455"/>
      <c r="Q108" s="2455"/>
      <c r="R108" s="2455"/>
      <c r="S108" s="2455"/>
      <c r="T108" s="2455"/>
      <c r="U108" s="2455"/>
      <c r="V108" s="2455"/>
      <c r="W108" s="2455"/>
      <c r="X108" s="2455"/>
      <c r="Y108" s="2455"/>
      <c r="Z108" s="2455"/>
    </row>
    <row r="109" spans="1:26" ht="12" x14ac:dyDescent="0.2">
      <c r="A109" s="2455" t="str">
        <f>MID(Summary!$B$1,FIND(" ",Summary!$B$1,1)+1,4)</f>
        <v>2011</v>
      </c>
      <c r="B109" s="2455" t="s">
        <v>719</v>
      </c>
      <c r="C109" s="2455" t="s">
        <v>2196</v>
      </c>
      <c r="D109" s="2455" t="s">
        <v>235</v>
      </c>
      <c r="E109" s="2455" t="s">
        <v>18</v>
      </c>
      <c r="F109" s="2455" t="s">
        <v>2192</v>
      </c>
      <c r="G109" s="2456">
        <f>Summary!E59</f>
        <v>1.8422321089876705E-4</v>
      </c>
      <c r="J109" s="2455"/>
      <c r="K109" s="2455"/>
      <c r="L109" s="2455"/>
      <c r="M109" s="2455"/>
      <c r="N109" s="2455"/>
      <c r="O109" s="2455"/>
      <c r="P109" s="2455"/>
      <c r="Q109" s="2455"/>
      <c r="R109" s="2455"/>
      <c r="S109" s="2455"/>
      <c r="T109" s="2455"/>
      <c r="U109" s="2455"/>
      <c r="V109" s="2455"/>
      <c r="W109" s="2455"/>
      <c r="X109" s="2455"/>
      <c r="Y109" s="2455"/>
      <c r="Z109" s="2455"/>
    </row>
    <row r="110" spans="1:26" ht="12" x14ac:dyDescent="0.2">
      <c r="A110" s="2455" t="str">
        <f>MID(Summary!$B$1,FIND(" ",Summary!$B$1,1)+1,4)</f>
        <v>2011</v>
      </c>
      <c r="B110" s="2455" t="s">
        <v>719</v>
      </c>
      <c r="C110" s="2455" t="s">
        <v>2197</v>
      </c>
      <c r="D110" s="2455" t="s">
        <v>224</v>
      </c>
      <c r="E110" s="2455" t="s">
        <v>3</v>
      </c>
      <c r="F110" s="2455" t="s">
        <v>2192</v>
      </c>
      <c r="G110" s="2456">
        <f>Summary!E53</f>
        <v>2.7318932899032262</v>
      </c>
      <c r="J110" s="2455"/>
      <c r="K110" s="2455"/>
      <c r="L110" s="2455"/>
      <c r="M110" s="2455"/>
      <c r="N110" s="2455"/>
      <c r="O110" s="2455"/>
      <c r="P110" s="2455"/>
      <c r="Q110" s="2455"/>
      <c r="R110" s="2455"/>
      <c r="S110" s="2455"/>
      <c r="T110" s="2455"/>
      <c r="U110" s="2455"/>
      <c r="V110" s="2455"/>
      <c r="W110" s="2455"/>
      <c r="X110" s="2455"/>
      <c r="Y110" s="2455"/>
      <c r="Z110" s="2455"/>
    </row>
    <row r="111" spans="1:26" ht="12" x14ac:dyDescent="0.2">
      <c r="A111" s="2455" t="str">
        <f>MID(Summary!$B$1,FIND(" ",Summary!$B$1,1)+1,4)</f>
        <v>2011</v>
      </c>
      <c r="B111" s="2455" t="s">
        <v>719</v>
      </c>
      <c r="C111" s="2455" t="s">
        <v>2197</v>
      </c>
      <c r="D111" s="2455" t="s">
        <v>224</v>
      </c>
      <c r="E111" s="2455" t="s">
        <v>14</v>
      </c>
      <c r="F111" s="2455" t="s">
        <v>2192</v>
      </c>
      <c r="G111" s="2456">
        <f>Summary!E54</f>
        <v>1.255564260676841E-3</v>
      </c>
      <c r="J111" s="2455"/>
      <c r="K111" s="2455"/>
      <c r="L111" s="2455"/>
      <c r="M111" s="2455"/>
      <c r="N111" s="2455"/>
      <c r="O111" s="2455"/>
      <c r="P111" s="2455"/>
      <c r="Q111" s="2455"/>
      <c r="R111" s="2455"/>
      <c r="S111" s="2455"/>
      <c r="T111" s="2455"/>
      <c r="U111" s="2455"/>
      <c r="V111" s="2455"/>
      <c r="W111" s="2455"/>
      <c r="X111" s="2455"/>
      <c r="Y111" s="2455"/>
      <c r="Z111" s="2455"/>
    </row>
    <row r="112" spans="1:26" ht="12" x14ac:dyDescent="0.2">
      <c r="A112" s="2455" t="str">
        <f>MID(Summary!$B$1,FIND(" ",Summary!$B$1,1)+1,4)</f>
        <v>2011</v>
      </c>
      <c r="B112" s="2455" t="s">
        <v>719</v>
      </c>
      <c r="C112" s="2455" t="s">
        <v>2197</v>
      </c>
      <c r="D112" s="2455" t="s">
        <v>224</v>
      </c>
      <c r="E112" s="2455" t="s">
        <v>18</v>
      </c>
      <c r="F112" s="2455" t="s">
        <v>2192</v>
      </c>
      <c r="G112" s="2456">
        <f>Summary!E55</f>
        <v>3.3393969758320078E-3</v>
      </c>
      <c r="J112" s="2455"/>
      <c r="K112" s="2455"/>
      <c r="L112" s="2455"/>
      <c r="M112" s="2455"/>
      <c r="N112" s="2455"/>
      <c r="O112" s="2455"/>
      <c r="P112" s="2455"/>
      <c r="Q112" s="2455"/>
      <c r="R112" s="2455"/>
      <c r="S112" s="2455"/>
      <c r="T112" s="2455"/>
      <c r="U112" s="2455"/>
      <c r="V112" s="2455"/>
      <c r="W112" s="2455"/>
      <c r="X112" s="2455"/>
      <c r="Y112" s="2455"/>
      <c r="Z112" s="2455"/>
    </row>
    <row r="113" spans="1:26" ht="12" x14ac:dyDescent="0.2">
      <c r="A113" s="2455" t="str">
        <f>MID(Summary!$B$1,FIND(" ",Summary!$B$1,1)+1,4)</f>
        <v>2011</v>
      </c>
      <c r="B113" s="2455" t="s">
        <v>719</v>
      </c>
      <c r="C113" s="2455" t="s">
        <v>2197</v>
      </c>
      <c r="D113" s="2455" t="s">
        <v>244</v>
      </c>
      <c r="E113" s="2455" t="s">
        <v>3</v>
      </c>
      <c r="F113" s="2455" t="s">
        <v>2192</v>
      </c>
      <c r="G113" s="2456">
        <f>Summary!E61</f>
        <v>2.133145964549084</v>
      </c>
      <c r="J113" s="2455"/>
      <c r="K113" s="2455"/>
      <c r="L113" s="2455"/>
      <c r="M113" s="2455"/>
      <c r="N113" s="2455"/>
      <c r="O113" s="2455"/>
      <c r="P113" s="2455"/>
      <c r="Q113" s="2455"/>
      <c r="R113" s="2455"/>
      <c r="S113" s="2455"/>
      <c r="T113" s="2455"/>
      <c r="U113" s="2455"/>
      <c r="V113" s="2455"/>
      <c r="W113" s="2455"/>
      <c r="X113" s="2455"/>
      <c r="Y113" s="2455"/>
      <c r="Z113" s="2455"/>
    </row>
    <row r="114" spans="1:26" ht="12" x14ac:dyDescent="0.2">
      <c r="A114" s="2455" t="str">
        <f>MID(Summary!$B$1,FIND(" ",Summary!$B$1,1)+1,4)</f>
        <v>2011</v>
      </c>
      <c r="B114" s="2455" t="s">
        <v>719</v>
      </c>
      <c r="C114" s="2455" t="s">
        <v>2197</v>
      </c>
      <c r="D114" s="2455" t="s">
        <v>244</v>
      </c>
      <c r="E114" s="2455" t="s">
        <v>14</v>
      </c>
      <c r="F114" s="2455" t="s">
        <v>2192</v>
      </c>
      <c r="G114" s="2456">
        <f>Summary!E62</f>
        <v>8.1774846917091731E-3</v>
      </c>
      <c r="J114" s="2455"/>
      <c r="K114" s="2455"/>
      <c r="L114" s="2455"/>
      <c r="M114" s="2455"/>
      <c r="N114" s="2455"/>
      <c r="O114" s="2455"/>
      <c r="P114" s="2455"/>
      <c r="Q114" s="2455"/>
      <c r="R114" s="2455"/>
      <c r="S114" s="2455"/>
      <c r="T114" s="2455"/>
      <c r="U114" s="2455"/>
      <c r="V114" s="2455"/>
      <c r="W114" s="2455"/>
      <c r="X114" s="2455"/>
      <c r="Y114" s="2455"/>
      <c r="Z114" s="2455"/>
    </row>
    <row r="115" spans="1:26" ht="12" x14ac:dyDescent="0.2">
      <c r="A115" s="2455" t="str">
        <f>MID(Summary!$B$1,FIND(" ",Summary!$B$1,1)+1,4)</f>
        <v>2011</v>
      </c>
      <c r="B115" s="2455" t="s">
        <v>719</v>
      </c>
      <c r="C115" s="2455" t="s">
        <v>2197</v>
      </c>
      <c r="D115" s="2455" t="s">
        <v>244</v>
      </c>
      <c r="E115" s="2455" t="s">
        <v>18</v>
      </c>
      <c r="F115" s="2455" t="s">
        <v>2192</v>
      </c>
      <c r="G115" s="2456">
        <f>Summary!E63</f>
        <v>1.451033563794797E-2</v>
      </c>
      <c r="J115" s="2455"/>
      <c r="K115" s="2455"/>
      <c r="L115" s="2455"/>
      <c r="M115" s="2455"/>
      <c r="N115" s="2455"/>
      <c r="O115" s="2455"/>
      <c r="P115" s="2455"/>
      <c r="Q115" s="2455"/>
      <c r="R115" s="2455"/>
      <c r="S115" s="2455"/>
      <c r="T115" s="2455"/>
      <c r="U115" s="2455"/>
      <c r="V115" s="2455"/>
      <c r="W115" s="2455"/>
      <c r="X115" s="2455"/>
      <c r="Y115" s="2455"/>
      <c r="Z115" s="2455"/>
    </row>
    <row r="116" spans="1:26" ht="12" x14ac:dyDescent="0.2">
      <c r="A116" s="2455" t="str">
        <f>MID(Summary!$B$1,FIND(" ",Summary!$B$1,1)+1,4)</f>
        <v>2011</v>
      </c>
      <c r="B116" s="2455" t="s">
        <v>719</v>
      </c>
      <c r="C116" s="2455" t="s">
        <v>2197</v>
      </c>
      <c r="D116" s="2455" t="s">
        <v>250</v>
      </c>
      <c r="E116" s="2455" t="s">
        <v>3</v>
      </c>
      <c r="F116" s="2455" t="s">
        <v>2192</v>
      </c>
      <c r="G116" s="2456">
        <f>Summary!E65</f>
        <v>0.18530507924942111</v>
      </c>
      <c r="J116" s="2455"/>
      <c r="K116" s="2455"/>
      <c r="L116" s="2455"/>
      <c r="M116" s="2455"/>
      <c r="N116" s="2455"/>
      <c r="O116" s="2455"/>
      <c r="P116" s="2455"/>
      <c r="Q116" s="2455"/>
      <c r="R116" s="2455"/>
      <c r="S116" s="2455"/>
      <c r="T116" s="2455"/>
      <c r="U116" s="2455"/>
      <c r="V116" s="2455"/>
      <c r="W116" s="2455"/>
      <c r="X116" s="2455"/>
      <c r="Y116" s="2455"/>
      <c r="Z116" s="2455"/>
    </row>
    <row r="117" spans="1:26" ht="12" x14ac:dyDescent="0.2">
      <c r="A117" s="2455" t="str">
        <f>MID(Summary!$B$1,FIND(" ",Summary!$B$1,1)+1,4)</f>
        <v>2011</v>
      </c>
      <c r="B117" s="2455" t="s">
        <v>719</v>
      </c>
      <c r="C117" s="2455" t="s">
        <v>2197</v>
      </c>
      <c r="D117" s="2455" t="s">
        <v>250</v>
      </c>
      <c r="E117" s="2455" t="s">
        <v>14</v>
      </c>
      <c r="F117" s="2455" t="s">
        <v>2192</v>
      </c>
      <c r="G117" s="2456">
        <f>Summary!E66</f>
        <v>4.0256478889199996E-4</v>
      </c>
      <c r="J117" s="2455"/>
      <c r="K117" s="2455"/>
      <c r="L117" s="2455"/>
      <c r="M117" s="2455"/>
      <c r="N117" s="2455"/>
      <c r="O117" s="2455"/>
      <c r="P117" s="2455"/>
      <c r="Q117" s="2455"/>
      <c r="R117" s="2455"/>
      <c r="S117" s="2455"/>
      <c r="T117" s="2455"/>
      <c r="U117" s="2455"/>
      <c r="V117" s="2455"/>
      <c r="W117" s="2455"/>
      <c r="X117" s="2455"/>
      <c r="Y117" s="2455"/>
      <c r="Z117" s="2455"/>
    </row>
    <row r="118" spans="1:26" ht="12" x14ac:dyDescent="0.2">
      <c r="A118" s="2455" t="str">
        <f>MID(Summary!$B$1,FIND(" ",Summary!$B$1,1)+1,4)</f>
        <v>2011</v>
      </c>
      <c r="B118" s="2455" t="s">
        <v>719</v>
      </c>
      <c r="C118" s="2455" t="s">
        <v>2197</v>
      </c>
      <c r="D118" s="2455" t="s">
        <v>250</v>
      </c>
      <c r="E118" s="2455" t="s">
        <v>18</v>
      </c>
      <c r="F118" s="2455" t="s">
        <v>2192</v>
      </c>
      <c r="G118" s="2456">
        <f>Summary!E67</f>
        <v>1.2605039411328E-3</v>
      </c>
      <c r="J118" s="2455"/>
      <c r="K118" s="2455"/>
      <c r="L118" s="2455"/>
      <c r="M118" s="2455"/>
      <c r="N118" s="2455"/>
      <c r="O118" s="2455"/>
      <c r="P118" s="2455"/>
      <c r="Q118" s="2455"/>
      <c r="R118" s="2455"/>
      <c r="S118" s="2455"/>
      <c r="T118" s="2455"/>
      <c r="U118" s="2455"/>
      <c r="V118" s="2455"/>
      <c r="W118" s="2455"/>
      <c r="X118" s="2455"/>
      <c r="Y118" s="2455"/>
      <c r="Z118" s="2455"/>
    </row>
    <row r="119" spans="1:26" ht="12" x14ac:dyDescent="0.2">
      <c r="A119" s="2455" t="str">
        <f>MID(Summary!$B$1,FIND(" ",Summary!$B$1,1)+1,4)</f>
        <v>2011</v>
      </c>
      <c r="B119" s="2455" t="s">
        <v>719</v>
      </c>
      <c r="C119" s="2455" t="s">
        <v>2197</v>
      </c>
      <c r="D119" s="2455" t="s">
        <v>2183</v>
      </c>
      <c r="E119" s="2455" t="s">
        <v>3</v>
      </c>
      <c r="F119" s="2455" t="s">
        <v>2192</v>
      </c>
      <c r="G119" s="2456">
        <f>Summary!E69</f>
        <v>0.35066338940802455</v>
      </c>
      <c r="J119" s="2455"/>
      <c r="K119" s="2455"/>
      <c r="L119" s="2455"/>
      <c r="M119" s="2455"/>
      <c r="N119" s="2455"/>
      <c r="O119" s="2455"/>
      <c r="P119" s="2455"/>
      <c r="Q119" s="2455"/>
      <c r="R119" s="2455"/>
      <c r="S119" s="2455"/>
      <c r="T119" s="2455"/>
      <c r="U119" s="2455"/>
      <c r="V119" s="2455"/>
      <c r="W119" s="2455"/>
      <c r="X119" s="2455"/>
      <c r="Y119" s="2455"/>
      <c r="Z119" s="2455"/>
    </row>
    <row r="120" spans="1:26" ht="12" x14ac:dyDescent="0.2">
      <c r="A120" s="2455" t="str">
        <f>MID(Summary!$B$1,FIND(" ",Summary!$B$1,1)+1,4)</f>
        <v>2011</v>
      </c>
      <c r="B120" s="2455" t="s">
        <v>719</v>
      </c>
      <c r="C120" s="2455" t="s">
        <v>2197</v>
      </c>
      <c r="D120" s="2455" t="s">
        <v>2183</v>
      </c>
      <c r="E120" s="2455" t="s">
        <v>14</v>
      </c>
      <c r="F120" s="2455" t="s">
        <v>2192</v>
      </c>
      <c r="G120" s="2456">
        <f>Summary!E70</f>
        <v>7.1153725101602398E-4</v>
      </c>
      <c r="J120" s="2455"/>
      <c r="K120" s="2455"/>
      <c r="L120" s="2455"/>
      <c r="M120" s="2455"/>
      <c r="N120" s="2455"/>
      <c r="O120" s="2455"/>
      <c r="P120" s="2455"/>
      <c r="Q120" s="2455"/>
      <c r="R120" s="2455"/>
      <c r="S120" s="2455"/>
      <c r="T120" s="2455"/>
      <c r="U120" s="2455"/>
      <c r="V120" s="2455"/>
      <c r="W120" s="2455"/>
      <c r="X120" s="2455"/>
      <c r="Y120" s="2455"/>
      <c r="Z120" s="2455"/>
    </row>
    <row r="121" spans="1:26" ht="12" x14ac:dyDescent="0.2">
      <c r="A121" s="2455" t="str">
        <f>MID(Summary!$B$1,FIND(" ",Summary!$B$1,1)+1,4)</f>
        <v>2011</v>
      </c>
      <c r="B121" s="2455" t="s">
        <v>719</v>
      </c>
      <c r="C121" s="2455" t="s">
        <v>2197</v>
      </c>
      <c r="D121" s="2455" t="s">
        <v>2183</v>
      </c>
      <c r="E121" s="2455" t="s">
        <v>18</v>
      </c>
      <c r="F121" s="2455" t="s">
        <v>2192</v>
      </c>
      <c r="G121" s="2456">
        <f>Summary!E71</f>
        <v>2.42168825965248E-3</v>
      </c>
      <c r="J121" s="2455"/>
      <c r="K121" s="2455"/>
      <c r="L121" s="2455"/>
      <c r="M121" s="2455"/>
      <c r="N121" s="2455"/>
      <c r="O121" s="2455"/>
      <c r="P121" s="2455"/>
      <c r="Q121" s="2455"/>
      <c r="R121" s="2455"/>
      <c r="S121" s="2455"/>
      <c r="T121" s="2455"/>
      <c r="U121" s="2455"/>
      <c r="V121" s="2455"/>
      <c r="W121" s="2455"/>
      <c r="X121" s="2455"/>
      <c r="Y121" s="2455"/>
      <c r="Z121" s="2455"/>
    </row>
    <row r="122" spans="1:26" ht="12" x14ac:dyDescent="0.2">
      <c r="A122" s="2455" t="str">
        <f>MID(Summary!$B$1,FIND(" ",Summary!$B$1,1)+1,4)</f>
        <v>2011</v>
      </c>
      <c r="B122" s="2455" t="s">
        <v>719</v>
      </c>
      <c r="C122" s="2455" t="s">
        <v>2197</v>
      </c>
      <c r="D122" s="2455" t="s">
        <v>268</v>
      </c>
      <c r="E122" s="2455" t="s">
        <v>3</v>
      </c>
      <c r="F122" s="2455" t="s">
        <v>2192</v>
      </c>
      <c r="G122" s="2456">
        <f>Summary!E73</f>
        <v>0.45504484889968855</v>
      </c>
      <c r="J122" s="2455"/>
      <c r="K122" s="2455"/>
      <c r="L122" s="2455"/>
      <c r="M122" s="2455"/>
      <c r="N122" s="2455"/>
      <c r="O122" s="2455"/>
      <c r="P122" s="2455"/>
      <c r="Q122" s="2455"/>
      <c r="R122" s="2455"/>
      <c r="S122" s="2455"/>
      <c r="T122" s="2455"/>
      <c r="U122" s="2455"/>
      <c r="V122" s="2455"/>
      <c r="W122" s="2455"/>
      <c r="X122" s="2455"/>
      <c r="Y122" s="2455"/>
      <c r="Z122" s="2455"/>
    </row>
    <row r="123" spans="1:26" ht="12" x14ac:dyDescent="0.2">
      <c r="A123" s="2455" t="str">
        <f>MID(Summary!$B$1,FIND(" ",Summary!$B$1,1)+1,4)</f>
        <v>2011</v>
      </c>
      <c r="B123" s="2455" t="s">
        <v>719</v>
      </c>
      <c r="C123" s="2455" t="s">
        <v>2197</v>
      </c>
      <c r="D123" s="2455" t="s">
        <v>268</v>
      </c>
      <c r="E123" s="2455" t="s">
        <v>14</v>
      </c>
      <c r="F123" s="2455" t="s">
        <v>2192</v>
      </c>
      <c r="G123" s="2456">
        <f>Summary!E74</f>
        <v>0</v>
      </c>
      <c r="J123" s="2455"/>
      <c r="K123" s="2455"/>
      <c r="L123" s="2455"/>
      <c r="M123" s="2455"/>
      <c r="N123" s="2455"/>
      <c r="O123" s="2455"/>
      <c r="P123" s="2455"/>
      <c r="Q123" s="2455"/>
      <c r="R123" s="2455"/>
      <c r="S123" s="2455"/>
      <c r="T123" s="2455"/>
      <c r="U123" s="2455"/>
      <c r="V123" s="2455"/>
      <c r="W123" s="2455"/>
      <c r="X123" s="2455"/>
      <c r="Y123" s="2455"/>
      <c r="Z123" s="2455"/>
    </row>
    <row r="124" spans="1:26" ht="12" x14ac:dyDescent="0.2">
      <c r="A124" s="2455" t="str">
        <f>MID(Summary!$B$1,FIND(" ",Summary!$B$1,1)+1,4)</f>
        <v>2011</v>
      </c>
      <c r="B124" s="2455" t="s">
        <v>719</v>
      </c>
      <c r="C124" s="2455" t="s">
        <v>2197</v>
      </c>
      <c r="D124" s="2455" t="s">
        <v>268</v>
      </c>
      <c r="E124" s="2455" t="s">
        <v>18</v>
      </c>
      <c r="F124" s="2455" t="s">
        <v>2192</v>
      </c>
      <c r="G124" s="2456">
        <f>Summary!E75</f>
        <v>0</v>
      </c>
      <c r="J124" s="2455"/>
      <c r="K124" s="2455"/>
      <c r="L124" s="2455"/>
      <c r="M124" s="2455"/>
      <c r="N124" s="2455"/>
      <c r="O124" s="2455"/>
      <c r="P124" s="2455"/>
      <c r="Q124" s="2455"/>
      <c r="R124" s="2455"/>
      <c r="S124" s="2455"/>
      <c r="T124" s="2455"/>
      <c r="U124" s="2455"/>
      <c r="V124" s="2455"/>
      <c r="W124" s="2455"/>
      <c r="X124" s="2455"/>
      <c r="Y124" s="2455"/>
      <c r="Z124" s="2455"/>
    </row>
    <row r="125" spans="1:26" ht="12" x14ac:dyDescent="0.2">
      <c r="A125" s="2455" t="str">
        <f>MID(Summary!$B$1,FIND(" ",Summary!$B$1,1)+1,4)</f>
        <v>2011</v>
      </c>
      <c r="B125" s="2455" t="s">
        <v>719</v>
      </c>
      <c r="C125" s="2455" t="s">
        <v>2197</v>
      </c>
      <c r="D125" s="2455" t="s">
        <v>272</v>
      </c>
      <c r="E125" s="2455" t="s">
        <v>3</v>
      </c>
      <c r="F125" s="2455" t="s">
        <v>2192</v>
      </c>
      <c r="G125" s="2456">
        <f>Summary!E77</f>
        <v>2.4320521103533266</v>
      </c>
      <c r="J125" s="2455"/>
      <c r="K125" s="2455"/>
      <c r="L125" s="2455"/>
      <c r="M125" s="2455"/>
      <c r="N125" s="2455"/>
      <c r="O125" s="2455"/>
      <c r="P125" s="2455"/>
      <c r="Q125" s="2455"/>
      <c r="R125" s="2455"/>
      <c r="S125" s="2455"/>
      <c r="T125" s="2455"/>
      <c r="U125" s="2455"/>
      <c r="V125" s="2455"/>
      <c r="W125" s="2455"/>
      <c r="X125" s="2455"/>
      <c r="Y125" s="2455"/>
      <c r="Z125" s="2455"/>
    </row>
    <row r="126" spans="1:26" ht="12" x14ac:dyDescent="0.2">
      <c r="A126" s="2455" t="str">
        <f>MID(Summary!$B$1,FIND(" ",Summary!$B$1,1)+1,4)</f>
        <v>2011</v>
      </c>
      <c r="B126" s="2455" t="s">
        <v>719</v>
      </c>
      <c r="C126" s="2455" t="s">
        <v>2197</v>
      </c>
      <c r="D126" s="2455" t="s">
        <v>272</v>
      </c>
      <c r="E126" s="2455" t="s">
        <v>14</v>
      </c>
      <c r="F126" s="2455" t="s">
        <v>2192</v>
      </c>
      <c r="G126" s="2456">
        <f>Summary!E78</f>
        <v>2.1509895332159999E-3</v>
      </c>
      <c r="J126" s="2455"/>
      <c r="K126" s="2455"/>
      <c r="L126" s="2455"/>
      <c r="M126" s="2455"/>
      <c r="N126" s="2455"/>
      <c r="O126" s="2455"/>
      <c r="P126" s="2455"/>
      <c r="Q126" s="2455"/>
      <c r="R126" s="2455"/>
      <c r="S126" s="2455"/>
      <c r="T126" s="2455"/>
      <c r="U126" s="2455"/>
      <c r="V126" s="2455"/>
      <c r="W126" s="2455"/>
      <c r="X126" s="2455"/>
      <c r="Y126" s="2455"/>
      <c r="Z126" s="2455"/>
    </row>
    <row r="127" spans="1:26" ht="12" x14ac:dyDescent="0.2">
      <c r="A127" s="2455" t="str">
        <f>MID(Summary!$B$1,FIND(" ",Summary!$B$1,1)+1,4)</f>
        <v>2011</v>
      </c>
      <c r="B127" s="2455" t="s">
        <v>719</v>
      </c>
      <c r="C127" s="2455" t="s">
        <v>2197</v>
      </c>
      <c r="D127" s="2455" t="s">
        <v>272</v>
      </c>
      <c r="E127" s="2455" t="s">
        <v>18</v>
      </c>
      <c r="F127" s="2455" t="s">
        <v>2192</v>
      </c>
      <c r="G127" s="2456">
        <f>Summary!E79</f>
        <v>2.0371205181599999E-2</v>
      </c>
      <c r="J127" s="2455"/>
      <c r="K127" s="2455"/>
      <c r="L127" s="2455"/>
      <c r="M127" s="2455"/>
      <c r="N127" s="2455"/>
      <c r="O127" s="2455"/>
      <c r="P127" s="2455"/>
      <c r="Q127" s="2455"/>
      <c r="R127" s="2455"/>
      <c r="S127" s="2455"/>
      <c r="T127" s="2455"/>
      <c r="U127" s="2455"/>
      <c r="V127" s="2455"/>
      <c r="W127" s="2455"/>
      <c r="X127" s="2455"/>
      <c r="Y127" s="2455"/>
      <c r="Z127" s="2455"/>
    </row>
    <row r="128" spans="1:26" ht="12" x14ac:dyDescent="0.2">
      <c r="A128" s="2455" t="str">
        <f>MID(Summary!$B$1,FIND(" ",Summary!$B$1,1)+1,4)</f>
        <v>2011</v>
      </c>
      <c r="B128" s="2455" t="s">
        <v>719</v>
      </c>
      <c r="C128" s="2455" t="s">
        <v>2196</v>
      </c>
      <c r="D128" s="2455" t="s">
        <v>211</v>
      </c>
      <c r="E128" s="2455" t="s">
        <v>3</v>
      </c>
      <c r="F128" s="2455" t="s">
        <v>2194</v>
      </c>
      <c r="G128" s="2456">
        <f>Summary!D49</f>
        <v>22.519055143367485</v>
      </c>
      <c r="H128" s="2455"/>
      <c r="I128" s="2455"/>
      <c r="J128" s="2455"/>
      <c r="K128" s="2455"/>
      <c r="L128" s="2455"/>
      <c r="M128" s="2455"/>
      <c r="N128" s="2455"/>
      <c r="O128" s="2455"/>
      <c r="P128" s="2455"/>
      <c r="Q128" s="2455"/>
      <c r="R128" s="2455"/>
      <c r="S128" s="2455"/>
      <c r="T128" s="2455"/>
      <c r="U128" s="2455"/>
      <c r="V128" s="2455"/>
      <c r="W128" s="2455"/>
      <c r="X128" s="2455"/>
      <c r="Y128" s="2455"/>
      <c r="Z128" s="2455"/>
    </row>
    <row r="129" spans="1:26" ht="12" x14ac:dyDescent="0.2">
      <c r="A129" s="2455" t="str">
        <f>MID(Summary!$B$1,FIND(" ",Summary!$B$1,1)+1,4)</f>
        <v>2011</v>
      </c>
      <c r="B129" s="2455" t="s">
        <v>719</v>
      </c>
      <c r="C129" s="2455" t="s">
        <v>2196</v>
      </c>
      <c r="D129" s="2455" t="s">
        <v>211</v>
      </c>
      <c r="E129" s="2455" t="s">
        <v>14</v>
      </c>
      <c r="F129" s="2455" t="s">
        <v>2194</v>
      </c>
      <c r="G129" s="2456">
        <f>Summary!D50</f>
        <v>2.461457197613021E-2</v>
      </c>
      <c r="H129" s="2455"/>
      <c r="I129" s="2455"/>
      <c r="J129" s="2455"/>
      <c r="K129" s="2455"/>
      <c r="L129" s="2455"/>
      <c r="M129" s="2455"/>
      <c r="N129" s="2455"/>
      <c r="O129" s="2455"/>
      <c r="P129" s="2455"/>
      <c r="Q129" s="2455"/>
      <c r="R129" s="2455"/>
      <c r="S129" s="2455"/>
      <c r="T129" s="2455"/>
      <c r="U129" s="2455"/>
      <c r="V129" s="2455"/>
      <c r="W129" s="2455"/>
      <c r="X129" s="2455"/>
      <c r="Y129" s="2455"/>
      <c r="Z129" s="2455"/>
    </row>
    <row r="130" spans="1:26" ht="12" x14ac:dyDescent="0.2">
      <c r="A130" s="2455" t="str">
        <f>MID(Summary!$B$1,FIND(" ",Summary!$B$1,1)+1,4)</f>
        <v>2011</v>
      </c>
      <c r="B130" s="2455" t="s">
        <v>719</v>
      </c>
      <c r="C130" s="2455" t="s">
        <v>2196</v>
      </c>
      <c r="D130" s="2455" t="s">
        <v>211</v>
      </c>
      <c r="E130" s="2455" t="s">
        <v>18</v>
      </c>
      <c r="F130" s="2455" t="s">
        <v>2194</v>
      </c>
      <c r="G130" s="2456">
        <f>Summary!D51</f>
        <v>7.3560789813722485E-4</v>
      </c>
      <c r="H130" s="2455"/>
      <c r="I130" s="2455"/>
      <c r="J130" s="2455"/>
      <c r="K130" s="2455"/>
      <c r="L130" s="2455"/>
      <c r="M130" s="2455"/>
      <c r="N130" s="2455"/>
      <c r="O130" s="2455"/>
      <c r="P130" s="2455"/>
      <c r="Q130" s="2455"/>
      <c r="R130" s="2455"/>
      <c r="S130" s="2455"/>
      <c r="T130" s="2455"/>
      <c r="U130" s="2455"/>
      <c r="V130" s="2455"/>
      <c r="W130" s="2455"/>
      <c r="X130" s="2455"/>
      <c r="Y130" s="2455"/>
      <c r="Z130" s="2455"/>
    </row>
    <row r="131" spans="1:26" ht="12" x14ac:dyDescent="0.2">
      <c r="A131" s="2455" t="str">
        <f>MID(Summary!$B$1,FIND(" ",Summary!$B$1,1)+1,4)</f>
        <v>2011</v>
      </c>
      <c r="B131" s="2455" t="s">
        <v>719</v>
      </c>
      <c r="C131" s="2455" t="s">
        <v>2196</v>
      </c>
      <c r="D131" s="2455" t="s">
        <v>235</v>
      </c>
      <c r="E131" s="2455" t="s">
        <v>3</v>
      </c>
      <c r="F131" s="2455" t="s">
        <v>2194</v>
      </c>
      <c r="G131" s="2456">
        <f>Summary!D57</f>
        <v>5.720528738777328</v>
      </c>
      <c r="H131" s="2455"/>
      <c r="I131" s="2455"/>
      <c r="J131" s="2455"/>
      <c r="K131" s="2455"/>
      <c r="L131" s="2455"/>
      <c r="M131" s="2455"/>
      <c r="N131" s="2455"/>
      <c r="O131" s="2455"/>
      <c r="P131" s="2455"/>
      <c r="Q131" s="2455"/>
      <c r="R131" s="2455"/>
      <c r="S131" s="2455"/>
      <c r="T131" s="2455"/>
      <c r="U131" s="2455"/>
      <c r="V131" s="2455"/>
      <c r="W131" s="2455"/>
      <c r="X131" s="2455"/>
      <c r="Y131" s="2455"/>
      <c r="Z131" s="2455"/>
    </row>
    <row r="132" spans="1:26" ht="12" x14ac:dyDescent="0.2">
      <c r="A132" s="2455" t="str">
        <f>MID(Summary!$B$1,FIND(" ",Summary!$B$1,1)+1,4)</f>
        <v>2011</v>
      </c>
      <c r="B132" s="2455" t="s">
        <v>719</v>
      </c>
      <c r="C132" s="2455" t="s">
        <v>2196</v>
      </c>
      <c r="D132" s="2455" t="s">
        <v>235</v>
      </c>
      <c r="E132" s="2455" t="s">
        <v>14</v>
      </c>
      <c r="F132" s="2455" t="s">
        <v>2194</v>
      </c>
      <c r="G132" s="2456">
        <f>Summary!D58</f>
        <v>3.1506892735763491E-4</v>
      </c>
      <c r="H132" s="2455"/>
      <c r="I132" s="2455"/>
      <c r="J132" s="2455"/>
      <c r="K132" s="2455"/>
      <c r="L132" s="2455"/>
      <c r="M132" s="2455"/>
      <c r="N132" s="2455"/>
      <c r="O132" s="2455"/>
      <c r="P132" s="2455"/>
      <c r="Q132" s="2455"/>
      <c r="R132" s="2455"/>
      <c r="S132" s="2455"/>
      <c r="T132" s="2455"/>
      <c r="U132" s="2455"/>
      <c r="V132" s="2455"/>
      <c r="W132" s="2455"/>
      <c r="X132" s="2455"/>
      <c r="Y132" s="2455"/>
      <c r="Z132" s="2455"/>
    </row>
    <row r="133" spans="1:26" ht="12" x14ac:dyDescent="0.2">
      <c r="A133" s="2455" t="str">
        <f>MID(Summary!$B$1,FIND(" ",Summary!$B$1,1)+1,4)</f>
        <v>2011</v>
      </c>
      <c r="B133" s="2455" t="s">
        <v>719</v>
      </c>
      <c r="C133" s="2455" t="s">
        <v>2196</v>
      </c>
      <c r="D133" s="2455" t="s">
        <v>235</v>
      </c>
      <c r="E133" s="2455" t="s">
        <v>18</v>
      </c>
      <c r="F133" s="2455" t="s">
        <v>2194</v>
      </c>
      <c r="G133" s="2456">
        <f>Summary!D59</f>
        <v>1.8422321089876705E-4</v>
      </c>
      <c r="H133" s="2455"/>
      <c r="I133" s="2455"/>
      <c r="J133" s="2455"/>
      <c r="K133" s="2455"/>
      <c r="L133" s="2455"/>
      <c r="M133" s="2455"/>
      <c r="N133" s="2455"/>
      <c r="O133" s="2455"/>
      <c r="P133" s="2455"/>
      <c r="Q133" s="2455"/>
      <c r="R133" s="2455"/>
      <c r="S133" s="2455"/>
      <c r="T133" s="2455"/>
      <c r="U133" s="2455"/>
      <c r="V133" s="2455"/>
      <c r="W133" s="2455"/>
      <c r="X133" s="2455"/>
      <c r="Y133" s="2455"/>
      <c r="Z133" s="2455"/>
    </row>
    <row r="134" spans="1:26" ht="12" x14ac:dyDescent="0.2">
      <c r="A134" s="2455" t="str">
        <f>MID(Summary!$B$1,FIND(" ",Summary!$B$1,1)+1,4)</f>
        <v>2011</v>
      </c>
      <c r="B134" s="2455" t="s">
        <v>719</v>
      </c>
      <c r="C134" s="2455" t="s">
        <v>2197</v>
      </c>
      <c r="D134" s="2455" t="s">
        <v>224</v>
      </c>
      <c r="E134" s="2455" t="s">
        <v>3</v>
      </c>
      <c r="F134" s="2455" t="s">
        <v>2194</v>
      </c>
      <c r="G134" s="2456">
        <f>Summary!D53</f>
        <v>2.7318932899032262</v>
      </c>
      <c r="H134" s="2455"/>
      <c r="I134" s="2455"/>
      <c r="J134" s="2455"/>
      <c r="K134" s="2455"/>
      <c r="L134" s="2455"/>
      <c r="M134" s="2455"/>
      <c r="N134" s="2455"/>
      <c r="O134" s="2455"/>
      <c r="P134" s="2455"/>
      <c r="Q134" s="2455"/>
      <c r="R134" s="2455"/>
      <c r="S134" s="2455"/>
      <c r="T134" s="2455"/>
      <c r="U134" s="2455"/>
      <c r="V134" s="2455"/>
      <c r="W134" s="2455"/>
      <c r="X134" s="2455"/>
      <c r="Y134" s="2455"/>
      <c r="Z134" s="2455"/>
    </row>
    <row r="135" spans="1:26" ht="12" x14ac:dyDescent="0.2">
      <c r="A135" s="2455" t="str">
        <f>MID(Summary!$B$1,FIND(" ",Summary!$B$1,1)+1,4)</f>
        <v>2011</v>
      </c>
      <c r="B135" s="2455" t="s">
        <v>719</v>
      </c>
      <c r="C135" s="2455" t="s">
        <v>2197</v>
      </c>
      <c r="D135" s="2455" t="s">
        <v>224</v>
      </c>
      <c r="E135" s="2455" t="s">
        <v>14</v>
      </c>
      <c r="F135" s="2455" t="s">
        <v>2194</v>
      </c>
      <c r="G135" s="2456">
        <f>Summary!D54</f>
        <v>3.6541870239053583E-3</v>
      </c>
      <c r="H135" s="2455"/>
      <c r="I135" s="2455"/>
      <c r="J135" s="2455"/>
      <c r="K135" s="2455"/>
      <c r="L135" s="2455"/>
      <c r="M135" s="2455"/>
      <c r="N135" s="2455"/>
      <c r="O135" s="2455"/>
      <c r="P135" s="2455"/>
      <c r="Q135" s="2455"/>
      <c r="R135" s="2455"/>
      <c r="S135" s="2455"/>
      <c r="T135" s="2455"/>
      <c r="U135" s="2455"/>
      <c r="V135" s="2455"/>
      <c r="W135" s="2455"/>
      <c r="X135" s="2455"/>
      <c r="Y135" s="2455"/>
      <c r="Z135" s="2455"/>
    </row>
    <row r="136" spans="1:26" ht="12" x14ac:dyDescent="0.2">
      <c r="A136" s="2455" t="str">
        <f>MID(Summary!$B$1,FIND(" ",Summary!$B$1,1)+1,4)</f>
        <v>2011</v>
      </c>
      <c r="B136" s="2455" t="s">
        <v>719</v>
      </c>
      <c r="C136" s="2455" t="s">
        <v>2197</v>
      </c>
      <c r="D136" s="2455" t="s">
        <v>224</v>
      </c>
      <c r="E136" s="2455" t="s">
        <v>18</v>
      </c>
      <c r="F136" s="2455" t="s">
        <v>2194</v>
      </c>
      <c r="G136" s="2456">
        <f>Summary!D55</f>
        <v>3.3393969758320078E-3</v>
      </c>
      <c r="H136" s="2455"/>
      <c r="I136" s="2455"/>
      <c r="J136" s="2455"/>
      <c r="K136" s="2455"/>
      <c r="L136" s="2455"/>
      <c r="M136" s="2455"/>
      <c r="N136" s="2455"/>
      <c r="O136" s="2455"/>
      <c r="P136" s="2455"/>
      <c r="Q136" s="2455"/>
      <c r="R136" s="2455"/>
      <c r="S136" s="2455"/>
      <c r="T136" s="2455"/>
      <c r="U136" s="2455"/>
      <c r="V136" s="2455"/>
      <c r="W136" s="2455"/>
      <c r="X136" s="2455"/>
      <c r="Y136" s="2455"/>
      <c r="Z136" s="2455"/>
    </row>
    <row r="137" spans="1:26" ht="12" x14ac:dyDescent="0.2">
      <c r="A137" s="2455" t="str">
        <f>MID(Summary!$B$1,FIND(" ",Summary!$B$1,1)+1,4)</f>
        <v>2011</v>
      </c>
      <c r="B137" s="2455" t="s">
        <v>719</v>
      </c>
      <c r="C137" s="2455" t="s">
        <v>2197</v>
      </c>
      <c r="D137" s="2455" t="s">
        <v>244</v>
      </c>
      <c r="E137" s="2455" t="s">
        <v>3</v>
      </c>
      <c r="F137" s="2455" t="s">
        <v>2194</v>
      </c>
      <c r="G137" s="2456">
        <f>Summary!D61</f>
        <v>2.133145964549084</v>
      </c>
      <c r="H137" s="2455"/>
      <c r="I137" s="2455"/>
      <c r="J137" s="2455"/>
      <c r="K137" s="2455"/>
      <c r="L137" s="2455"/>
      <c r="M137" s="2455"/>
      <c r="N137" s="2455"/>
      <c r="O137" s="2455"/>
      <c r="P137" s="2455"/>
      <c r="Q137" s="2455"/>
      <c r="R137" s="2455"/>
      <c r="S137" s="2455"/>
      <c r="T137" s="2455"/>
      <c r="U137" s="2455"/>
      <c r="V137" s="2455"/>
      <c r="W137" s="2455"/>
      <c r="X137" s="2455"/>
      <c r="Y137" s="2455"/>
      <c r="Z137" s="2455"/>
    </row>
    <row r="138" spans="1:26" ht="12" x14ac:dyDescent="0.2">
      <c r="A138" s="2455" t="str">
        <f>MID(Summary!$B$1,FIND(" ",Summary!$B$1,1)+1,4)</f>
        <v>2011</v>
      </c>
      <c r="B138" s="2455" t="s">
        <v>719</v>
      </c>
      <c r="C138" s="2455" t="s">
        <v>2197</v>
      </c>
      <c r="D138" s="2455" t="s">
        <v>244</v>
      </c>
      <c r="E138" s="2455" t="s">
        <v>14</v>
      </c>
      <c r="F138" s="2455" t="s">
        <v>2194</v>
      </c>
      <c r="G138" s="2456">
        <f>Summary!D62</f>
        <v>2.3799704550780818E-2</v>
      </c>
      <c r="H138" s="2455"/>
      <c r="I138" s="2455"/>
      <c r="J138" s="2455"/>
      <c r="K138" s="2455"/>
      <c r="L138" s="2455"/>
      <c r="M138" s="2455"/>
      <c r="N138" s="2455"/>
      <c r="O138" s="2455"/>
      <c r="P138" s="2455"/>
      <c r="Q138" s="2455"/>
      <c r="R138" s="2455"/>
      <c r="S138" s="2455"/>
      <c r="T138" s="2455"/>
      <c r="U138" s="2455"/>
      <c r="V138" s="2455"/>
      <c r="W138" s="2455"/>
      <c r="X138" s="2455"/>
      <c r="Y138" s="2455"/>
      <c r="Z138" s="2455"/>
    </row>
    <row r="139" spans="1:26" ht="12" x14ac:dyDescent="0.2">
      <c r="A139" s="2455" t="str">
        <f>MID(Summary!$B$1,FIND(" ",Summary!$B$1,1)+1,4)</f>
        <v>2011</v>
      </c>
      <c r="B139" s="2455" t="s">
        <v>719</v>
      </c>
      <c r="C139" s="2455" t="s">
        <v>2197</v>
      </c>
      <c r="D139" s="2455" t="s">
        <v>244</v>
      </c>
      <c r="E139" s="2455" t="s">
        <v>18</v>
      </c>
      <c r="F139" s="2455" t="s">
        <v>2194</v>
      </c>
      <c r="G139" s="2456">
        <f>Summary!D63</f>
        <v>1.451033563794797E-2</v>
      </c>
      <c r="H139" s="2455"/>
      <c r="I139" s="2455"/>
      <c r="J139" s="2455"/>
      <c r="K139" s="2455"/>
      <c r="L139" s="2455"/>
      <c r="M139" s="2455"/>
      <c r="N139" s="2455"/>
      <c r="O139" s="2455"/>
      <c r="P139" s="2455"/>
      <c r="Q139" s="2455"/>
      <c r="R139" s="2455"/>
      <c r="S139" s="2455"/>
      <c r="T139" s="2455"/>
      <c r="U139" s="2455"/>
      <c r="V139" s="2455"/>
      <c r="W139" s="2455"/>
      <c r="X139" s="2455"/>
      <c r="Y139" s="2455"/>
      <c r="Z139" s="2455"/>
    </row>
    <row r="140" spans="1:26" ht="12" x14ac:dyDescent="0.2">
      <c r="A140" s="2455" t="str">
        <f>MID(Summary!$B$1,FIND(" ",Summary!$B$1,1)+1,4)</f>
        <v>2011</v>
      </c>
      <c r="B140" s="2455" t="s">
        <v>719</v>
      </c>
      <c r="C140" s="2455" t="s">
        <v>2197</v>
      </c>
      <c r="D140" s="2455" t="s">
        <v>250</v>
      </c>
      <c r="E140" s="2455" t="s">
        <v>3</v>
      </c>
      <c r="F140" s="2455" t="s">
        <v>2194</v>
      </c>
      <c r="G140" s="2456">
        <f>Summary!D65</f>
        <v>0.18530507924942111</v>
      </c>
      <c r="H140" s="2455"/>
      <c r="I140" s="2455"/>
      <c r="J140" s="2455"/>
      <c r="K140" s="2455"/>
      <c r="L140" s="2455"/>
      <c r="M140" s="2455"/>
      <c r="N140" s="2455"/>
      <c r="O140" s="2455"/>
      <c r="P140" s="2455"/>
      <c r="Q140" s="2455"/>
      <c r="R140" s="2455"/>
      <c r="S140" s="2455"/>
      <c r="T140" s="2455"/>
      <c r="U140" s="2455"/>
      <c r="V140" s="2455"/>
      <c r="W140" s="2455"/>
      <c r="X140" s="2455"/>
      <c r="Y140" s="2455"/>
      <c r="Z140" s="2455"/>
    </row>
    <row r="141" spans="1:26" ht="12" x14ac:dyDescent="0.2">
      <c r="A141" s="2455" t="str">
        <f>MID(Summary!$B$1,FIND(" ",Summary!$B$1,1)+1,4)</f>
        <v>2011</v>
      </c>
      <c r="B141" s="2455" t="s">
        <v>719</v>
      </c>
      <c r="C141" s="2455" t="s">
        <v>2197</v>
      </c>
      <c r="D141" s="2455" t="s">
        <v>250</v>
      </c>
      <c r="E141" s="2455" t="s">
        <v>14</v>
      </c>
      <c r="F141" s="2455" t="s">
        <v>2194</v>
      </c>
      <c r="G141" s="2456">
        <f>Summary!D66</f>
        <v>1.1716222529759999E-3</v>
      </c>
      <c r="H141" s="2455"/>
      <c r="I141" s="2455"/>
      <c r="J141" s="2455"/>
      <c r="K141" s="2455"/>
      <c r="L141" s="2455"/>
      <c r="M141" s="2455"/>
      <c r="N141" s="2455"/>
      <c r="O141" s="2455"/>
      <c r="P141" s="2455"/>
      <c r="Q141" s="2455"/>
      <c r="R141" s="2455"/>
      <c r="S141" s="2455"/>
      <c r="T141" s="2455"/>
      <c r="U141" s="2455"/>
      <c r="V141" s="2455"/>
      <c r="W141" s="2455"/>
      <c r="X141" s="2455"/>
      <c r="Y141" s="2455"/>
      <c r="Z141" s="2455"/>
    </row>
    <row r="142" spans="1:26" ht="12" x14ac:dyDescent="0.2">
      <c r="A142" s="2455" t="str">
        <f>MID(Summary!$B$1,FIND(" ",Summary!$B$1,1)+1,4)</f>
        <v>2011</v>
      </c>
      <c r="B142" s="2455" t="s">
        <v>719</v>
      </c>
      <c r="C142" s="2455" t="s">
        <v>2197</v>
      </c>
      <c r="D142" s="2455" t="s">
        <v>250</v>
      </c>
      <c r="E142" s="2455" t="s">
        <v>18</v>
      </c>
      <c r="F142" s="2455" t="s">
        <v>2194</v>
      </c>
      <c r="G142" s="2456">
        <f>Summary!D67</f>
        <v>1.2605039411328E-3</v>
      </c>
      <c r="H142" s="2455"/>
      <c r="I142" s="2455"/>
      <c r="J142" s="2455"/>
      <c r="K142" s="2455"/>
      <c r="L142" s="2455"/>
      <c r="M142" s="2455"/>
      <c r="N142" s="2455"/>
      <c r="O142" s="2455"/>
      <c r="P142" s="2455"/>
      <c r="Q142" s="2455"/>
      <c r="R142" s="2455"/>
      <c r="S142" s="2455"/>
      <c r="T142" s="2455"/>
      <c r="U142" s="2455"/>
      <c r="V142" s="2455"/>
      <c r="W142" s="2455"/>
      <c r="X142" s="2455"/>
      <c r="Y142" s="2455"/>
      <c r="Z142" s="2455"/>
    </row>
    <row r="143" spans="1:26" ht="12" x14ac:dyDescent="0.2">
      <c r="A143" s="2455" t="str">
        <f>MID(Summary!$B$1,FIND(" ",Summary!$B$1,1)+1,4)</f>
        <v>2011</v>
      </c>
      <c r="B143" s="2455" t="s">
        <v>719</v>
      </c>
      <c r="C143" s="2455" t="s">
        <v>2197</v>
      </c>
      <c r="D143" s="2455" t="s">
        <v>2183</v>
      </c>
      <c r="E143" s="2455" t="s">
        <v>3</v>
      </c>
      <c r="F143" s="2455" t="s">
        <v>2194</v>
      </c>
      <c r="G143" s="2456">
        <f>Summary!D69</f>
        <v>0.35066338940802455</v>
      </c>
      <c r="H143" s="2455"/>
      <c r="I143" s="2455"/>
      <c r="J143" s="2455"/>
      <c r="K143" s="2455"/>
      <c r="L143" s="2455"/>
      <c r="M143" s="2455"/>
      <c r="N143" s="2455"/>
      <c r="O143" s="2455"/>
      <c r="P143" s="2455"/>
      <c r="Q143" s="2455"/>
      <c r="R143" s="2455"/>
      <c r="S143" s="2455"/>
      <c r="T143" s="2455"/>
      <c r="U143" s="2455"/>
      <c r="V143" s="2455"/>
      <c r="W143" s="2455"/>
      <c r="X143" s="2455"/>
      <c r="Y143" s="2455"/>
      <c r="Z143" s="2455"/>
    </row>
    <row r="144" spans="1:26" ht="12" x14ac:dyDescent="0.2">
      <c r="A144" s="2455" t="str">
        <f>MID(Summary!$B$1,FIND(" ",Summary!$B$1,1)+1,4)</f>
        <v>2011</v>
      </c>
      <c r="B144" s="2455" t="s">
        <v>719</v>
      </c>
      <c r="C144" s="2455" t="s">
        <v>2197</v>
      </c>
      <c r="D144" s="2455" t="s">
        <v>2183</v>
      </c>
      <c r="E144" s="2455" t="s">
        <v>14</v>
      </c>
      <c r="F144" s="2455" t="s">
        <v>2194</v>
      </c>
      <c r="G144" s="2456">
        <f>Summary!D70</f>
        <v>2.0708539348566722E-3</v>
      </c>
      <c r="H144" s="2455"/>
      <c r="I144" s="2455"/>
      <c r="J144" s="2455"/>
      <c r="K144" s="2455"/>
      <c r="L144" s="2455"/>
      <c r="M144" s="2455"/>
      <c r="N144" s="2455"/>
      <c r="O144" s="2455"/>
      <c r="P144" s="2455"/>
      <c r="Q144" s="2455"/>
      <c r="R144" s="2455"/>
      <c r="S144" s="2455"/>
      <c r="T144" s="2455"/>
      <c r="U144" s="2455"/>
      <c r="V144" s="2455"/>
      <c r="W144" s="2455"/>
      <c r="X144" s="2455"/>
      <c r="Y144" s="2455"/>
      <c r="Z144" s="2455"/>
    </row>
    <row r="145" spans="1:26" ht="12" x14ac:dyDescent="0.2">
      <c r="A145" s="2455" t="str">
        <f>MID(Summary!$B$1,FIND(" ",Summary!$B$1,1)+1,4)</f>
        <v>2011</v>
      </c>
      <c r="B145" s="2455" t="s">
        <v>719</v>
      </c>
      <c r="C145" s="2455" t="s">
        <v>2197</v>
      </c>
      <c r="D145" s="2455" t="s">
        <v>2183</v>
      </c>
      <c r="E145" s="2455" t="s">
        <v>18</v>
      </c>
      <c r="F145" s="2455" t="s">
        <v>2194</v>
      </c>
      <c r="G145" s="2456">
        <f>Summary!D71</f>
        <v>2.42168825965248E-3</v>
      </c>
      <c r="H145" s="2455"/>
      <c r="I145" s="2455"/>
      <c r="J145" s="2455"/>
      <c r="K145" s="2455"/>
      <c r="L145" s="2455"/>
      <c r="M145" s="2455"/>
      <c r="N145" s="2455"/>
      <c r="O145" s="2455"/>
      <c r="P145" s="2455"/>
      <c r="Q145" s="2455"/>
      <c r="R145" s="2455"/>
      <c r="S145" s="2455"/>
      <c r="T145" s="2455"/>
      <c r="U145" s="2455"/>
      <c r="V145" s="2455"/>
      <c r="W145" s="2455"/>
      <c r="X145" s="2455"/>
      <c r="Y145" s="2455"/>
      <c r="Z145" s="2455"/>
    </row>
    <row r="146" spans="1:26" ht="12" x14ac:dyDescent="0.2">
      <c r="A146" s="2455" t="str">
        <f>MID(Summary!$B$1,FIND(" ",Summary!$B$1,1)+1,4)</f>
        <v>2011</v>
      </c>
      <c r="B146" s="2455" t="s">
        <v>719</v>
      </c>
      <c r="C146" s="2455" t="s">
        <v>2197</v>
      </c>
      <c r="D146" s="2455" t="s">
        <v>268</v>
      </c>
      <c r="E146" s="2455" t="s">
        <v>3</v>
      </c>
      <c r="F146" s="2455" t="s">
        <v>2194</v>
      </c>
      <c r="G146" s="2456">
        <f>Summary!D73</f>
        <v>0.45504484889968855</v>
      </c>
      <c r="H146" s="2455"/>
      <c r="I146" s="2455"/>
      <c r="J146" s="2455"/>
      <c r="K146" s="2455"/>
      <c r="L146" s="2455"/>
      <c r="M146" s="2455"/>
      <c r="N146" s="2455"/>
      <c r="O146" s="2455"/>
      <c r="P146" s="2455"/>
      <c r="Q146" s="2455"/>
      <c r="R146" s="2455"/>
      <c r="S146" s="2455"/>
      <c r="T146" s="2455"/>
      <c r="U146" s="2455"/>
      <c r="V146" s="2455"/>
      <c r="W146" s="2455"/>
      <c r="X146" s="2455"/>
      <c r="Y146" s="2455"/>
      <c r="Z146" s="2455"/>
    </row>
    <row r="147" spans="1:26" ht="12" x14ac:dyDescent="0.2">
      <c r="A147" s="2455" t="str">
        <f>MID(Summary!$B$1,FIND(" ",Summary!$B$1,1)+1,4)</f>
        <v>2011</v>
      </c>
      <c r="B147" s="2455" t="s">
        <v>719</v>
      </c>
      <c r="C147" s="2455" t="s">
        <v>2197</v>
      </c>
      <c r="D147" s="2455" t="s">
        <v>268</v>
      </c>
      <c r="E147" s="2455" t="s">
        <v>14</v>
      </c>
      <c r="F147" s="2455" t="s">
        <v>2194</v>
      </c>
      <c r="G147" s="2456">
        <f>Summary!D74</f>
        <v>0</v>
      </c>
      <c r="H147" s="2455"/>
      <c r="I147" s="2455"/>
      <c r="J147" s="2455"/>
      <c r="K147" s="2455"/>
      <c r="L147" s="2455"/>
      <c r="M147" s="2455"/>
      <c r="N147" s="2455"/>
      <c r="O147" s="2455"/>
      <c r="P147" s="2455"/>
      <c r="Q147" s="2455"/>
      <c r="R147" s="2455"/>
      <c r="S147" s="2455"/>
      <c r="T147" s="2455"/>
      <c r="U147" s="2455"/>
      <c r="V147" s="2455"/>
      <c r="W147" s="2455"/>
      <c r="X147" s="2455"/>
      <c r="Y147" s="2455"/>
      <c r="Z147" s="2455"/>
    </row>
    <row r="148" spans="1:26" ht="12" x14ac:dyDescent="0.2">
      <c r="A148" s="2455" t="str">
        <f>MID(Summary!$B$1,FIND(" ",Summary!$B$1,1)+1,4)</f>
        <v>2011</v>
      </c>
      <c r="B148" s="2455" t="s">
        <v>719</v>
      </c>
      <c r="C148" s="2455" t="s">
        <v>2197</v>
      </c>
      <c r="D148" s="2455" t="s">
        <v>268</v>
      </c>
      <c r="E148" s="2455" t="s">
        <v>18</v>
      </c>
      <c r="F148" s="2455" t="s">
        <v>2194</v>
      </c>
      <c r="G148" s="2456">
        <f>Summary!D75</f>
        <v>0</v>
      </c>
      <c r="H148" s="2455"/>
      <c r="I148" s="2455"/>
      <c r="J148" s="2455"/>
      <c r="K148" s="2455"/>
      <c r="L148" s="2455"/>
      <c r="M148" s="2455"/>
      <c r="N148" s="2455"/>
      <c r="O148" s="2455"/>
      <c r="P148" s="2455"/>
      <c r="Q148" s="2455"/>
      <c r="R148" s="2455"/>
      <c r="S148" s="2455"/>
      <c r="T148" s="2455"/>
      <c r="U148" s="2455"/>
      <c r="V148" s="2455"/>
      <c r="W148" s="2455"/>
      <c r="X148" s="2455"/>
      <c r="Y148" s="2455"/>
      <c r="Z148" s="2455"/>
    </row>
    <row r="149" spans="1:26" ht="12" x14ac:dyDescent="0.2">
      <c r="A149" s="2455" t="str">
        <f>MID(Summary!$B$1,FIND(" ",Summary!$B$1,1)+1,4)</f>
        <v>2011</v>
      </c>
      <c r="B149" s="2455" t="s">
        <v>719</v>
      </c>
      <c r="C149" s="2455" t="s">
        <v>2197</v>
      </c>
      <c r="D149" s="2455" t="s">
        <v>272</v>
      </c>
      <c r="E149" s="2455" t="s">
        <v>3</v>
      </c>
      <c r="F149" s="2455" t="s">
        <v>2194</v>
      </c>
      <c r="G149" s="2456">
        <f>Summary!D77</f>
        <v>2.4320521103533266</v>
      </c>
      <c r="H149" s="2455"/>
      <c r="I149" s="2455"/>
      <c r="J149" s="2455"/>
      <c r="K149" s="2455"/>
      <c r="L149" s="2455"/>
      <c r="M149" s="2455"/>
      <c r="N149" s="2455"/>
      <c r="O149" s="2455"/>
      <c r="P149" s="2455"/>
      <c r="Q149" s="2455"/>
      <c r="R149" s="2455"/>
      <c r="S149" s="2455"/>
      <c r="T149" s="2455"/>
      <c r="U149" s="2455"/>
      <c r="V149" s="2455"/>
      <c r="W149" s="2455"/>
      <c r="X149" s="2455"/>
      <c r="Y149" s="2455"/>
      <c r="Z149" s="2455"/>
    </row>
    <row r="150" spans="1:26" ht="12" x14ac:dyDescent="0.2">
      <c r="A150" s="2455" t="str">
        <f>MID(Summary!$B$1,FIND(" ",Summary!$B$1,1)+1,4)</f>
        <v>2011</v>
      </c>
      <c r="B150" s="2455" t="s">
        <v>719</v>
      </c>
      <c r="C150" s="2455" t="s">
        <v>2197</v>
      </c>
      <c r="D150" s="2455" t="s">
        <v>272</v>
      </c>
      <c r="E150" s="2455" t="s">
        <v>14</v>
      </c>
      <c r="F150" s="2455" t="s">
        <v>2194</v>
      </c>
      <c r="G150" s="2456">
        <f>Summary!D78</f>
        <v>6.2602276020480001E-3</v>
      </c>
      <c r="H150" s="2455"/>
      <c r="I150" s="2455"/>
      <c r="J150" s="2455"/>
      <c r="K150" s="2455"/>
      <c r="L150" s="2455"/>
      <c r="M150" s="2455"/>
      <c r="N150" s="2455"/>
      <c r="O150" s="2455"/>
      <c r="P150" s="2455"/>
      <c r="Q150" s="2455"/>
      <c r="R150" s="2455"/>
      <c r="S150" s="2455"/>
      <c r="T150" s="2455"/>
      <c r="U150" s="2455"/>
      <c r="V150" s="2455"/>
      <c r="W150" s="2455"/>
      <c r="X150" s="2455"/>
      <c r="Y150" s="2455"/>
      <c r="Z150" s="2455"/>
    </row>
    <row r="151" spans="1:26" ht="12" x14ac:dyDescent="0.2">
      <c r="A151" s="2455" t="str">
        <f>MID(Summary!$B$1,FIND(" ",Summary!$B$1,1)+1,4)</f>
        <v>2011</v>
      </c>
      <c r="B151" s="2455" t="s">
        <v>719</v>
      </c>
      <c r="C151" s="2455" t="s">
        <v>2197</v>
      </c>
      <c r="D151" s="2455" t="s">
        <v>272</v>
      </c>
      <c r="E151" s="2455" t="s">
        <v>18</v>
      </c>
      <c r="F151" s="2455" t="s">
        <v>2194</v>
      </c>
      <c r="G151" s="2456">
        <f>Summary!D79</f>
        <v>2.0371205181599999E-2</v>
      </c>
      <c r="H151" s="2455"/>
      <c r="I151" s="2455"/>
      <c r="J151" s="2455"/>
      <c r="K151" s="2455"/>
      <c r="L151" s="2455"/>
      <c r="M151" s="2455"/>
      <c r="N151" s="2455"/>
      <c r="O151" s="2455"/>
      <c r="P151" s="2455"/>
      <c r="Q151" s="2455"/>
      <c r="R151" s="2455"/>
      <c r="S151" s="2455"/>
      <c r="T151" s="2455"/>
      <c r="U151" s="2455"/>
      <c r="V151" s="2455"/>
      <c r="W151" s="2455"/>
      <c r="X151" s="2455"/>
      <c r="Y151" s="2455"/>
      <c r="Z151" s="2455"/>
    </row>
    <row r="152" spans="1:26" ht="12" x14ac:dyDescent="0.2">
      <c r="A152" s="2455" t="str">
        <f>MID(Summary!$B$1,FIND(" ",Summary!$B$1,1)+1,4)</f>
        <v>2011</v>
      </c>
      <c r="B152" s="2455" t="s">
        <v>292</v>
      </c>
      <c r="C152" s="2455" t="s">
        <v>295</v>
      </c>
      <c r="D152" s="2455"/>
      <c r="E152" s="2455" t="s">
        <v>3</v>
      </c>
      <c r="F152" s="2455" t="s">
        <v>2192</v>
      </c>
      <c r="G152" s="2456">
        <f>Summary!E82</f>
        <v>0.2967827255443754</v>
      </c>
      <c r="J152" s="2455"/>
      <c r="K152" s="2455"/>
      <c r="L152" s="2455"/>
      <c r="M152" s="2455"/>
      <c r="N152" s="2455"/>
      <c r="O152" s="2455"/>
      <c r="P152" s="2455"/>
      <c r="Q152" s="2455"/>
      <c r="R152" s="2455"/>
      <c r="S152" s="2455"/>
      <c r="T152" s="2455"/>
      <c r="U152" s="2455"/>
      <c r="V152" s="2455"/>
      <c r="W152" s="2455"/>
      <c r="X152" s="2455"/>
      <c r="Y152" s="2455"/>
      <c r="Z152" s="2455"/>
    </row>
    <row r="153" spans="1:26" ht="12" x14ac:dyDescent="0.2">
      <c r="A153" s="2455" t="str">
        <f>MID(Summary!$B$1,FIND(" ",Summary!$B$1,1)+1,4)</f>
        <v>2011</v>
      </c>
      <c r="B153" s="2455" t="s">
        <v>292</v>
      </c>
      <c r="C153" s="2455" t="s">
        <v>295</v>
      </c>
      <c r="D153" s="2455"/>
      <c r="E153" s="2455" t="s">
        <v>14</v>
      </c>
      <c r="F153" s="2455" t="s">
        <v>2192</v>
      </c>
      <c r="G153" s="2456">
        <f>Summary!E83</f>
        <v>0.92174413402888444</v>
      </c>
      <c r="J153" s="2455"/>
      <c r="K153" s="2455"/>
      <c r="L153" s="2455"/>
      <c r="M153" s="2455"/>
      <c r="N153" s="2455"/>
      <c r="O153" s="2455"/>
      <c r="P153" s="2455"/>
      <c r="Q153" s="2455"/>
      <c r="R153" s="2455"/>
      <c r="S153" s="2455"/>
      <c r="T153" s="2455"/>
      <c r="U153" s="2455"/>
      <c r="V153" s="2455"/>
      <c r="W153" s="2455"/>
      <c r="X153" s="2455"/>
      <c r="Y153" s="2455"/>
      <c r="Z153" s="2455"/>
    </row>
    <row r="154" spans="1:26" ht="12" x14ac:dyDescent="0.2">
      <c r="A154" s="2455" t="str">
        <f>MID(Summary!$B$1,FIND(" ",Summary!$B$1,1)+1,4)</f>
        <v>2011</v>
      </c>
      <c r="B154" s="2455" t="s">
        <v>292</v>
      </c>
      <c r="C154" s="2455" t="s">
        <v>295</v>
      </c>
      <c r="D154" s="2455"/>
      <c r="E154" s="2455" t="s">
        <v>18</v>
      </c>
      <c r="F154" s="2455" t="s">
        <v>2192</v>
      </c>
      <c r="G154" s="2456">
        <f>Summary!E84</f>
        <v>1.5999504202864664E-4</v>
      </c>
      <c r="J154" s="2455"/>
      <c r="K154" s="2455"/>
      <c r="L154" s="2455"/>
      <c r="M154" s="2455"/>
      <c r="N154" s="2455"/>
      <c r="O154" s="2455"/>
      <c r="P154" s="2455"/>
      <c r="Q154" s="2455"/>
      <c r="R154" s="2455"/>
      <c r="S154" s="2455"/>
      <c r="T154" s="2455"/>
      <c r="U154" s="2455"/>
      <c r="V154" s="2455"/>
      <c r="W154" s="2455"/>
      <c r="X154" s="2455"/>
      <c r="Y154" s="2455"/>
      <c r="Z154" s="2455"/>
    </row>
    <row r="155" spans="1:26" ht="12" x14ac:dyDescent="0.2">
      <c r="A155" s="2455" t="str">
        <f>MID(Summary!$B$1,FIND(" ",Summary!$B$1,1)+1,4)</f>
        <v>2011</v>
      </c>
      <c r="B155" s="2455" t="s">
        <v>292</v>
      </c>
      <c r="C155" s="2455" t="s">
        <v>307</v>
      </c>
      <c r="D155" s="2455"/>
      <c r="E155" s="2455" t="s">
        <v>3</v>
      </c>
      <c r="F155" s="2455" t="s">
        <v>2192</v>
      </c>
      <c r="G155" s="2456">
        <f>Summary!E86</f>
        <v>0</v>
      </c>
      <c r="J155" s="2455"/>
      <c r="K155" s="2455"/>
      <c r="L155" s="2455"/>
      <c r="M155" s="2455"/>
      <c r="N155" s="2455"/>
      <c r="O155" s="2455"/>
      <c r="P155" s="2455"/>
      <c r="Q155" s="2455"/>
      <c r="R155" s="2455"/>
      <c r="S155" s="2455"/>
      <c r="T155" s="2455"/>
      <c r="U155" s="2455"/>
      <c r="V155" s="2455"/>
      <c r="W155" s="2455"/>
      <c r="X155" s="2455"/>
      <c r="Y155" s="2455"/>
      <c r="Z155" s="2455"/>
    </row>
    <row r="156" spans="1:26" ht="12" x14ac:dyDescent="0.2">
      <c r="A156" s="2455" t="str">
        <f>MID(Summary!$B$1,FIND(" ",Summary!$B$1,1)+1,4)</f>
        <v>2011</v>
      </c>
      <c r="B156" s="2455" t="s">
        <v>292</v>
      </c>
      <c r="C156" s="2455" t="s">
        <v>307</v>
      </c>
      <c r="D156" s="2455"/>
      <c r="E156" s="2455" t="s">
        <v>14</v>
      </c>
      <c r="F156" s="2455" t="s">
        <v>2192</v>
      </c>
      <c r="G156" s="2456">
        <f>Summary!E87</f>
        <v>0</v>
      </c>
      <c r="J156" s="2455"/>
      <c r="K156" s="2455"/>
      <c r="L156" s="2455"/>
      <c r="M156" s="2455"/>
      <c r="N156" s="2455"/>
      <c r="O156" s="2455"/>
      <c r="P156" s="2455"/>
      <c r="Q156" s="2455"/>
      <c r="R156" s="2455"/>
      <c r="S156" s="2455"/>
      <c r="T156" s="2455"/>
      <c r="U156" s="2455"/>
      <c r="V156" s="2455"/>
      <c r="W156" s="2455"/>
      <c r="X156" s="2455"/>
      <c r="Y156" s="2455"/>
      <c r="Z156" s="2455"/>
    </row>
    <row r="157" spans="1:26" ht="12" x14ac:dyDescent="0.2">
      <c r="A157" s="2455" t="str">
        <f>MID(Summary!$B$1,FIND(" ",Summary!$B$1,1)+1,4)</f>
        <v>2011</v>
      </c>
      <c r="B157" s="2455" t="s">
        <v>292</v>
      </c>
      <c r="C157" s="2455" t="s">
        <v>307</v>
      </c>
      <c r="D157" s="2455"/>
      <c r="E157" s="2455" t="s">
        <v>18</v>
      </c>
      <c r="F157" s="2455" t="s">
        <v>2192</v>
      </c>
      <c r="G157" s="2456">
        <f>Summary!E88</f>
        <v>0</v>
      </c>
      <c r="J157" s="2455"/>
      <c r="K157" s="2455"/>
      <c r="L157" s="2455"/>
      <c r="M157" s="2455"/>
      <c r="N157" s="2455"/>
      <c r="O157" s="2455"/>
      <c r="P157" s="2455"/>
      <c r="Q157" s="2455"/>
      <c r="R157" s="2455"/>
      <c r="S157" s="2455"/>
      <c r="T157" s="2455"/>
      <c r="U157" s="2455"/>
      <c r="V157" s="2455"/>
      <c r="W157" s="2455"/>
      <c r="X157" s="2455"/>
      <c r="Y157" s="2455"/>
      <c r="Z157" s="2455"/>
    </row>
    <row r="158" spans="1:26" ht="12" x14ac:dyDescent="0.2">
      <c r="A158" s="2455" t="str">
        <f>MID(Summary!$B$1,FIND(" ",Summary!$B$1,1)+1,4)</f>
        <v>2011</v>
      </c>
      <c r="B158" s="2455" t="s">
        <v>292</v>
      </c>
      <c r="C158" s="2455" t="s">
        <v>319</v>
      </c>
      <c r="D158" s="2455"/>
      <c r="E158" s="2455" t="s">
        <v>3</v>
      </c>
      <c r="F158" s="2455" t="s">
        <v>2192</v>
      </c>
      <c r="G158" s="2456">
        <f>Summary!E90</f>
        <v>0</v>
      </c>
      <c r="J158" s="2455"/>
      <c r="K158" s="2455"/>
      <c r="L158" s="2455"/>
      <c r="M158" s="2455"/>
      <c r="N158" s="2455"/>
      <c r="O158" s="2455"/>
      <c r="P158" s="2455"/>
      <c r="Q158" s="2455"/>
      <c r="R158" s="2455"/>
      <c r="S158" s="2455"/>
      <c r="T158" s="2455"/>
      <c r="U158" s="2455"/>
      <c r="V158" s="2455"/>
      <c r="W158" s="2455"/>
      <c r="X158" s="2455"/>
      <c r="Y158" s="2455"/>
      <c r="Z158" s="2455"/>
    </row>
    <row r="159" spans="1:26" ht="12" x14ac:dyDescent="0.2">
      <c r="A159" s="2455" t="str">
        <f>MID(Summary!$B$1,FIND(" ",Summary!$B$1,1)+1,4)</f>
        <v>2011</v>
      </c>
      <c r="B159" s="2455" t="s">
        <v>292</v>
      </c>
      <c r="C159" s="2455" t="s">
        <v>319</v>
      </c>
      <c r="D159" s="2455"/>
      <c r="E159" s="2455" t="s">
        <v>14</v>
      </c>
      <c r="F159" s="2455" t="s">
        <v>2192</v>
      </c>
      <c r="G159" s="2456">
        <f>Summary!E91</f>
        <v>0.18838806402167996</v>
      </c>
      <c r="J159" s="2455"/>
      <c r="K159" s="2455"/>
      <c r="L159" s="2455"/>
      <c r="M159" s="2455"/>
      <c r="N159" s="2455"/>
      <c r="O159" s="2455"/>
      <c r="P159" s="2455"/>
      <c r="Q159" s="2455"/>
      <c r="R159" s="2455"/>
      <c r="S159" s="2455"/>
      <c r="T159" s="2455"/>
      <c r="U159" s="2455"/>
      <c r="V159" s="2455"/>
      <c r="W159" s="2455"/>
      <c r="X159" s="2455"/>
      <c r="Y159" s="2455"/>
      <c r="Z159" s="2455"/>
    </row>
    <row r="160" spans="1:26" ht="12" x14ac:dyDescent="0.2">
      <c r="A160" s="2455" t="str">
        <f>MID(Summary!$B$1,FIND(" ",Summary!$B$1,1)+1,4)</f>
        <v>2011</v>
      </c>
      <c r="B160" s="2455" t="s">
        <v>292</v>
      </c>
      <c r="C160" s="2455" t="s">
        <v>319</v>
      </c>
      <c r="D160" s="2455"/>
      <c r="E160" s="2455" t="s">
        <v>18</v>
      </c>
      <c r="F160" s="2455" t="s">
        <v>2192</v>
      </c>
      <c r="G160" s="2456">
        <f>Summary!E92</f>
        <v>0</v>
      </c>
      <c r="I160" s="2455"/>
      <c r="J160" s="2455"/>
      <c r="K160" s="2455"/>
      <c r="L160" s="2455"/>
      <c r="M160" s="2455"/>
      <c r="N160" s="2455"/>
      <c r="O160" s="2455"/>
      <c r="P160" s="2455"/>
      <c r="Q160" s="2455"/>
      <c r="R160" s="2455"/>
      <c r="S160" s="2455"/>
      <c r="T160" s="2455"/>
      <c r="U160" s="2455"/>
      <c r="V160" s="2455"/>
      <c r="W160" s="2455"/>
      <c r="X160" s="2455"/>
      <c r="Y160" s="2455"/>
      <c r="Z160" s="2455"/>
    </row>
    <row r="161" spans="1:26" ht="12" x14ac:dyDescent="0.2">
      <c r="A161" s="2455" t="str">
        <f>MID(Summary!$B$1,FIND(" ",Summary!$B$1,1)+1,4)</f>
        <v>2011</v>
      </c>
      <c r="B161" s="2455" t="s">
        <v>292</v>
      </c>
      <c r="C161" s="2455" t="s">
        <v>295</v>
      </c>
      <c r="D161" s="2455"/>
      <c r="E161" s="2455" t="s">
        <v>3</v>
      </c>
      <c r="F161" s="2455" t="s">
        <v>2194</v>
      </c>
      <c r="G161" s="2456">
        <f>Summary!D82</f>
        <v>0.2967827255443754</v>
      </c>
      <c r="H161" s="2455"/>
      <c r="I161" s="2455"/>
      <c r="J161" s="2455"/>
      <c r="K161" s="2455"/>
      <c r="L161" s="2455"/>
      <c r="M161" s="2455"/>
      <c r="N161" s="2455"/>
      <c r="O161" s="2455"/>
      <c r="P161" s="2455"/>
      <c r="Q161" s="2455"/>
      <c r="R161" s="2455"/>
      <c r="S161" s="2455"/>
      <c r="T161" s="2455"/>
      <c r="U161" s="2455"/>
      <c r="V161" s="2455"/>
      <c r="W161" s="2455"/>
      <c r="X161" s="2455"/>
      <c r="Y161" s="2455"/>
      <c r="Z161" s="2455"/>
    </row>
    <row r="162" spans="1:26" ht="12" x14ac:dyDescent="0.2">
      <c r="A162" s="2455" t="str">
        <f>MID(Summary!$B$1,FIND(" ",Summary!$B$1,1)+1,4)</f>
        <v>2011</v>
      </c>
      <c r="B162" s="2455" t="s">
        <v>292</v>
      </c>
      <c r="C162" s="2455" t="s">
        <v>295</v>
      </c>
      <c r="D162" s="2455"/>
      <c r="E162" s="2455" t="s">
        <v>14</v>
      </c>
      <c r="F162" s="2455" t="s">
        <v>2194</v>
      </c>
      <c r="G162" s="2456">
        <f>Summary!D83</f>
        <v>2.6826388416897999</v>
      </c>
      <c r="H162" s="2455"/>
      <c r="I162" s="2455"/>
      <c r="J162" s="2455"/>
      <c r="K162" s="2455"/>
      <c r="L162" s="2455"/>
      <c r="M162" s="2455"/>
      <c r="N162" s="2455"/>
      <c r="O162" s="2455"/>
      <c r="P162" s="2455"/>
      <c r="Q162" s="2455"/>
      <c r="R162" s="2455"/>
      <c r="S162" s="2455"/>
      <c r="T162" s="2455"/>
      <c r="U162" s="2455"/>
      <c r="V162" s="2455"/>
      <c r="W162" s="2455"/>
      <c r="X162" s="2455"/>
      <c r="Y162" s="2455"/>
      <c r="Z162" s="2455"/>
    </row>
    <row r="163" spans="1:26" ht="12" x14ac:dyDescent="0.2">
      <c r="A163" s="2455" t="str">
        <f>MID(Summary!$B$1,FIND(" ",Summary!$B$1,1)+1,4)</f>
        <v>2011</v>
      </c>
      <c r="B163" s="2455" t="s">
        <v>292</v>
      </c>
      <c r="C163" s="2455" t="s">
        <v>295</v>
      </c>
      <c r="D163" s="2455"/>
      <c r="E163" s="2455" t="s">
        <v>18</v>
      </c>
      <c r="F163" s="2455" t="s">
        <v>2194</v>
      </c>
      <c r="G163" s="2456">
        <f>Summary!D84</f>
        <v>1.5999504202864664E-4</v>
      </c>
      <c r="H163" s="2455"/>
      <c r="I163" s="2455"/>
      <c r="J163" s="2455"/>
      <c r="K163" s="2455"/>
      <c r="L163" s="2455"/>
      <c r="M163" s="2455"/>
      <c r="N163" s="2455"/>
      <c r="O163" s="2455"/>
      <c r="P163" s="2455"/>
      <c r="Q163" s="2455"/>
      <c r="R163" s="2455"/>
      <c r="S163" s="2455"/>
      <c r="T163" s="2455"/>
      <c r="U163" s="2455"/>
      <c r="V163" s="2455"/>
      <c r="W163" s="2455"/>
      <c r="X163" s="2455"/>
      <c r="Y163" s="2455"/>
      <c r="Z163" s="2455"/>
    </row>
    <row r="164" spans="1:26" ht="12" x14ac:dyDescent="0.2">
      <c r="A164" s="2455" t="str">
        <f>MID(Summary!$B$1,FIND(" ",Summary!$B$1,1)+1,4)</f>
        <v>2011</v>
      </c>
      <c r="B164" s="2455" t="s">
        <v>292</v>
      </c>
      <c r="C164" s="2455" t="s">
        <v>307</v>
      </c>
      <c r="D164" s="2455"/>
      <c r="E164" s="2455" t="s">
        <v>3</v>
      </c>
      <c r="F164" s="2455" t="s">
        <v>2194</v>
      </c>
      <c r="G164" s="2456">
        <f>Summary!D86</f>
        <v>0</v>
      </c>
      <c r="H164" s="2455"/>
      <c r="I164" s="2455"/>
      <c r="J164" s="2455"/>
      <c r="K164" s="2455"/>
      <c r="L164" s="2455"/>
      <c r="M164" s="2455"/>
      <c r="N164" s="2455"/>
      <c r="O164" s="2455"/>
      <c r="P164" s="2455"/>
      <c r="Q164" s="2455"/>
      <c r="R164" s="2455"/>
      <c r="S164" s="2455"/>
      <c r="T164" s="2455"/>
      <c r="U164" s="2455"/>
      <c r="V164" s="2455"/>
      <c r="W164" s="2455"/>
      <c r="X164" s="2455"/>
      <c r="Y164" s="2455"/>
      <c r="Z164" s="2455"/>
    </row>
    <row r="165" spans="1:26" ht="12" x14ac:dyDescent="0.2">
      <c r="A165" s="2455" t="str">
        <f>MID(Summary!$B$1,FIND(" ",Summary!$B$1,1)+1,4)</f>
        <v>2011</v>
      </c>
      <c r="B165" s="2455" t="s">
        <v>292</v>
      </c>
      <c r="C165" s="2455" t="s">
        <v>307</v>
      </c>
      <c r="D165" s="2455"/>
      <c r="E165" s="2455" t="s">
        <v>14</v>
      </c>
      <c r="F165" s="2455" t="s">
        <v>2194</v>
      </c>
      <c r="G165" s="2456">
        <f>Summary!D87</f>
        <v>0</v>
      </c>
      <c r="H165" s="2455"/>
      <c r="I165" s="2455"/>
      <c r="J165" s="2455"/>
      <c r="K165" s="2455"/>
      <c r="L165" s="2455"/>
      <c r="M165" s="2455"/>
      <c r="N165" s="2455"/>
      <c r="O165" s="2455"/>
      <c r="P165" s="2455"/>
      <c r="Q165" s="2455"/>
      <c r="R165" s="2455"/>
      <c r="S165" s="2455"/>
      <c r="T165" s="2455"/>
      <c r="U165" s="2455"/>
      <c r="V165" s="2455"/>
      <c r="W165" s="2455"/>
      <c r="X165" s="2455"/>
      <c r="Y165" s="2455"/>
      <c r="Z165" s="2455"/>
    </row>
    <row r="166" spans="1:26" ht="12" x14ac:dyDescent="0.2">
      <c r="A166" s="2455" t="str">
        <f>MID(Summary!$B$1,FIND(" ",Summary!$B$1,1)+1,4)</f>
        <v>2011</v>
      </c>
      <c r="B166" s="2455" t="s">
        <v>292</v>
      </c>
      <c r="C166" s="2455" t="s">
        <v>307</v>
      </c>
      <c r="D166" s="2455"/>
      <c r="E166" s="2455" t="s">
        <v>18</v>
      </c>
      <c r="F166" s="2455" t="s">
        <v>2194</v>
      </c>
      <c r="G166" s="2456">
        <f>Summary!D88</f>
        <v>0</v>
      </c>
      <c r="H166" s="2455"/>
      <c r="I166" s="2455"/>
      <c r="J166" s="2455"/>
      <c r="K166" s="2455"/>
      <c r="L166" s="2455"/>
      <c r="M166" s="2455"/>
      <c r="N166" s="2455"/>
      <c r="O166" s="2455"/>
      <c r="P166" s="2455"/>
      <c r="Q166" s="2455"/>
      <c r="R166" s="2455"/>
      <c r="S166" s="2455"/>
      <c r="T166" s="2455"/>
      <c r="U166" s="2455"/>
      <c r="V166" s="2455"/>
      <c r="W166" s="2455"/>
      <c r="X166" s="2455"/>
      <c r="Y166" s="2455"/>
      <c r="Z166" s="2455"/>
    </row>
    <row r="167" spans="1:26" ht="12" x14ac:dyDescent="0.2">
      <c r="A167" s="2455" t="str">
        <f>MID(Summary!$B$1,FIND(" ",Summary!$B$1,1)+1,4)</f>
        <v>2011</v>
      </c>
      <c r="B167" s="2455" t="s">
        <v>292</v>
      </c>
      <c r="C167" s="2455" t="s">
        <v>319</v>
      </c>
      <c r="D167" s="2455"/>
      <c r="E167" s="2455" t="s">
        <v>3</v>
      </c>
      <c r="F167" s="2455" t="s">
        <v>2194</v>
      </c>
      <c r="G167" s="2456">
        <f>Summary!D90</f>
        <v>0</v>
      </c>
      <c r="H167" s="2455"/>
      <c r="I167" s="2455"/>
      <c r="J167" s="2455"/>
      <c r="K167" s="2455"/>
      <c r="L167" s="2455"/>
      <c r="M167" s="2455"/>
      <c r="N167" s="2455"/>
      <c r="O167" s="2455"/>
      <c r="P167" s="2455"/>
      <c r="Q167" s="2455"/>
      <c r="R167" s="2455"/>
      <c r="S167" s="2455"/>
      <c r="T167" s="2455"/>
      <c r="U167" s="2455"/>
      <c r="V167" s="2455"/>
      <c r="W167" s="2455"/>
      <c r="X167" s="2455"/>
      <c r="Y167" s="2455"/>
      <c r="Z167" s="2455"/>
    </row>
    <row r="168" spans="1:26" ht="12" x14ac:dyDescent="0.2">
      <c r="A168" s="2455" t="str">
        <f>MID(Summary!$B$1,FIND(" ",Summary!$B$1,1)+1,4)</f>
        <v>2011</v>
      </c>
      <c r="B168" s="2455" t="s">
        <v>292</v>
      </c>
      <c r="C168" s="2455" t="s">
        <v>319</v>
      </c>
      <c r="D168" s="2455"/>
      <c r="E168" s="2455" t="s">
        <v>14</v>
      </c>
      <c r="F168" s="2455" t="s">
        <v>2194</v>
      </c>
      <c r="G168" s="2456">
        <f>Summary!D91</f>
        <v>0.54828354116703992</v>
      </c>
      <c r="H168" s="2455"/>
      <c r="I168" s="2455"/>
      <c r="J168" s="2455"/>
      <c r="K168" s="2455"/>
      <c r="L168" s="2455"/>
      <c r="M168" s="2455"/>
      <c r="N168" s="2455"/>
      <c r="O168" s="2455"/>
      <c r="P168" s="2455"/>
      <c r="Q168" s="2455"/>
      <c r="R168" s="2455"/>
      <c r="S168" s="2455"/>
      <c r="T168" s="2455"/>
      <c r="U168" s="2455"/>
      <c r="V168" s="2455"/>
      <c r="W168" s="2455"/>
      <c r="X168" s="2455"/>
      <c r="Y168" s="2455"/>
      <c r="Z168" s="2455"/>
    </row>
    <row r="169" spans="1:26" ht="12" x14ac:dyDescent="0.2">
      <c r="A169" s="2455" t="str">
        <f>MID(Summary!$B$1,FIND(" ",Summary!$B$1,1)+1,4)</f>
        <v>2011</v>
      </c>
      <c r="B169" s="2455" t="s">
        <v>292</v>
      </c>
      <c r="C169" s="2455" t="s">
        <v>319</v>
      </c>
      <c r="D169" s="2455"/>
      <c r="E169" s="2455" t="s">
        <v>18</v>
      </c>
      <c r="F169" s="2455" t="s">
        <v>2194</v>
      </c>
      <c r="G169" s="2456">
        <f>Summary!D92</f>
        <v>0</v>
      </c>
      <c r="H169" s="2455"/>
      <c r="I169" s="2455"/>
      <c r="J169" s="2455"/>
      <c r="K169" s="2455"/>
      <c r="L169" s="2455"/>
      <c r="M169" s="2455"/>
      <c r="N169" s="2455"/>
      <c r="O169" s="2455"/>
      <c r="P169" s="2455"/>
      <c r="Q169" s="2455"/>
      <c r="R169" s="2455"/>
      <c r="S169" s="2455"/>
      <c r="T169" s="2455"/>
      <c r="U169" s="2455"/>
      <c r="V169" s="2455"/>
      <c r="W169" s="2455"/>
      <c r="X169" s="2455"/>
      <c r="Y169" s="2455"/>
      <c r="Z169" s="2455"/>
    </row>
    <row r="170" spans="1:26" ht="12" x14ac:dyDescent="0.2">
      <c r="A170" s="2455" t="str">
        <f>MID(Summary!$B$1,FIND(" ",Summary!$B$1,1)+1,4)</f>
        <v>2011</v>
      </c>
      <c r="B170" s="2455" t="s">
        <v>330</v>
      </c>
      <c r="C170" s="2455" t="s">
        <v>331</v>
      </c>
      <c r="E170" s="2455" t="s">
        <v>3</v>
      </c>
      <c r="F170" s="2455" t="s">
        <v>2192</v>
      </c>
      <c r="G170" s="2456">
        <f>Summary!E95</f>
        <v>0.91825561308231174</v>
      </c>
      <c r="J170" s="2455"/>
      <c r="K170" s="2455"/>
      <c r="L170" s="2455"/>
      <c r="M170" s="2455"/>
      <c r="N170" s="2455"/>
      <c r="O170" s="2455"/>
      <c r="P170" s="2455"/>
      <c r="Q170" s="2455"/>
      <c r="R170" s="2455"/>
      <c r="S170" s="2455"/>
      <c r="T170" s="2455"/>
      <c r="U170" s="2455"/>
      <c r="V170" s="2455"/>
      <c r="W170" s="2455"/>
      <c r="X170" s="2455"/>
      <c r="Y170" s="2455"/>
      <c r="Z170" s="2455"/>
    </row>
    <row r="171" spans="1:26" ht="12" x14ac:dyDescent="0.2">
      <c r="A171" s="2455" t="str">
        <f>MID(Summary!$B$1,FIND(" ",Summary!$B$1,1)+1,4)</f>
        <v>2011</v>
      </c>
      <c r="B171" s="2455" t="s">
        <v>330</v>
      </c>
      <c r="C171" s="2455" t="s">
        <v>331</v>
      </c>
      <c r="E171" s="2455" t="s">
        <v>14</v>
      </c>
      <c r="F171" s="2455" t="s">
        <v>2192</v>
      </c>
      <c r="G171" s="2456">
        <f>Summary!E96</f>
        <v>0</v>
      </c>
      <c r="J171" s="2455"/>
      <c r="K171" s="2455"/>
      <c r="L171" s="2455"/>
      <c r="M171" s="2455"/>
      <c r="N171" s="2455"/>
      <c r="O171" s="2455"/>
      <c r="P171" s="2455"/>
      <c r="Q171" s="2455"/>
      <c r="R171" s="2455"/>
      <c r="S171" s="2455"/>
      <c r="T171" s="2455"/>
      <c r="U171" s="2455"/>
      <c r="V171" s="2455"/>
      <c r="W171" s="2455"/>
      <c r="X171" s="2455"/>
      <c r="Y171" s="2455"/>
      <c r="Z171" s="2455"/>
    </row>
    <row r="172" spans="1:26" ht="12" x14ac:dyDescent="0.2">
      <c r="A172" s="2455" t="str">
        <f>MID(Summary!$B$1,FIND(" ",Summary!$B$1,1)+1,4)</f>
        <v>2011</v>
      </c>
      <c r="B172" s="2455" t="s">
        <v>330</v>
      </c>
      <c r="C172" s="2455" t="s">
        <v>331</v>
      </c>
      <c r="E172" s="2455" t="s">
        <v>18</v>
      </c>
      <c r="F172" s="2455" t="s">
        <v>2192</v>
      </c>
      <c r="G172" s="2456">
        <f>Summary!E97</f>
        <v>0</v>
      </c>
      <c r="J172" s="2455"/>
      <c r="K172" s="2455"/>
      <c r="L172" s="2455"/>
      <c r="M172" s="2455"/>
      <c r="N172" s="2455"/>
      <c r="O172" s="2455"/>
      <c r="P172" s="2455"/>
      <c r="Q172" s="2455"/>
      <c r="R172" s="2455"/>
      <c r="S172" s="2455"/>
      <c r="T172" s="2455"/>
      <c r="U172" s="2455"/>
      <c r="V172" s="2455"/>
      <c r="W172" s="2455"/>
      <c r="X172" s="2455"/>
      <c r="Y172" s="2455"/>
      <c r="Z172" s="2455"/>
    </row>
    <row r="173" spans="1:26" ht="12" x14ac:dyDescent="0.2">
      <c r="A173" s="2455" t="str">
        <f>MID(Summary!$B$1,FIND(" ",Summary!$B$1,1)+1,4)</f>
        <v>2011</v>
      </c>
      <c r="B173" s="2455" t="s">
        <v>330</v>
      </c>
      <c r="C173" s="2455" t="s">
        <v>335</v>
      </c>
      <c r="E173" s="2455" t="s">
        <v>3</v>
      </c>
      <c r="F173" s="2455" t="s">
        <v>2192</v>
      </c>
      <c r="G173" s="2456">
        <f>Summary!E99</f>
        <v>8.5604639999999996E-2</v>
      </c>
      <c r="J173" s="2455"/>
      <c r="K173" s="2455"/>
      <c r="L173" s="2455"/>
      <c r="M173" s="2455"/>
      <c r="N173" s="2455"/>
      <c r="O173" s="2455"/>
      <c r="P173" s="2455"/>
      <c r="Q173" s="2455"/>
      <c r="R173" s="2455"/>
      <c r="S173" s="2455"/>
      <c r="T173" s="2455"/>
      <c r="U173" s="2455"/>
      <c r="V173" s="2455"/>
      <c r="W173" s="2455"/>
      <c r="X173" s="2455"/>
      <c r="Y173" s="2455"/>
      <c r="Z173" s="2455"/>
    </row>
    <row r="174" spans="1:26" ht="12" x14ac:dyDescent="0.2">
      <c r="A174" s="2455" t="str">
        <f>MID(Summary!$B$1,FIND(" ",Summary!$B$1,1)+1,4)</f>
        <v>2011</v>
      </c>
      <c r="B174" s="2455" t="s">
        <v>330</v>
      </c>
      <c r="C174" s="2455" t="s">
        <v>335</v>
      </c>
      <c r="E174" s="2455" t="s">
        <v>14</v>
      </c>
      <c r="F174" s="2455" t="s">
        <v>2192</v>
      </c>
      <c r="G174" s="2456">
        <f>Summary!E100</f>
        <v>0</v>
      </c>
      <c r="J174" s="2455"/>
      <c r="K174" s="2455"/>
      <c r="L174" s="2455"/>
      <c r="M174" s="2455"/>
      <c r="N174" s="2455"/>
      <c r="O174" s="2455"/>
      <c r="P174" s="2455"/>
      <c r="Q174" s="2455"/>
      <c r="R174" s="2455"/>
      <c r="S174" s="2455"/>
      <c r="T174" s="2455"/>
      <c r="U174" s="2455"/>
      <c r="V174" s="2455"/>
      <c r="W174" s="2455"/>
      <c r="X174" s="2455"/>
      <c r="Y174" s="2455"/>
      <c r="Z174" s="2455"/>
    </row>
    <row r="175" spans="1:26" ht="12" x14ac:dyDescent="0.2">
      <c r="A175" s="2455" t="str">
        <f>MID(Summary!$B$1,FIND(" ",Summary!$B$1,1)+1,4)</f>
        <v>2011</v>
      </c>
      <c r="B175" s="2455" t="s">
        <v>330</v>
      </c>
      <c r="C175" s="2455" t="s">
        <v>335</v>
      </c>
      <c r="E175" s="2455" t="s">
        <v>18</v>
      </c>
      <c r="F175" s="2455" t="s">
        <v>2192</v>
      </c>
      <c r="G175" s="2456">
        <f>Summary!E101</f>
        <v>0</v>
      </c>
      <c r="J175" s="2455"/>
      <c r="K175" s="2455"/>
      <c r="L175" s="2455"/>
      <c r="M175" s="2455"/>
      <c r="N175" s="2455"/>
      <c r="O175" s="2455"/>
      <c r="P175" s="2455"/>
      <c r="Q175" s="2455"/>
      <c r="R175" s="2455"/>
      <c r="S175" s="2455"/>
      <c r="T175" s="2455"/>
      <c r="U175" s="2455"/>
      <c r="V175" s="2455"/>
      <c r="W175" s="2455"/>
      <c r="X175" s="2455"/>
      <c r="Y175" s="2455"/>
      <c r="Z175" s="2455"/>
    </row>
    <row r="176" spans="1:26" ht="12" x14ac:dyDescent="0.2">
      <c r="A176" s="2455" t="str">
        <f>MID(Summary!$B$1,FIND(" ",Summary!$B$1,1)+1,4)</f>
        <v>2011</v>
      </c>
      <c r="B176" s="2455" t="s">
        <v>330</v>
      </c>
      <c r="C176" s="2455" t="s">
        <v>339</v>
      </c>
      <c r="E176" s="2455" t="s">
        <v>3</v>
      </c>
      <c r="F176" s="2455" t="s">
        <v>2192</v>
      </c>
      <c r="G176" s="2456">
        <f>Summary!E103</f>
        <v>4.0365128549999997E-2</v>
      </c>
      <c r="J176" s="2455"/>
      <c r="K176" s="2455"/>
      <c r="L176" s="2455"/>
      <c r="M176" s="2455"/>
      <c r="N176" s="2455"/>
      <c r="O176" s="2455"/>
      <c r="P176" s="2455"/>
      <c r="Q176" s="2455"/>
      <c r="R176" s="2455"/>
      <c r="S176" s="2455"/>
      <c r="T176" s="2455"/>
      <c r="U176" s="2455"/>
      <c r="V176" s="2455"/>
      <c r="W176" s="2455"/>
      <c r="X176" s="2455"/>
      <c r="Y176" s="2455"/>
      <c r="Z176" s="2455"/>
    </row>
    <row r="177" spans="1:26" ht="12" x14ac:dyDescent="0.2">
      <c r="A177" s="2455" t="str">
        <f>MID(Summary!$B$1,FIND(" ",Summary!$B$1,1)+1,4)</f>
        <v>2011</v>
      </c>
      <c r="B177" s="2455" t="s">
        <v>330</v>
      </c>
      <c r="C177" s="2455" t="s">
        <v>339</v>
      </c>
      <c r="E177" s="2455" t="s">
        <v>14</v>
      </c>
      <c r="F177" s="2455" t="s">
        <v>2192</v>
      </c>
      <c r="G177" s="2456">
        <f>Summary!E104</f>
        <v>0</v>
      </c>
      <c r="J177" s="2455"/>
      <c r="K177" s="2455"/>
      <c r="L177" s="2455"/>
      <c r="M177" s="2455"/>
      <c r="N177" s="2455"/>
      <c r="O177" s="2455"/>
      <c r="P177" s="2455"/>
      <c r="Q177" s="2455"/>
      <c r="R177" s="2455"/>
      <c r="S177" s="2455"/>
      <c r="T177" s="2455"/>
      <c r="U177" s="2455"/>
      <c r="V177" s="2455"/>
      <c r="W177" s="2455"/>
      <c r="X177" s="2455"/>
      <c r="Y177" s="2455"/>
      <c r="Z177" s="2455"/>
    </row>
    <row r="178" spans="1:26" ht="12" x14ac:dyDescent="0.2">
      <c r="A178" s="2455" t="str">
        <f>MID(Summary!$B$1,FIND(" ",Summary!$B$1,1)+1,4)</f>
        <v>2011</v>
      </c>
      <c r="B178" s="2455" t="s">
        <v>330</v>
      </c>
      <c r="C178" s="2455" t="s">
        <v>339</v>
      </c>
      <c r="E178" s="2455" t="s">
        <v>18</v>
      </c>
      <c r="F178" s="2455" t="s">
        <v>2192</v>
      </c>
      <c r="G178" s="2456">
        <f>Summary!E105</f>
        <v>0</v>
      </c>
      <c r="J178" s="2455"/>
      <c r="K178" s="2455"/>
      <c r="L178" s="2455"/>
      <c r="M178" s="2455"/>
      <c r="N178" s="2455"/>
      <c r="O178" s="2455"/>
      <c r="P178" s="2455"/>
      <c r="Q178" s="2455"/>
      <c r="R178" s="2455"/>
      <c r="S178" s="2455"/>
      <c r="T178" s="2455"/>
      <c r="U178" s="2455"/>
      <c r="V178" s="2455"/>
      <c r="W178" s="2455"/>
      <c r="X178" s="2455"/>
      <c r="Y178" s="2455"/>
      <c r="Z178" s="2455"/>
    </row>
    <row r="179" spans="1:26" ht="12" x14ac:dyDescent="0.2">
      <c r="A179" s="2455" t="str">
        <f>MID(Summary!$B$1,FIND(" ",Summary!$B$1,1)+1,4)</f>
        <v>2011</v>
      </c>
      <c r="B179" s="2455" t="s">
        <v>330</v>
      </c>
      <c r="C179" s="2455" t="s">
        <v>349</v>
      </c>
      <c r="E179" s="2455" t="s">
        <v>3</v>
      </c>
      <c r="F179" s="2455" t="s">
        <v>2192</v>
      </c>
      <c r="G179" s="2456">
        <f>Summary!E107</f>
        <v>0.90971243984396266</v>
      </c>
      <c r="J179" s="2455"/>
      <c r="K179" s="2455"/>
      <c r="L179" s="2455"/>
      <c r="M179" s="2455"/>
      <c r="N179" s="2455"/>
      <c r="O179" s="2455"/>
      <c r="P179" s="2455"/>
      <c r="Q179" s="2455"/>
      <c r="R179" s="2455"/>
      <c r="S179" s="2455"/>
      <c r="T179" s="2455"/>
      <c r="U179" s="2455"/>
      <c r="V179" s="2455"/>
      <c r="W179" s="2455"/>
      <c r="X179" s="2455"/>
      <c r="Y179" s="2455"/>
      <c r="Z179" s="2455"/>
    </row>
    <row r="180" spans="1:26" ht="12" x14ac:dyDescent="0.2">
      <c r="A180" s="2455" t="str">
        <f>MID(Summary!$B$1,FIND(" ",Summary!$B$1,1)+1,4)</f>
        <v>2011</v>
      </c>
      <c r="B180" s="2455" t="s">
        <v>330</v>
      </c>
      <c r="C180" s="2455" t="s">
        <v>349</v>
      </c>
      <c r="E180" s="2455" t="s">
        <v>14</v>
      </c>
      <c r="F180" s="2455" t="s">
        <v>2192</v>
      </c>
      <c r="G180" s="2456">
        <f>Summary!E108</f>
        <v>0</v>
      </c>
      <c r="J180" s="2455"/>
      <c r="K180" s="2455"/>
      <c r="L180" s="2455"/>
      <c r="M180" s="2455"/>
      <c r="N180" s="2455"/>
      <c r="O180" s="2455"/>
      <c r="P180" s="2455"/>
      <c r="Q180" s="2455"/>
      <c r="R180" s="2455"/>
      <c r="S180" s="2455"/>
      <c r="T180" s="2455"/>
      <c r="U180" s="2455"/>
      <c r="V180" s="2455"/>
      <c r="W180" s="2455"/>
      <c r="X180" s="2455"/>
      <c r="Y180" s="2455"/>
      <c r="Z180" s="2455"/>
    </row>
    <row r="181" spans="1:26" ht="12" x14ac:dyDescent="0.2">
      <c r="A181" s="2455" t="str">
        <f>MID(Summary!$B$1,FIND(" ",Summary!$B$1,1)+1,4)</f>
        <v>2011</v>
      </c>
      <c r="B181" s="2455" t="s">
        <v>330</v>
      </c>
      <c r="C181" s="2455" t="s">
        <v>349</v>
      </c>
      <c r="E181" s="2455" t="s">
        <v>18</v>
      </c>
      <c r="F181" s="2455" t="s">
        <v>2192</v>
      </c>
      <c r="G181" s="2456">
        <f>Summary!E109</f>
        <v>0</v>
      </c>
      <c r="J181" s="2455"/>
      <c r="K181" s="2455"/>
      <c r="L181" s="2455"/>
      <c r="M181" s="2455"/>
      <c r="N181" s="2455"/>
      <c r="O181" s="2455"/>
      <c r="P181" s="2455"/>
      <c r="Q181" s="2455"/>
      <c r="R181" s="2455"/>
      <c r="S181" s="2455"/>
      <c r="T181" s="2455"/>
      <c r="U181" s="2455"/>
      <c r="V181" s="2455"/>
      <c r="W181" s="2455"/>
      <c r="X181" s="2455"/>
      <c r="Y181" s="2455"/>
      <c r="Z181" s="2455"/>
    </row>
    <row r="182" spans="1:26" ht="12" x14ac:dyDescent="0.2">
      <c r="A182" s="2455" t="str">
        <f>MID(Summary!$B$1,FIND(" ",Summary!$B$1,1)+1,4)</f>
        <v>2011</v>
      </c>
      <c r="B182" s="2455" t="s">
        <v>330</v>
      </c>
      <c r="C182" s="2455" t="s">
        <v>356</v>
      </c>
      <c r="E182" s="2455" t="s">
        <v>3</v>
      </c>
      <c r="F182" s="2455" t="s">
        <v>2192</v>
      </c>
      <c r="G182" s="2456">
        <f>Summary!E111</f>
        <v>0</v>
      </c>
      <c r="J182" s="2455"/>
      <c r="K182" s="2455"/>
      <c r="L182" s="2455"/>
      <c r="M182" s="2455"/>
      <c r="N182" s="2455"/>
      <c r="O182" s="2455"/>
      <c r="P182" s="2455"/>
      <c r="Q182" s="2455"/>
      <c r="R182" s="2455"/>
      <c r="S182" s="2455"/>
      <c r="T182" s="2455"/>
      <c r="U182" s="2455"/>
      <c r="V182" s="2455"/>
      <c r="W182" s="2455"/>
      <c r="X182" s="2455"/>
      <c r="Y182" s="2455"/>
      <c r="Z182" s="2455"/>
    </row>
    <row r="183" spans="1:26" ht="12" x14ac:dyDescent="0.2">
      <c r="A183" s="2455" t="str">
        <f>MID(Summary!$B$1,FIND(" ",Summary!$B$1,1)+1,4)</f>
        <v>2011</v>
      </c>
      <c r="B183" s="2455" t="s">
        <v>330</v>
      </c>
      <c r="C183" s="2455" t="s">
        <v>356</v>
      </c>
      <c r="E183" s="2455" t="s">
        <v>14</v>
      </c>
      <c r="F183" s="2455" t="s">
        <v>2192</v>
      </c>
      <c r="G183" s="2456">
        <f>Summary!E112</f>
        <v>0</v>
      </c>
      <c r="J183" s="2455"/>
      <c r="K183" s="2455"/>
      <c r="L183" s="2455"/>
      <c r="M183" s="2455"/>
      <c r="N183" s="2455"/>
      <c r="O183" s="2455"/>
      <c r="P183" s="2455"/>
      <c r="Q183" s="2455"/>
      <c r="R183" s="2455"/>
      <c r="S183" s="2455"/>
      <c r="T183" s="2455"/>
      <c r="U183" s="2455"/>
      <c r="V183" s="2455"/>
      <c r="W183" s="2455"/>
      <c r="X183" s="2455"/>
      <c r="Y183" s="2455"/>
      <c r="Z183" s="2455"/>
    </row>
    <row r="184" spans="1:26" ht="12" x14ac:dyDescent="0.2">
      <c r="A184" s="2455" t="str">
        <f>MID(Summary!$B$1,FIND(" ",Summary!$B$1,1)+1,4)</f>
        <v>2011</v>
      </c>
      <c r="B184" s="2455" t="s">
        <v>330</v>
      </c>
      <c r="C184" s="2455" t="s">
        <v>356</v>
      </c>
      <c r="E184" s="2455" t="s">
        <v>2198</v>
      </c>
      <c r="F184" s="2455" t="s">
        <v>2192</v>
      </c>
      <c r="G184" s="2456">
        <f>Summary!E113</f>
        <v>2.552167680655177</v>
      </c>
      <c r="J184" s="2455"/>
      <c r="K184" s="2455"/>
      <c r="L184" s="2455"/>
      <c r="M184" s="2455"/>
      <c r="N184" s="2455"/>
      <c r="O184" s="2455"/>
      <c r="P184" s="2455"/>
      <c r="Q184" s="2455"/>
      <c r="R184" s="2455"/>
      <c r="S184" s="2455"/>
      <c r="T184" s="2455"/>
      <c r="U184" s="2455"/>
      <c r="V184" s="2455"/>
      <c r="W184" s="2455"/>
      <c r="X184" s="2455"/>
      <c r="Y184" s="2455"/>
      <c r="Z184" s="2455"/>
    </row>
    <row r="185" spans="1:26" ht="12" x14ac:dyDescent="0.2">
      <c r="A185" s="2455" t="str">
        <f>MID(Summary!$B$1,FIND(" ",Summary!$B$1,1)+1,4)</f>
        <v>2011</v>
      </c>
      <c r="B185" s="2455" t="s">
        <v>330</v>
      </c>
      <c r="C185" s="2455" t="s">
        <v>362</v>
      </c>
      <c r="E185" s="2455" t="s">
        <v>3</v>
      </c>
      <c r="F185" s="2455" t="s">
        <v>2192</v>
      </c>
      <c r="G185" s="2456">
        <f>Summary!E115</f>
        <v>0</v>
      </c>
      <c r="J185" s="2455"/>
      <c r="K185" s="2455"/>
      <c r="L185" s="2455"/>
      <c r="M185" s="2455"/>
      <c r="N185" s="2455"/>
      <c r="O185" s="2455"/>
      <c r="P185" s="2455"/>
      <c r="Q185" s="2455"/>
      <c r="R185" s="2455"/>
      <c r="S185" s="2455"/>
      <c r="T185" s="2455"/>
      <c r="U185" s="2455"/>
      <c r="V185" s="2455"/>
      <c r="W185" s="2455"/>
      <c r="X185" s="2455"/>
      <c r="Y185" s="2455"/>
      <c r="Z185" s="2455"/>
    </row>
    <row r="186" spans="1:26" ht="12" x14ac:dyDescent="0.2">
      <c r="A186" s="2455" t="str">
        <f>MID(Summary!$B$1,FIND(" ",Summary!$B$1,1)+1,4)</f>
        <v>2011</v>
      </c>
      <c r="B186" s="2455" t="s">
        <v>330</v>
      </c>
      <c r="C186" s="2455" t="s">
        <v>362</v>
      </c>
      <c r="E186" s="2455" t="s">
        <v>14</v>
      </c>
      <c r="F186" s="2455" t="s">
        <v>2192</v>
      </c>
      <c r="G186" s="2456">
        <f>Summary!E116</f>
        <v>0</v>
      </c>
      <c r="J186" s="2455"/>
      <c r="K186" s="2455"/>
      <c r="L186" s="2455"/>
      <c r="M186" s="2455"/>
      <c r="N186" s="2455"/>
      <c r="O186" s="2455"/>
      <c r="P186" s="2455"/>
      <c r="Q186" s="2455"/>
      <c r="R186" s="2455"/>
      <c r="S186" s="2455"/>
      <c r="T186" s="2455"/>
      <c r="U186" s="2455"/>
      <c r="V186" s="2455"/>
      <c r="W186" s="2455"/>
      <c r="X186" s="2455"/>
      <c r="Y186" s="2455"/>
      <c r="Z186" s="2455"/>
    </row>
    <row r="187" spans="1:26" ht="12" x14ac:dyDescent="0.2">
      <c r="A187" s="2455" t="str">
        <f>MID(Summary!$B$1,FIND(" ",Summary!$B$1,1)+1,4)</f>
        <v>2011</v>
      </c>
      <c r="B187" s="2455" t="s">
        <v>330</v>
      </c>
      <c r="C187" s="2455" t="s">
        <v>362</v>
      </c>
      <c r="E187" s="2455" t="s">
        <v>2198</v>
      </c>
      <c r="F187" s="2455" t="s">
        <v>2192</v>
      </c>
      <c r="G187" s="2456">
        <f>Summary!E117</f>
        <v>0.1701</v>
      </c>
      <c r="J187" s="2455"/>
      <c r="K187" s="2455"/>
      <c r="L187" s="2455"/>
      <c r="M187" s="2455"/>
      <c r="N187" s="2455"/>
      <c r="O187" s="2455"/>
      <c r="P187" s="2455"/>
      <c r="Q187" s="2455"/>
      <c r="R187" s="2455"/>
      <c r="S187" s="2455"/>
      <c r="T187" s="2455"/>
      <c r="U187" s="2455"/>
      <c r="V187" s="2455"/>
      <c r="W187" s="2455"/>
      <c r="X187" s="2455"/>
      <c r="Y187" s="2455"/>
      <c r="Z187" s="2455"/>
    </row>
    <row r="188" spans="1:26" ht="12" x14ac:dyDescent="0.2">
      <c r="A188" s="2455" t="str">
        <f>MID(Summary!$B$1,FIND(" ",Summary!$B$1,1)+1,4)</f>
        <v>2011</v>
      </c>
      <c r="B188" s="2455" t="s">
        <v>330</v>
      </c>
      <c r="C188" s="2455" t="s">
        <v>384</v>
      </c>
      <c r="E188" s="2455" t="s">
        <v>3</v>
      </c>
      <c r="F188" s="2455" t="s">
        <v>2192</v>
      </c>
      <c r="G188" s="2456">
        <f>Summary!E119</f>
        <v>0</v>
      </c>
      <c r="J188" s="2455"/>
      <c r="K188" s="2455"/>
      <c r="L188" s="2455"/>
      <c r="M188" s="2455"/>
      <c r="N188" s="2455"/>
      <c r="O188" s="2455"/>
      <c r="P188" s="2455"/>
      <c r="Q188" s="2455"/>
      <c r="R188" s="2455"/>
      <c r="S188" s="2455"/>
      <c r="T188" s="2455"/>
      <c r="U188" s="2455"/>
      <c r="V188" s="2455"/>
      <c r="W188" s="2455"/>
      <c r="X188" s="2455"/>
      <c r="Y188" s="2455"/>
      <c r="Z188" s="2455"/>
    </row>
    <row r="189" spans="1:26" ht="12" x14ac:dyDescent="0.2">
      <c r="A189" s="2455" t="str">
        <f>MID(Summary!$B$1,FIND(" ",Summary!$B$1,1)+1,4)</f>
        <v>2011</v>
      </c>
      <c r="B189" s="2455" t="s">
        <v>330</v>
      </c>
      <c r="C189" s="2455" t="s">
        <v>384</v>
      </c>
      <c r="E189" s="2455" t="s">
        <v>14</v>
      </c>
      <c r="F189" s="2455" t="s">
        <v>2192</v>
      </c>
      <c r="G189" s="2456">
        <f>Summary!E120</f>
        <v>0</v>
      </c>
      <c r="J189" s="2455"/>
      <c r="K189" s="2455"/>
      <c r="L189" s="2455"/>
      <c r="M189" s="2455"/>
      <c r="N189" s="2455"/>
      <c r="O189" s="2455"/>
      <c r="P189" s="2455"/>
      <c r="Q189" s="2455"/>
      <c r="R189" s="2455"/>
      <c r="S189" s="2455"/>
      <c r="T189" s="2455"/>
      <c r="U189" s="2455"/>
      <c r="V189" s="2455"/>
      <c r="W189" s="2455"/>
      <c r="X189" s="2455"/>
      <c r="Y189" s="2455"/>
      <c r="Z189" s="2455"/>
    </row>
    <row r="190" spans="1:26" ht="12" x14ac:dyDescent="0.2">
      <c r="A190" s="2455" t="str">
        <f>MID(Summary!$B$1,FIND(" ",Summary!$B$1,1)+1,4)</f>
        <v>2011</v>
      </c>
      <c r="B190" s="2455" t="s">
        <v>330</v>
      </c>
      <c r="C190" s="2455" t="s">
        <v>384</v>
      </c>
      <c r="E190" s="2455" t="s">
        <v>2198</v>
      </c>
      <c r="F190" s="2455" t="s">
        <v>2192</v>
      </c>
      <c r="G190" s="2456">
        <f>Summary!E121</f>
        <v>0</v>
      </c>
      <c r="J190" s="2455"/>
      <c r="K190" s="2455"/>
      <c r="L190" s="2455"/>
      <c r="M190" s="2455"/>
      <c r="N190" s="2455"/>
      <c r="O190" s="2455"/>
      <c r="P190" s="2455"/>
      <c r="Q190" s="2455"/>
      <c r="R190" s="2455"/>
      <c r="S190" s="2455"/>
      <c r="T190" s="2455"/>
      <c r="U190" s="2455"/>
      <c r="V190" s="2455"/>
      <c r="W190" s="2455"/>
      <c r="X190" s="2455"/>
      <c r="Y190" s="2455"/>
      <c r="Z190" s="2455"/>
    </row>
    <row r="191" spans="1:26" ht="12" x14ac:dyDescent="0.2">
      <c r="A191" s="2455" t="str">
        <f>MID(Summary!$B$1,FIND(" ",Summary!$B$1,1)+1,4)</f>
        <v>2011</v>
      </c>
      <c r="B191" s="2455" t="s">
        <v>330</v>
      </c>
      <c r="C191" s="2455" t="s">
        <v>2182</v>
      </c>
      <c r="E191" s="2455" t="s">
        <v>3</v>
      </c>
      <c r="F191" s="2455" t="s">
        <v>2192</v>
      </c>
      <c r="G191" s="2456">
        <f>Summary!E123</f>
        <v>9.5118999999999998E-4</v>
      </c>
      <c r="J191" s="2455"/>
      <c r="K191" s="2455"/>
      <c r="L191" s="2455"/>
      <c r="M191" s="2455"/>
      <c r="N191" s="2455"/>
      <c r="O191" s="2455"/>
      <c r="P191" s="2455"/>
      <c r="Q191" s="2455"/>
      <c r="R191" s="2455"/>
      <c r="S191" s="2455"/>
      <c r="T191" s="2455"/>
      <c r="U191" s="2455"/>
      <c r="V191" s="2455"/>
      <c r="W191" s="2455"/>
      <c r="X191" s="2455"/>
      <c r="Y191" s="2455"/>
      <c r="Z191" s="2455"/>
    </row>
    <row r="192" spans="1:26" ht="12" x14ac:dyDescent="0.2">
      <c r="A192" s="2455" t="str">
        <f>MID(Summary!$B$1,FIND(" ",Summary!$B$1,1)+1,4)</f>
        <v>2011</v>
      </c>
      <c r="B192" s="2455" t="s">
        <v>330</v>
      </c>
      <c r="C192" s="2455" t="s">
        <v>2182</v>
      </c>
      <c r="E192" s="2455" t="s">
        <v>14</v>
      </c>
      <c r="F192" s="2455" t="s">
        <v>2192</v>
      </c>
      <c r="G192" s="2456">
        <f>Summary!E124</f>
        <v>0</v>
      </c>
      <c r="J192" s="2455"/>
      <c r="K192" s="2455"/>
      <c r="L192" s="2455"/>
      <c r="M192" s="2455"/>
      <c r="N192" s="2455"/>
      <c r="O192" s="2455"/>
      <c r="P192" s="2455"/>
      <c r="Q192" s="2455"/>
      <c r="R192" s="2455"/>
      <c r="S192" s="2455"/>
      <c r="T192" s="2455"/>
      <c r="U192" s="2455"/>
      <c r="V192" s="2455"/>
      <c r="W192" s="2455"/>
      <c r="X192" s="2455"/>
      <c r="Y192" s="2455"/>
      <c r="Z192" s="2455"/>
    </row>
    <row r="193" spans="1:26" ht="12" x14ac:dyDescent="0.2">
      <c r="A193" s="2455" t="str">
        <f>MID(Summary!$B$1,FIND(" ",Summary!$B$1,1)+1,4)</f>
        <v>2011</v>
      </c>
      <c r="B193" s="2455" t="s">
        <v>330</v>
      </c>
      <c r="C193" s="2455" t="s">
        <v>2182</v>
      </c>
      <c r="E193" s="2455" t="s">
        <v>2198</v>
      </c>
      <c r="F193" s="2455" t="s">
        <v>2192</v>
      </c>
      <c r="G193" s="2456">
        <f>Summary!E125</f>
        <v>0</v>
      </c>
      <c r="J193" s="2455"/>
      <c r="K193" s="2455"/>
      <c r="L193" s="2455"/>
      <c r="M193" s="2455"/>
      <c r="N193" s="2455"/>
      <c r="O193" s="2455"/>
      <c r="P193" s="2455"/>
      <c r="Q193" s="2455"/>
      <c r="R193" s="2455"/>
      <c r="S193" s="2455"/>
      <c r="T193" s="2455"/>
      <c r="U193" s="2455"/>
      <c r="V193" s="2455"/>
      <c r="W193" s="2455"/>
      <c r="X193" s="2455"/>
      <c r="Y193" s="2455"/>
      <c r="Z193" s="2455"/>
    </row>
    <row r="194" spans="1:26" ht="12" x14ac:dyDescent="0.2">
      <c r="A194" s="2455" t="str">
        <f>MID(Summary!$B$1,FIND(" ",Summary!$B$1,1)+1,4)</f>
        <v>2011</v>
      </c>
      <c r="B194" s="2455" t="s">
        <v>330</v>
      </c>
      <c r="C194" s="2455" t="s">
        <v>395</v>
      </c>
      <c r="E194" s="2455" t="s">
        <v>3</v>
      </c>
      <c r="F194" s="2455" t="s">
        <v>2192</v>
      </c>
      <c r="G194" s="2456">
        <f>Summary!E127</f>
        <v>0</v>
      </c>
      <c r="J194" s="2455"/>
      <c r="K194" s="2455"/>
      <c r="L194" s="2455"/>
      <c r="M194" s="2455"/>
      <c r="N194" s="2455"/>
      <c r="O194" s="2455"/>
      <c r="P194" s="2455"/>
      <c r="Q194" s="2455"/>
      <c r="R194" s="2455"/>
      <c r="S194" s="2455"/>
      <c r="T194" s="2455"/>
      <c r="U194" s="2455"/>
      <c r="V194" s="2455"/>
      <c r="W194" s="2455"/>
      <c r="X194" s="2455"/>
      <c r="Y194" s="2455"/>
      <c r="Z194" s="2455"/>
    </row>
    <row r="195" spans="1:26" ht="12" x14ac:dyDescent="0.2">
      <c r="A195" s="2455" t="str">
        <f>MID(Summary!$B$1,FIND(" ",Summary!$B$1,1)+1,4)</f>
        <v>2011</v>
      </c>
      <c r="B195" s="2455" t="s">
        <v>330</v>
      </c>
      <c r="C195" s="2455" t="s">
        <v>395</v>
      </c>
      <c r="E195" s="2455" t="s">
        <v>14</v>
      </c>
      <c r="F195" s="2455" t="s">
        <v>2192</v>
      </c>
      <c r="G195" s="2456">
        <f>Summary!E128</f>
        <v>0</v>
      </c>
      <c r="J195" s="2455"/>
      <c r="K195" s="2455"/>
      <c r="L195" s="2455"/>
      <c r="M195" s="2455"/>
      <c r="N195" s="2455"/>
      <c r="O195" s="2455"/>
      <c r="P195" s="2455"/>
      <c r="Q195" s="2455"/>
      <c r="R195" s="2455"/>
      <c r="S195" s="2455"/>
      <c r="T195" s="2455"/>
      <c r="U195" s="2455"/>
      <c r="V195" s="2455"/>
      <c r="W195" s="2455"/>
      <c r="X195" s="2455"/>
      <c r="Y195" s="2455"/>
      <c r="Z195" s="2455"/>
    </row>
    <row r="196" spans="1:26" ht="12" x14ac:dyDescent="0.2">
      <c r="A196" s="2455" t="str">
        <f>MID(Summary!$B$1,FIND(" ",Summary!$B$1,1)+1,4)</f>
        <v>2011</v>
      </c>
      <c r="B196" s="2455" t="s">
        <v>330</v>
      </c>
      <c r="C196" s="2455" t="s">
        <v>395</v>
      </c>
      <c r="E196" s="2455" t="s">
        <v>2198</v>
      </c>
      <c r="F196" s="2455" t="s">
        <v>2192</v>
      </c>
      <c r="G196" s="2456">
        <f>Summary!E129</f>
        <v>0</v>
      </c>
      <c r="J196" s="2455"/>
      <c r="K196" s="2455"/>
      <c r="L196" s="2455"/>
      <c r="M196" s="2455"/>
      <c r="N196" s="2455"/>
      <c r="O196" s="2455"/>
      <c r="P196" s="2455"/>
      <c r="Q196" s="2455"/>
      <c r="R196" s="2455"/>
      <c r="S196" s="2455"/>
      <c r="T196" s="2455"/>
      <c r="U196" s="2455"/>
      <c r="V196" s="2455"/>
      <c r="W196" s="2455"/>
      <c r="X196" s="2455"/>
      <c r="Y196" s="2455"/>
      <c r="Z196" s="2455"/>
    </row>
    <row r="197" spans="1:26" ht="12" x14ac:dyDescent="0.2">
      <c r="A197" s="2455" t="str">
        <f>MID(Summary!$B$1,FIND(" ",Summary!$B$1,1)+1,4)</f>
        <v>2011</v>
      </c>
      <c r="B197" s="2455" t="s">
        <v>330</v>
      </c>
      <c r="C197" s="2455" t="s">
        <v>331</v>
      </c>
      <c r="E197" s="2455" t="s">
        <v>3</v>
      </c>
      <c r="F197" s="2455" t="s">
        <v>2194</v>
      </c>
      <c r="G197" s="2456">
        <f>Summary!D95</f>
        <v>0.91825561308231174</v>
      </c>
      <c r="H197" s="2455"/>
      <c r="I197" s="2455"/>
      <c r="J197" s="2455"/>
      <c r="K197" s="2455"/>
      <c r="L197" s="2455"/>
      <c r="M197" s="2455"/>
      <c r="N197" s="2455"/>
      <c r="O197" s="2455"/>
      <c r="P197" s="2455"/>
      <c r="Q197" s="2455"/>
      <c r="R197" s="2455"/>
      <c r="S197" s="2455"/>
      <c r="T197" s="2455"/>
      <c r="U197" s="2455"/>
      <c r="V197" s="2455"/>
      <c r="W197" s="2455"/>
      <c r="X197" s="2455"/>
      <c r="Y197" s="2455"/>
      <c r="Z197" s="2455"/>
    </row>
    <row r="198" spans="1:26" ht="12" x14ac:dyDescent="0.2">
      <c r="A198" s="2455" t="str">
        <f>MID(Summary!$B$1,FIND(" ",Summary!$B$1,1)+1,4)</f>
        <v>2011</v>
      </c>
      <c r="B198" s="2455" t="s">
        <v>330</v>
      </c>
      <c r="C198" s="2455" t="s">
        <v>331</v>
      </c>
      <c r="E198" s="2455" t="s">
        <v>14</v>
      </c>
      <c r="F198" s="2455" t="s">
        <v>2194</v>
      </c>
      <c r="G198" s="2456">
        <f>Summary!D96</f>
        <v>0</v>
      </c>
      <c r="H198" s="2455"/>
      <c r="I198" s="2455"/>
      <c r="J198" s="2455"/>
      <c r="K198" s="2455"/>
      <c r="L198" s="2455"/>
      <c r="M198" s="2455"/>
      <c r="N198" s="2455"/>
      <c r="O198" s="2455"/>
      <c r="P198" s="2455"/>
      <c r="Q198" s="2455"/>
      <c r="R198" s="2455"/>
      <c r="S198" s="2455"/>
      <c r="T198" s="2455"/>
      <c r="U198" s="2455"/>
      <c r="V198" s="2455"/>
      <c r="W198" s="2455"/>
      <c r="X198" s="2455"/>
      <c r="Y198" s="2455"/>
      <c r="Z198" s="2455"/>
    </row>
    <row r="199" spans="1:26" ht="12" x14ac:dyDescent="0.2">
      <c r="A199" s="2455" t="str">
        <f>MID(Summary!$B$1,FIND(" ",Summary!$B$1,1)+1,4)</f>
        <v>2011</v>
      </c>
      <c r="B199" s="2455" t="s">
        <v>330</v>
      </c>
      <c r="C199" s="2455" t="s">
        <v>331</v>
      </c>
      <c r="E199" s="2455" t="s">
        <v>18</v>
      </c>
      <c r="F199" s="2455" t="s">
        <v>2194</v>
      </c>
      <c r="G199" s="2456">
        <f>Summary!D97</f>
        <v>0</v>
      </c>
      <c r="H199" s="2455"/>
      <c r="I199" s="2455"/>
      <c r="J199" s="2455"/>
      <c r="K199" s="2455"/>
      <c r="L199" s="2455"/>
      <c r="M199" s="2455"/>
      <c r="N199" s="2455"/>
      <c r="O199" s="2455"/>
      <c r="P199" s="2455"/>
      <c r="Q199" s="2455"/>
      <c r="R199" s="2455"/>
      <c r="S199" s="2455"/>
      <c r="T199" s="2455"/>
      <c r="U199" s="2455"/>
      <c r="V199" s="2455"/>
      <c r="W199" s="2455"/>
      <c r="X199" s="2455"/>
      <c r="Y199" s="2455"/>
      <c r="Z199" s="2455"/>
    </row>
    <row r="200" spans="1:26" ht="12" x14ac:dyDescent="0.2">
      <c r="A200" s="2455" t="str">
        <f>MID(Summary!$B$1,FIND(" ",Summary!$B$1,1)+1,4)</f>
        <v>2011</v>
      </c>
      <c r="B200" s="2455" t="s">
        <v>330</v>
      </c>
      <c r="C200" s="2455" t="s">
        <v>335</v>
      </c>
      <c r="E200" s="2455" t="s">
        <v>3</v>
      </c>
      <c r="F200" s="2455" t="s">
        <v>2194</v>
      </c>
      <c r="G200" s="2456">
        <f>Summary!D99</f>
        <v>8.5604639999999996E-2</v>
      </c>
      <c r="H200" s="2455"/>
      <c r="I200" s="2455"/>
      <c r="J200" s="2455"/>
      <c r="K200" s="2455"/>
      <c r="L200" s="2455"/>
      <c r="M200" s="2455"/>
      <c r="N200" s="2455"/>
      <c r="O200" s="2455"/>
      <c r="P200" s="2455"/>
      <c r="Q200" s="2455"/>
      <c r="R200" s="2455"/>
      <c r="S200" s="2455"/>
      <c r="T200" s="2455"/>
      <c r="U200" s="2455"/>
      <c r="V200" s="2455"/>
      <c r="W200" s="2455"/>
      <c r="X200" s="2455"/>
      <c r="Y200" s="2455"/>
      <c r="Z200" s="2455"/>
    </row>
    <row r="201" spans="1:26" ht="12" x14ac:dyDescent="0.2">
      <c r="A201" s="2455" t="str">
        <f>MID(Summary!$B$1,FIND(" ",Summary!$B$1,1)+1,4)</f>
        <v>2011</v>
      </c>
      <c r="B201" s="2455" t="s">
        <v>330</v>
      </c>
      <c r="C201" s="2455" t="s">
        <v>335</v>
      </c>
      <c r="E201" s="2455" t="s">
        <v>14</v>
      </c>
      <c r="F201" s="2455" t="s">
        <v>2194</v>
      </c>
      <c r="G201" s="2456">
        <f>Summary!D100</f>
        <v>0</v>
      </c>
      <c r="H201" s="2455"/>
      <c r="I201" s="2455"/>
      <c r="J201" s="2455"/>
      <c r="K201" s="2455"/>
      <c r="L201" s="2455"/>
      <c r="M201" s="2455"/>
      <c r="N201" s="2455"/>
      <c r="O201" s="2455"/>
      <c r="P201" s="2455"/>
      <c r="Q201" s="2455"/>
      <c r="R201" s="2455"/>
      <c r="S201" s="2455"/>
      <c r="T201" s="2455"/>
      <c r="U201" s="2455"/>
      <c r="V201" s="2455"/>
      <c r="W201" s="2455"/>
      <c r="X201" s="2455"/>
      <c r="Y201" s="2455"/>
      <c r="Z201" s="2455"/>
    </row>
    <row r="202" spans="1:26" ht="12" x14ac:dyDescent="0.2">
      <c r="A202" s="2455" t="str">
        <f>MID(Summary!$B$1,FIND(" ",Summary!$B$1,1)+1,4)</f>
        <v>2011</v>
      </c>
      <c r="B202" s="2455" t="s">
        <v>330</v>
      </c>
      <c r="C202" s="2455" t="s">
        <v>335</v>
      </c>
      <c r="E202" s="2455" t="s">
        <v>18</v>
      </c>
      <c r="F202" s="2455" t="s">
        <v>2194</v>
      </c>
      <c r="G202" s="2456">
        <f>Summary!D101</f>
        <v>0</v>
      </c>
      <c r="H202" s="2455"/>
      <c r="I202" s="2455"/>
      <c r="J202" s="2455"/>
      <c r="K202" s="2455"/>
      <c r="L202" s="2455"/>
      <c r="M202" s="2455"/>
      <c r="N202" s="2455"/>
      <c r="O202" s="2455"/>
      <c r="P202" s="2455"/>
      <c r="Q202" s="2455"/>
      <c r="R202" s="2455"/>
      <c r="S202" s="2455"/>
      <c r="T202" s="2455"/>
      <c r="U202" s="2455"/>
      <c r="V202" s="2455"/>
      <c r="W202" s="2455"/>
      <c r="X202" s="2455"/>
      <c r="Y202" s="2455"/>
      <c r="Z202" s="2455"/>
    </row>
    <row r="203" spans="1:26" ht="12" x14ac:dyDescent="0.2">
      <c r="A203" s="2455" t="str">
        <f>MID(Summary!$B$1,FIND(" ",Summary!$B$1,1)+1,4)</f>
        <v>2011</v>
      </c>
      <c r="B203" s="2455" t="s">
        <v>330</v>
      </c>
      <c r="C203" s="2455" t="s">
        <v>339</v>
      </c>
      <c r="E203" s="2455" t="s">
        <v>3</v>
      </c>
      <c r="F203" s="2455" t="s">
        <v>2194</v>
      </c>
      <c r="G203" s="2456">
        <f>Summary!D103</f>
        <v>4.0365128549999997E-2</v>
      </c>
      <c r="H203" s="2455"/>
      <c r="I203" s="2455"/>
      <c r="J203" s="2455"/>
      <c r="K203" s="2455"/>
      <c r="L203" s="2455"/>
      <c r="M203" s="2455"/>
      <c r="N203" s="2455"/>
      <c r="O203" s="2455"/>
      <c r="P203" s="2455"/>
      <c r="Q203" s="2455"/>
      <c r="R203" s="2455"/>
      <c r="S203" s="2455"/>
      <c r="T203" s="2455"/>
      <c r="U203" s="2455"/>
      <c r="V203" s="2455"/>
      <c r="W203" s="2455"/>
      <c r="X203" s="2455"/>
      <c r="Y203" s="2455"/>
      <c r="Z203" s="2455"/>
    </row>
    <row r="204" spans="1:26" ht="12" x14ac:dyDescent="0.2">
      <c r="A204" s="2455" t="str">
        <f>MID(Summary!$B$1,FIND(" ",Summary!$B$1,1)+1,4)</f>
        <v>2011</v>
      </c>
      <c r="B204" s="2455" t="s">
        <v>330</v>
      </c>
      <c r="C204" s="2455" t="s">
        <v>339</v>
      </c>
      <c r="E204" s="2455" t="s">
        <v>14</v>
      </c>
      <c r="F204" s="2455" t="s">
        <v>2194</v>
      </c>
      <c r="G204" s="2456">
        <f>Summary!D104</f>
        <v>0</v>
      </c>
      <c r="H204" s="2455"/>
      <c r="I204" s="2455"/>
      <c r="J204" s="2455"/>
      <c r="K204" s="2455"/>
      <c r="L204" s="2455"/>
      <c r="M204" s="2455"/>
      <c r="N204" s="2455"/>
      <c r="O204" s="2455"/>
      <c r="P204" s="2455"/>
      <c r="Q204" s="2455"/>
      <c r="R204" s="2455"/>
      <c r="S204" s="2455"/>
      <c r="T204" s="2455"/>
      <c r="U204" s="2455"/>
      <c r="V204" s="2455"/>
      <c r="W204" s="2455"/>
      <c r="X204" s="2455"/>
      <c r="Y204" s="2455"/>
      <c r="Z204" s="2455"/>
    </row>
    <row r="205" spans="1:26" ht="12" x14ac:dyDescent="0.2">
      <c r="A205" s="2455" t="str">
        <f>MID(Summary!$B$1,FIND(" ",Summary!$B$1,1)+1,4)</f>
        <v>2011</v>
      </c>
      <c r="B205" s="2455" t="s">
        <v>330</v>
      </c>
      <c r="C205" s="2455" t="s">
        <v>339</v>
      </c>
      <c r="E205" s="2455" t="s">
        <v>18</v>
      </c>
      <c r="F205" s="2455" t="s">
        <v>2194</v>
      </c>
      <c r="G205" s="2456">
        <f>Summary!D105</f>
        <v>0</v>
      </c>
      <c r="H205" s="2455"/>
      <c r="I205" s="2455"/>
      <c r="J205" s="2455"/>
      <c r="K205" s="2455"/>
      <c r="L205" s="2455"/>
      <c r="M205" s="2455"/>
      <c r="N205" s="2455"/>
      <c r="O205" s="2455"/>
      <c r="P205" s="2455"/>
      <c r="Q205" s="2455"/>
      <c r="R205" s="2455"/>
      <c r="S205" s="2455"/>
      <c r="T205" s="2455"/>
      <c r="U205" s="2455"/>
      <c r="V205" s="2455"/>
      <c r="W205" s="2455"/>
      <c r="X205" s="2455"/>
      <c r="Y205" s="2455"/>
      <c r="Z205" s="2455"/>
    </row>
    <row r="206" spans="1:26" ht="12" x14ac:dyDescent="0.2">
      <c r="A206" s="2455" t="str">
        <f>MID(Summary!$B$1,FIND(" ",Summary!$B$1,1)+1,4)</f>
        <v>2011</v>
      </c>
      <c r="B206" s="2455" t="s">
        <v>330</v>
      </c>
      <c r="C206" s="2455" t="s">
        <v>349</v>
      </c>
      <c r="E206" s="2455" t="s">
        <v>3</v>
      </c>
      <c r="F206" s="2455" t="s">
        <v>2194</v>
      </c>
      <c r="G206" s="2456">
        <f>Summary!D107</f>
        <v>0.90971243984396266</v>
      </c>
      <c r="H206" s="2455"/>
      <c r="I206" s="2455"/>
      <c r="J206" s="2455"/>
      <c r="K206" s="2455"/>
      <c r="L206" s="2455"/>
      <c r="M206" s="2455"/>
      <c r="N206" s="2455"/>
      <c r="O206" s="2455"/>
      <c r="P206" s="2455"/>
      <c r="Q206" s="2455"/>
      <c r="R206" s="2455"/>
      <c r="S206" s="2455"/>
      <c r="T206" s="2455"/>
      <c r="U206" s="2455"/>
      <c r="V206" s="2455"/>
      <c r="W206" s="2455"/>
      <c r="X206" s="2455"/>
      <c r="Y206" s="2455"/>
      <c r="Z206" s="2455"/>
    </row>
    <row r="207" spans="1:26" ht="12" x14ac:dyDescent="0.2">
      <c r="A207" s="2455" t="str">
        <f>MID(Summary!$B$1,FIND(" ",Summary!$B$1,1)+1,4)</f>
        <v>2011</v>
      </c>
      <c r="B207" s="2455" t="s">
        <v>330</v>
      </c>
      <c r="C207" s="2455" t="s">
        <v>349</v>
      </c>
      <c r="E207" s="2455" t="s">
        <v>14</v>
      </c>
      <c r="F207" s="2455" t="s">
        <v>2194</v>
      </c>
      <c r="G207" s="2456">
        <f>Summary!D108</f>
        <v>0</v>
      </c>
      <c r="H207" s="2455"/>
      <c r="I207" s="2455"/>
      <c r="J207" s="2455"/>
      <c r="K207" s="2455"/>
      <c r="L207" s="2455"/>
      <c r="M207" s="2455"/>
      <c r="N207" s="2455"/>
      <c r="O207" s="2455"/>
      <c r="P207" s="2455"/>
      <c r="Q207" s="2455"/>
      <c r="R207" s="2455"/>
      <c r="S207" s="2455"/>
      <c r="T207" s="2455"/>
      <c r="U207" s="2455"/>
      <c r="V207" s="2455"/>
      <c r="W207" s="2455"/>
      <c r="X207" s="2455"/>
      <c r="Y207" s="2455"/>
      <c r="Z207" s="2455"/>
    </row>
    <row r="208" spans="1:26" ht="12" x14ac:dyDescent="0.2">
      <c r="A208" s="2455" t="str">
        <f>MID(Summary!$B$1,FIND(" ",Summary!$B$1,1)+1,4)</f>
        <v>2011</v>
      </c>
      <c r="B208" s="2455" t="s">
        <v>330</v>
      </c>
      <c r="C208" s="2455" t="s">
        <v>349</v>
      </c>
      <c r="E208" s="2455" t="s">
        <v>18</v>
      </c>
      <c r="F208" s="2455" t="s">
        <v>2194</v>
      </c>
      <c r="G208" s="2456">
        <f>Summary!D109</f>
        <v>0</v>
      </c>
      <c r="H208" s="2455"/>
      <c r="I208" s="2455"/>
      <c r="J208" s="2455"/>
      <c r="K208" s="2455"/>
      <c r="L208" s="2455"/>
      <c r="M208" s="2455"/>
      <c r="N208" s="2455"/>
      <c r="O208" s="2455"/>
      <c r="P208" s="2455"/>
      <c r="Q208" s="2455"/>
      <c r="R208" s="2455"/>
      <c r="S208" s="2455"/>
      <c r="T208" s="2455"/>
      <c r="U208" s="2455"/>
      <c r="V208" s="2455"/>
      <c r="W208" s="2455"/>
      <c r="X208" s="2455"/>
      <c r="Y208" s="2455"/>
      <c r="Z208" s="2455"/>
    </row>
    <row r="209" spans="1:26" ht="12" x14ac:dyDescent="0.2">
      <c r="A209" s="2455" t="str">
        <f>MID(Summary!$B$1,FIND(" ",Summary!$B$1,1)+1,4)</f>
        <v>2011</v>
      </c>
      <c r="B209" s="2455" t="s">
        <v>330</v>
      </c>
      <c r="C209" s="2455" t="s">
        <v>356</v>
      </c>
      <c r="E209" s="2455" t="s">
        <v>3</v>
      </c>
      <c r="F209" s="2455" t="s">
        <v>2194</v>
      </c>
      <c r="G209" s="2456">
        <f>Summary!D111</f>
        <v>0</v>
      </c>
      <c r="H209" s="2455"/>
      <c r="I209" s="2455"/>
      <c r="J209" s="2455"/>
      <c r="K209" s="2455"/>
      <c r="L209" s="2455"/>
      <c r="M209" s="2455"/>
      <c r="N209" s="2455"/>
      <c r="O209" s="2455"/>
      <c r="P209" s="2455"/>
      <c r="Q209" s="2455"/>
      <c r="R209" s="2455"/>
      <c r="S209" s="2455"/>
      <c r="T209" s="2455"/>
      <c r="U209" s="2455"/>
      <c r="V209" s="2455"/>
      <c r="W209" s="2455"/>
      <c r="X209" s="2455"/>
      <c r="Y209" s="2455"/>
      <c r="Z209" s="2455"/>
    </row>
    <row r="210" spans="1:26" ht="12" x14ac:dyDescent="0.2">
      <c r="A210" s="2455" t="str">
        <f>MID(Summary!$B$1,FIND(" ",Summary!$B$1,1)+1,4)</f>
        <v>2011</v>
      </c>
      <c r="B210" s="2455" t="s">
        <v>330</v>
      </c>
      <c r="C210" s="2455" t="s">
        <v>356</v>
      </c>
      <c r="E210" s="2455" t="s">
        <v>14</v>
      </c>
      <c r="F210" s="2455" t="s">
        <v>2194</v>
      </c>
      <c r="G210" s="2456">
        <f>Summary!D112</f>
        <v>0</v>
      </c>
      <c r="H210" s="2455"/>
      <c r="I210" s="2455"/>
      <c r="J210" s="2455"/>
      <c r="K210" s="2455"/>
      <c r="L210" s="2455"/>
      <c r="M210" s="2455"/>
      <c r="N210" s="2455"/>
      <c r="O210" s="2455"/>
      <c r="P210" s="2455"/>
      <c r="Q210" s="2455"/>
      <c r="R210" s="2455"/>
      <c r="S210" s="2455"/>
      <c r="T210" s="2455"/>
      <c r="U210" s="2455"/>
      <c r="V210" s="2455"/>
      <c r="W210" s="2455"/>
      <c r="X210" s="2455"/>
      <c r="Y210" s="2455"/>
      <c r="Z210" s="2455"/>
    </row>
    <row r="211" spans="1:26" ht="12" x14ac:dyDescent="0.2">
      <c r="A211" s="2455" t="str">
        <f>MID(Summary!$B$1,FIND(" ",Summary!$B$1,1)+1,4)</f>
        <v>2011</v>
      </c>
      <c r="B211" s="2455" t="s">
        <v>330</v>
      </c>
      <c r="C211" s="2455" t="s">
        <v>356</v>
      </c>
      <c r="E211" s="2455" t="s">
        <v>2198</v>
      </c>
      <c r="F211" s="2455" t="s">
        <v>2194</v>
      </c>
      <c r="G211" s="2456">
        <f>Summary!D113</f>
        <v>5.8205208369953656</v>
      </c>
      <c r="H211" s="2455"/>
      <c r="I211" s="2455"/>
      <c r="J211" s="2455"/>
      <c r="K211" s="2455"/>
      <c r="L211" s="2455"/>
      <c r="M211" s="2455"/>
      <c r="N211" s="2455"/>
      <c r="O211" s="2455"/>
      <c r="P211" s="2455"/>
      <c r="Q211" s="2455"/>
      <c r="R211" s="2455"/>
      <c r="S211" s="2455"/>
      <c r="T211" s="2455"/>
      <c r="U211" s="2455"/>
      <c r="V211" s="2455"/>
      <c r="W211" s="2455"/>
      <c r="X211" s="2455"/>
      <c r="Y211" s="2455"/>
      <c r="Z211" s="2455"/>
    </row>
    <row r="212" spans="1:26" ht="12" x14ac:dyDescent="0.2">
      <c r="A212" s="2455" t="str">
        <f>MID(Summary!$B$1,FIND(" ",Summary!$B$1,1)+1,4)</f>
        <v>2011</v>
      </c>
      <c r="B212" s="2455" t="s">
        <v>330</v>
      </c>
      <c r="C212" s="2455" t="s">
        <v>362</v>
      </c>
      <c r="E212" s="2455" t="s">
        <v>3</v>
      </c>
      <c r="F212" s="2455" t="s">
        <v>2194</v>
      </c>
      <c r="G212" s="2456">
        <f>Summary!D115</f>
        <v>0</v>
      </c>
      <c r="H212" s="2455"/>
      <c r="I212" s="2455"/>
      <c r="J212" s="2455"/>
      <c r="K212" s="2455"/>
      <c r="L212" s="2455"/>
      <c r="M212" s="2455"/>
      <c r="N212" s="2455"/>
      <c r="O212" s="2455"/>
      <c r="P212" s="2455"/>
      <c r="Q212" s="2455"/>
      <c r="R212" s="2455"/>
      <c r="S212" s="2455"/>
      <c r="T212" s="2455"/>
      <c r="U212" s="2455"/>
      <c r="V212" s="2455"/>
      <c r="W212" s="2455"/>
      <c r="X212" s="2455"/>
      <c r="Y212" s="2455"/>
      <c r="Z212" s="2455"/>
    </row>
    <row r="213" spans="1:26" ht="12" x14ac:dyDescent="0.2">
      <c r="A213" s="2455" t="str">
        <f>MID(Summary!$B$1,FIND(" ",Summary!$B$1,1)+1,4)</f>
        <v>2011</v>
      </c>
      <c r="B213" s="2455" t="s">
        <v>330</v>
      </c>
      <c r="C213" s="2455" t="s">
        <v>362</v>
      </c>
      <c r="E213" s="2455" t="s">
        <v>14</v>
      </c>
      <c r="F213" s="2455" t="s">
        <v>2194</v>
      </c>
      <c r="G213" s="2456">
        <f>Summary!D116</f>
        <v>0</v>
      </c>
      <c r="H213" s="2455"/>
      <c r="I213" s="2455"/>
      <c r="J213" s="2455"/>
      <c r="K213" s="2455"/>
      <c r="L213" s="2455"/>
      <c r="M213" s="2455"/>
      <c r="N213" s="2455"/>
      <c r="O213" s="2455"/>
      <c r="P213" s="2455"/>
      <c r="Q213" s="2455"/>
      <c r="R213" s="2455"/>
      <c r="S213" s="2455"/>
      <c r="T213" s="2455"/>
      <c r="U213" s="2455"/>
      <c r="V213" s="2455"/>
      <c r="W213" s="2455"/>
      <c r="X213" s="2455"/>
      <c r="Y213" s="2455"/>
      <c r="Z213" s="2455"/>
    </row>
    <row r="214" spans="1:26" ht="12" x14ac:dyDescent="0.2">
      <c r="A214" s="2455" t="str">
        <f>MID(Summary!$B$1,FIND(" ",Summary!$B$1,1)+1,4)</f>
        <v>2011</v>
      </c>
      <c r="B214" s="2455" t="s">
        <v>330</v>
      </c>
      <c r="C214" s="2455" t="s">
        <v>362</v>
      </c>
      <c r="E214" s="2455" t="s">
        <v>2198</v>
      </c>
      <c r="F214" s="2455" t="s">
        <v>2194</v>
      </c>
      <c r="G214" s="2456">
        <f>Summary!D117</f>
        <v>0.12739999999999999</v>
      </c>
      <c r="H214" s="2455"/>
      <c r="I214" s="2455"/>
      <c r="J214" s="2455"/>
      <c r="K214" s="2455"/>
      <c r="L214" s="2455"/>
      <c r="M214" s="2455"/>
      <c r="N214" s="2455"/>
      <c r="O214" s="2455"/>
      <c r="P214" s="2455"/>
      <c r="Q214" s="2455"/>
      <c r="R214" s="2455"/>
      <c r="S214" s="2455"/>
      <c r="T214" s="2455"/>
      <c r="U214" s="2455"/>
      <c r="V214" s="2455"/>
      <c r="W214" s="2455"/>
      <c r="X214" s="2455"/>
      <c r="Y214" s="2455"/>
      <c r="Z214" s="2455"/>
    </row>
    <row r="215" spans="1:26" ht="12" x14ac:dyDescent="0.2">
      <c r="A215" s="2455" t="str">
        <f>MID(Summary!$B$1,FIND(" ",Summary!$B$1,1)+1,4)</f>
        <v>2011</v>
      </c>
      <c r="B215" s="2455" t="s">
        <v>330</v>
      </c>
      <c r="C215" s="2455" t="s">
        <v>384</v>
      </c>
      <c r="E215" s="2455" t="s">
        <v>3</v>
      </c>
      <c r="F215" s="2455" t="s">
        <v>2194</v>
      </c>
      <c r="G215" s="2456">
        <f>Summary!D119</f>
        <v>0</v>
      </c>
      <c r="H215" s="2455"/>
      <c r="I215" s="2455"/>
      <c r="J215" s="2455"/>
      <c r="K215" s="2455"/>
      <c r="L215" s="2455"/>
      <c r="M215" s="2455"/>
      <c r="N215" s="2455"/>
      <c r="O215" s="2455"/>
      <c r="P215" s="2455"/>
      <c r="Q215" s="2455"/>
      <c r="R215" s="2455"/>
      <c r="S215" s="2455"/>
      <c r="T215" s="2455"/>
      <c r="U215" s="2455"/>
      <c r="V215" s="2455"/>
      <c r="W215" s="2455"/>
      <c r="X215" s="2455"/>
      <c r="Y215" s="2455"/>
      <c r="Z215" s="2455"/>
    </row>
    <row r="216" spans="1:26" ht="12" x14ac:dyDescent="0.2">
      <c r="A216" s="2455" t="str">
        <f>MID(Summary!$B$1,FIND(" ",Summary!$B$1,1)+1,4)</f>
        <v>2011</v>
      </c>
      <c r="B216" s="2455" t="s">
        <v>330</v>
      </c>
      <c r="C216" s="2455" t="s">
        <v>384</v>
      </c>
      <c r="E216" s="2455" t="s">
        <v>14</v>
      </c>
      <c r="F216" s="2455" t="s">
        <v>2194</v>
      </c>
      <c r="G216" s="2456">
        <f>Summary!D120</f>
        <v>0</v>
      </c>
      <c r="H216" s="2455"/>
      <c r="I216" s="2455"/>
      <c r="J216" s="2455"/>
      <c r="K216" s="2455"/>
      <c r="L216" s="2455"/>
      <c r="M216" s="2455"/>
      <c r="N216" s="2455"/>
      <c r="O216" s="2455"/>
      <c r="P216" s="2455"/>
      <c r="Q216" s="2455"/>
      <c r="R216" s="2455"/>
      <c r="S216" s="2455"/>
      <c r="T216" s="2455"/>
      <c r="U216" s="2455"/>
      <c r="V216" s="2455"/>
      <c r="W216" s="2455"/>
      <c r="X216" s="2455"/>
      <c r="Y216" s="2455"/>
      <c r="Z216" s="2455"/>
    </row>
    <row r="217" spans="1:26" ht="12" x14ac:dyDescent="0.2">
      <c r="A217" s="2455" t="str">
        <f>MID(Summary!$B$1,FIND(" ",Summary!$B$1,1)+1,4)</f>
        <v>2011</v>
      </c>
      <c r="B217" s="2455" t="s">
        <v>330</v>
      </c>
      <c r="C217" s="2455" t="s">
        <v>384</v>
      </c>
      <c r="E217" s="2455" t="s">
        <v>2198</v>
      </c>
      <c r="F217" s="2455" t="s">
        <v>2194</v>
      </c>
      <c r="G217" s="2456">
        <f>Summary!D121</f>
        <v>0</v>
      </c>
      <c r="H217" s="2455"/>
      <c r="I217" s="2455"/>
      <c r="J217" s="2455"/>
      <c r="K217" s="2455"/>
      <c r="L217" s="2455"/>
      <c r="M217" s="2455"/>
      <c r="N217" s="2455"/>
      <c r="O217" s="2455"/>
      <c r="P217" s="2455"/>
      <c r="Q217" s="2455"/>
      <c r="R217" s="2455"/>
      <c r="S217" s="2455"/>
      <c r="T217" s="2455"/>
      <c r="U217" s="2455"/>
      <c r="V217" s="2455"/>
      <c r="W217" s="2455"/>
      <c r="X217" s="2455"/>
      <c r="Y217" s="2455"/>
      <c r="Z217" s="2455"/>
    </row>
    <row r="218" spans="1:26" ht="12" x14ac:dyDescent="0.2">
      <c r="A218" s="2455" t="str">
        <f>MID(Summary!$B$1,FIND(" ",Summary!$B$1,1)+1,4)</f>
        <v>2011</v>
      </c>
      <c r="B218" s="2455" t="s">
        <v>330</v>
      </c>
      <c r="C218" s="2455" t="s">
        <v>2182</v>
      </c>
      <c r="E218" s="2455" t="s">
        <v>3</v>
      </c>
      <c r="F218" s="2455" t="s">
        <v>2194</v>
      </c>
      <c r="G218" s="2456">
        <f>Summary!D123</f>
        <v>9.5118999999999998E-4</v>
      </c>
      <c r="H218" s="2455"/>
      <c r="I218" s="2455"/>
      <c r="J218" s="2455"/>
      <c r="K218" s="2455"/>
      <c r="L218" s="2455"/>
      <c r="M218" s="2455"/>
      <c r="N218" s="2455"/>
      <c r="O218" s="2455"/>
      <c r="P218" s="2455"/>
      <c r="Q218" s="2455"/>
      <c r="R218" s="2455"/>
      <c r="S218" s="2455"/>
      <c r="T218" s="2455"/>
      <c r="U218" s="2455"/>
      <c r="V218" s="2455"/>
      <c r="W218" s="2455"/>
      <c r="X218" s="2455"/>
      <c r="Y218" s="2455"/>
      <c r="Z218" s="2455"/>
    </row>
    <row r="219" spans="1:26" ht="12" x14ac:dyDescent="0.2">
      <c r="A219" s="2455" t="str">
        <f>MID(Summary!$B$1,FIND(" ",Summary!$B$1,1)+1,4)</f>
        <v>2011</v>
      </c>
      <c r="B219" s="2455" t="s">
        <v>330</v>
      </c>
      <c r="C219" s="2455" t="s">
        <v>2182</v>
      </c>
      <c r="E219" s="2455" t="s">
        <v>14</v>
      </c>
      <c r="F219" s="2455" t="s">
        <v>2194</v>
      </c>
      <c r="G219" s="2456">
        <f>Summary!D124</f>
        <v>0</v>
      </c>
      <c r="H219" s="2455"/>
      <c r="I219" s="2455"/>
      <c r="J219" s="2455"/>
      <c r="K219" s="2455"/>
      <c r="L219" s="2455"/>
      <c r="M219" s="2455"/>
      <c r="N219" s="2455"/>
      <c r="O219" s="2455"/>
      <c r="P219" s="2455"/>
      <c r="Q219" s="2455"/>
      <c r="R219" s="2455"/>
      <c r="S219" s="2455"/>
      <c r="T219" s="2455"/>
      <c r="U219" s="2455"/>
      <c r="V219" s="2455"/>
      <c r="W219" s="2455"/>
      <c r="X219" s="2455"/>
      <c r="Y219" s="2455"/>
      <c r="Z219" s="2455"/>
    </row>
    <row r="220" spans="1:26" ht="12" x14ac:dyDescent="0.2">
      <c r="A220" s="2455" t="str">
        <f>MID(Summary!$B$1,FIND(" ",Summary!$B$1,1)+1,4)</f>
        <v>2011</v>
      </c>
      <c r="B220" s="2455" t="s">
        <v>330</v>
      </c>
      <c r="C220" s="2455" t="s">
        <v>2182</v>
      </c>
      <c r="E220" s="2455" t="s">
        <v>2198</v>
      </c>
      <c r="F220" s="2455" t="s">
        <v>2194</v>
      </c>
      <c r="G220" s="2456">
        <f>Summary!D125</f>
        <v>0</v>
      </c>
      <c r="H220" s="2455"/>
      <c r="I220" s="2455"/>
      <c r="J220" s="2455"/>
      <c r="K220" s="2455"/>
      <c r="L220" s="2455"/>
      <c r="M220" s="2455"/>
      <c r="N220" s="2455"/>
      <c r="O220" s="2455"/>
      <c r="P220" s="2455"/>
      <c r="Q220" s="2455"/>
      <c r="R220" s="2455"/>
      <c r="S220" s="2455"/>
      <c r="T220" s="2455"/>
      <c r="U220" s="2455"/>
      <c r="V220" s="2455"/>
      <c r="W220" s="2455"/>
      <c r="X220" s="2455"/>
      <c r="Y220" s="2455"/>
      <c r="Z220" s="2455"/>
    </row>
    <row r="221" spans="1:26" ht="12" x14ac:dyDescent="0.2">
      <c r="A221" s="2455" t="str">
        <f>MID(Summary!$B$1,FIND(" ",Summary!$B$1,1)+1,4)</f>
        <v>2011</v>
      </c>
      <c r="B221" s="2455" t="s">
        <v>330</v>
      </c>
      <c r="C221" s="2455" t="s">
        <v>395</v>
      </c>
      <c r="E221" s="2455" t="s">
        <v>3</v>
      </c>
      <c r="F221" s="2455" t="s">
        <v>2194</v>
      </c>
      <c r="G221" s="2456">
        <f>Summary!D127</f>
        <v>0</v>
      </c>
      <c r="H221" s="2455"/>
      <c r="I221" s="2455"/>
      <c r="J221" s="2455"/>
      <c r="K221" s="2455"/>
      <c r="L221" s="2455"/>
      <c r="M221" s="2455"/>
      <c r="N221" s="2455"/>
      <c r="O221" s="2455"/>
      <c r="P221" s="2455"/>
      <c r="Q221" s="2455"/>
      <c r="R221" s="2455"/>
      <c r="S221" s="2455"/>
      <c r="T221" s="2455"/>
      <c r="U221" s="2455"/>
      <c r="V221" s="2455"/>
      <c r="W221" s="2455"/>
      <c r="X221" s="2455"/>
      <c r="Y221" s="2455"/>
      <c r="Z221" s="2455"/>
    </row>
    <row r="222" spans="1:26" ht="12" x14ac:dyDescent="0.2">
      <c r="A222" s="2455" t="str">
        <f>MID(Summary!$B$1,FIND(" ",Summary!$B$1,1)+1,4)</f>
        <v>2011</v>
      </c>
      <c r="B222" s="2455" t="s">
        <v>330</v>
      </c>
      <c r="C222" s="2455" t="s">
        <v>395</v>
      </c>
      <c r="E222" s="2455" t="s">
        <v>14</v>
      </c>
      <c r="F222" s="2455" t="s">
        <v>2194</v>
      </c>
      <c r="G222" s="2456">
        <f>Summary!D128</f>
        <v>0</v>
      </c>
      <c r="H222" s="2455"/>
      <c r="I222" s="2455"/>
      <c r="J222" s="2455"/>
      <c r="K222" s="2455"/>
      <c r="L222" s="2455"/>
      <c r="M222" s="2455"/>
      <c r="N222" s="2455"/>
      <c r="O222" s="2455"/>
      <c r="P222" s="2455"/>
      <c r="Q222" s="2455"/>
      <c r="R222" s="2455"/>
      <c r="S222" s="2455"/>
      <c r="T222" s="2455"/>
      <c r="U222" s="2455"/>
      <c r="V222" s="2455"/>
      <c r="W222" s="2455"/>
      <c r="X222" s="2455"/>
      <c r="Y222" s="2455"/>
      <c r="Z222" s="2455"/>
    </row>
    <row r="223" spans="1:26" ht="12" x14ac:dyDescent="0.2">
      <c r="A223" s="2455" t="str">
        <f>MID(Summary!$B$1,FIND(" ",Summary!$B$1,1)+1,4)</f>
        <v>2011</v>
      </c>
      <c r="B223" s="2455" t="s">
        <v>330</v>
      </c>
      <c r="C223" s="2455" t="s">
        <v>395</v>
      </c>
      <c r="E223" s="2455" t="s">
        <v>2198</v>
      </c>
      <c r="F223" s="2455" t="s">
        <v>2194</v>
      </c>
      <c r="G223" s="2456">
        <f>Summary!D129</f>
        <v>0</v>
      </c>
      <c r="H223" s="2455"/>
      <c r="I223" s="2455"/>
      <c r="J223" s="2455"/>
      <c r="K223" s="2455"/>
      <c r="L223" s="2455"/>
      <c r="M223" s="2455"/>
      <c r="N223" s="2455"/>
      <c r="O223" s="2455"/>
      <c r="P223" s="2455"/>
      <c r="Q223" s="2455"/>
      <c r="R223" s="2455"/>
      <c r="S223" s="2455"/>
      <c r="T223" s="2455"/>
      <c r="U223" s="2455"/>
      <c r="V223" s="2455"/>
      <c r="W223" s="2455"/>
      <c r="X223" s="2455"/>
      <c r="Y223" s="2455"/>
      <c r="Z223" s="2455"/>
    </row>
    <row r="224" spans="1:26" ht="12" x14ac:dyDescent="0.2">
      <c r="A224" s="2455" t="str">
        <f>MID(Summary!$B$1,FIND(" ",Summary!$B$1,1)+1,4)</f>
        <v>2011</v>
      </c>
      <c r="B224" s="2455" t="s">
        <v>406</v>
      </c>
      <c r="C224" s="2455" t="s">
        <v>410</v>
      </c>
      <c r="D224" s="2458"/>
      <c r="E224" s="2455" t="s">
        <v>3</v>
      </c>
      <c r="F224" s="2455" t="s">
        <v>2192</v>
      </c>
      <c r="G224" s="2456">
        <f>Summary!E132</f>
        <v>0</v>
      </c>
      <c r="J224" s="2455"/>
      <c r="K224" s="2455"/>
      <c r="L224" s="2455"/>
      <c r="M224" s="2455"/>
      <c r="N224" s="2455"/>
      <c r="O224" s="2455"/>
      <c r="P224" s="2455"/>
      <c r="Q224" s="2455"/>
      <c r="R224" s="2455"/>
      <c r="S224" s="2455"/>
      <c r="T224" s="2455"/>
      <c r="U224" s="2455"/>
      <c r="V224" s="2455"/>
      <c r="W224" s="2455"/>
      <c r="X224" s="2455"/>
      <c r="Y224" s="2455"/>
      <c r="Z224" s="2455"/>
    </row>
    <row r="225" spans="1:26" ht="12" x14ac:dyDescent="0.2">
      <c r="A225" s="2455" t="str">
        <f>MID(Summary!$B$1,FIND(" ",Summary!$B$1,1)+1,4)</f>
        <v>2011</v>
      </c>
      <c r="B225" s="2455" t="s">
        <v>406</v>
      </c>
      <c r="C225" s="2455" t="s">
        <v>410</v>
      </c>
      <c r="D225" s="2458"/>
      <c r="E225" s="2455" t="s">
        <v>14</v>
      </c>
      <c r="F225" s="2455" t="s">
        <v>2192</v>
      </c>
      <c r="G225" s="2456">
        <f>Summary!E133</f>
        <v>0.49405535129442291</v>
      </c>
      <c r="J225" s="2455"/>
      <c r="K225" s="2455"/>
      <c r="L225" s="2455"/>
      <c r="M225" s="2455"/>
      <c r="N225" s="2455"/>
      <c r="O225" s="2455"/>
      <c r="P225" s="2455"/>
      <c r="Q225" s="2455"/>
      <c r="R225" s="2455"/>
      <c r="S225" s="2455"/>
      <c r="T225" s="2455"/>
      <c r="U225" s="2455"/>
      <c r="V225" s="2455"/>
      <c r="W225" s="2455"/>
      <c r="X225" s="2455"/>
      <c r="Y225" s="2455"/>
      <c r="Z225" s="2455"/>
    </row>
    <row r="226" spans="1:26" ht="12" x14ac:dyDescent="0.2">
      <c r="A226" s="2455" t="str">
        <f>MID(Summary!$B$1,FIND(" ",Summary!$B$1,1)+1,4)</f>
        <v>2011</v>
      </c>
      <c r="B226" s="2455" t="s">
        <v>406</v>
      </c>
      <c r="C226" s="2455" t="s">
        <v>410</v>
      </c>
      <c r="D226" s="2458"/>
      <c r="E226" s="2455" t="s">
        <v>18</v>
      </c>
      <c r="F226" s="2455" t="s">
        <v>2192</v>
      </c>
      <c r="G226" s="2456">
        <f>Summary!E134</f>
        <v>0</v>
      </c>
      <c r="J226" s="2455"/>
      <c r="K226" s="2455"/>
      <c r="L226" s="2455"/>
      <c r="M226" s="2455"/>
      <c r="N226" s="2455"/>
      <c r="O226" s="2455"/>
      <c r="P226" s="2455"/>
      <c r="Q226" s="2455"/>
      <c r="R226" s="2455"/>
      <c r="S226" s="2455"/>
      <c r="T226" s="2455"/>
      <c r="U226" s="2455"/>
      <c r="V226" s="2455"/>
      <c r="W226" s="2455"/>
      <c r="X226" s="2455"/>
      <c r="Y226" s="2455"/>
      <c r="Z226" s="2455"/>
    </row>
    <row r="227" spans="1:26" ht="12" x14ac:dyDescent="0.2">
      <c r="A227" s="2455" t="str">
        <f>MID(Summary!$B$1,FIND(" ",Summary!$B$1,1)+1,4)</f>
        <v>2011</v>
      </c>
      <c r="B227" s="2455" t="s">
        <v>406</v>
      </c>
      <c r="C227" s="2455" t="s">
        <v>428</v>
      </c>
      <c r="D227" s="2458"/>
      <c r="E227" s="2455" t="s">
        <v>3</v>
      </c>
      <c r="F227" s="2455" t="s">
        <v>2192</v>
      </c>
      <c r="G227" s="2456">
        <f>Summary!E136</f>
        <v>0</v>
      </c>
      <c r="J227" s="2455"/>
      <c r="K227" s="2455"/>
      <c r="L227" s="2455"/>
      <c r="M227" s="2455"/>
      <c r="N227" s="2455"/>
      <c r="O227" s="2455"/>
      <c r="P227" s="2455"/>
      <c r="Q227" s="2455"/>
      <c r="R227" s="2455"/>
      <c r="S227" s="2455"/>
      <c r="T227" s="2455"/>
      <c r="U227" s="2455"/>
      <c r="V227" s="2455"/>
      <c r="W227" s="2455"/>
      <c r="X227" s="2455"/>
      <c r="Y227" s="2455"/>
      <c r="Z227" s="2455"/>
    </row>
    <row r="228" spans="1:26" ht="12" x14ac:dyDescent="0.2">
      <c r="A228" s="2455" t="str">
        <f>MID(Summary!$B$1,FIND(" ",Summary!$B$1,1)+1,4)</f>
        <v>2011</v>
      </c>
      <c r="B228" s="2455" t="s">
        <v>406</v>
      </c>
      <c r="C228" s="2455" t="s">
        <v>428</v>
      </c>
      <c r="D228" s="2458"/>
      <c r="E228" s="2455" t="s">
        <v>14</v>
      </c>
      <c r="F228" s="2455" t="s">
        <v>2192</v>
      </c>
      <c r="G228" s="2456">
        <f>Summary!E137</f>
        <v>0.12525720814322211</v>
      </c>
      <c r="J228" s="2455"/>
      <c r="K228" s="2455"/>
      <c r="L228" s="2455"/>
      <c r="M228" s="2455"/>
      <c r="N228" s="2455"/>
      <c r="O228" s="2455"/>
      <c r="P228" s="2455"/>
      <c r="Q228" s="2455"/>
      <c r="R228" s="2455"/>
      <c r="S228" s="2455"/>
      <c r="T228" s="2455"/>
      <c r="U228" s="2455"/>
      <c r="V228" s="2455"/>
      <c r="W228" s="2455"/>
      <c r="X228" s="2455"/>
      <c r="Y228" s="2455"/>
      <c r="Z228" s="2455"/>
    </row>
    <row r="229" spans="1:26" ht="12" x14ac:dyDescent="0.2">
      <c r="A229" s="2455" t="str">
        <f>MID(Summary!$B$1,FIND(" ",Summary!$B$1,1)+1,4)</f>
        <v>2011</v>
      </c>
      <c r="B229" s="2455" t="s">
        <v>406</v>
      </c>
      <c r="C229" s="2455" t="s">
        <v>428</v>
      </c>
      <c r="D229" s="2458"/>
      <c r="E229" s="2455" t="s">
        <v>18</v>
      </c>
      <c r="F229" s="2455" t="s">
        <v>2192</v>
      </c>
      <c r="G229" s="2456">
        <f>Summary!E138</f>
        <v>0.20275359153400929</v>
      </c>
      <c r="J229" s="2455"/>
      <c r="K229" s="2455"/>
      <c r="L229" s="2455"/>
      <c r="M229" s="2455"/>
      <c r="N229" s="2455"/>
      <c r="O229" s="2455"/>
      <c r="P229" s="2455"/>
      <c r="Q229" s="2455"/>
      <c r="R229" s="2455"/>
      <c r="S229" s="2455"/>
      <c r="T229" s="2455"/>
      <c r="U229" s="2455"/>
      <c r="V229" s="2455"/>
      <c r="W229" s="2455"/>
      <c r="X229" s="2455"/>
      <c r="Y229" s="2455"/>
      <c r="Z229" s="2455"/>
    </row>
    <row r="230" spans="1:26" ht="12" x14ac:dyDescent="0.2">
      <c r="A230" s="2455" t="str">
        <f>MID(Summary!$B$1,FIND(" ",Summary!$B$1,1)+1,4)</f>
        <v>2011</v>
      </c>
      <c r="B230" s="2455" t="s">
        <v>406</v>
      </c>
      <c r="C230" s="2455" t="s">
        <v>445</v>
      </c>
      <c r="D230" s="2458"/>
      <c r="E230" s="2455" t="s">
        <v>3</v>
      </c>
      <c r="F230" s="2455" t="s">
        <v>2192</v>
      </c>
      <c r="G230" s="2456">
        <f>Summary!E140</f>
        <v>0</v>
      </c>
      <c r="J230" s="2455"/>
      <c r="K230" s="2455"/>
      <c r="L230" s="2455"/>
      <c r="M230" s="2455"/>
      <c r="N230" s="2455"/>
      <c r="O230" s="2455"/>
      <c r="P230" s="2455"/>
      <c r="Q230" s="2455"/>
      <c r="R230" s="2455"/>
      <c r="S230" s="2455"/>
      <c r="T230" s="2455"/>
      <c r="U230" s="2455"/>
      <c r="V230" s="2455"/>
      <c r="W230" s="2455"/>
      <c r="X230" s="2455"/>
      <c r="Y230" s="2455"/>
      <c r="Z230" s="2455"/>
    </row>
    <row r="231" spans="1:26" ht="12" x14ac:dyDescent="0.2">
      <c r="A231" s="2455" t="str">
        <f>MID(Summary!$B$1,FIND(" ",Summary!$B$1,1)+1,4)</f>
        <v>2011</v>
      </c>
      <c r="B231" s="2455" t="s">
        <v>406</v>
      </c>
      <c r="C231" s="2455" t="s">
        <v>445</v>
      </c>
      <c r="D231" s="2458"/>
      <c r="E231" s="2455" t="s">
        <v>14</v>
      </c>
      <c r="F231" s="2455" t="s">
        <v>2192</v>
      </c>
      <c r="G231" s="2456">
        <f>Summary!E141</f>
        <v>0</v>
      </c>
      <c r="J231" s="2455"/>
      <c r="K231" s="2455"/>
      <c r="L231" s="2455"/>
      <c r="M231" s="2455"/>
      <c r="N231" s="2455"/>
      <c r="O231" s="2455"/>
      <c r="P231" s="2455"/>
      <c r="Q231" s="2455"/>
      <c r="R231" s="2455"/>
      <c r="S231" s="2455"/>
      <c r="T231" s="2455"/>
      <c r="U231" s="2455"/>
      <c r="V231" s="2455"/>
      <c r="W231" s="2455"/>
      <c r="X231" s="2455"/>
      <c r="Y231" s="2455"/>
      <c r="Z231" s="2455"/>
    </row>
    <row r="232" spans="1:26" ht="12" x14ac:dyDescent="0.2">
      <c r="A232" s="2455" t="str">
        <f>MID(Summary!$B$1,FIND(" ",Summary!$B$1,1)+1,4)</f>
        <v>2011</v>
      </c>
      <c r="B232" s="2455" t="s">
        <v>406</v>
      </c>
      <c r="C232" s="2455" t="s">
        <v>445</v>
      </c>
      <c r="D232" s="2458"/>
      <c r="E232" s="2455" t="s">
        <v>18</v>
      </c>
      <c r="F232" s="2455" t="s">
        <v>2192</v>
      </c>
      <c r="G232" s="2456">
        <f>Summary!E142</f>
        <v>0.84025638367625888</v>
      </c>
      <c r="J232" s="2455"/>
      <c r="K232" s="2455"/>
      <c r="L232" s="2455"/>
      <c r="M232" s="2455"/>
      <c r="N232" s="2455"/>
      <c r="O232" s="2455"/>
      <c r="P232" s="2455"/>
      <c r="Q232" s="2455"/>
      <c r="R232" s="2455"/>
      <c r="S232" s="2455"/>
      <c r="T232" s="2455"/>
      <c r="U232" s="2455"/>
      <c r="V232" s="2455"/>
      <c r="W232" s="2455"/>
      <c r="X232" s="2455"/>
      <c r="Y232" s="2455"/>
      <c r="Z232" s="2455"/>
    </row>
    <row r="233" spans="1:26" ht="12" x14ac:dyDescent="0.2">
      <c r="A233" s="2455" t="str">
        <f>MID(Summary!$B$1,FIND(" ",Summary!$B$1,1)+1,4)</f>
        <v>2011</v>
      </c>
      <c r="B233" s="2455" t="s">
        <v>406</v>
      </c>
      <c r="C233" s="2455" t="s">
        <v>456</v>
      </c>
      <c r="D233" s="2458"/>
      <c r="E233" s="2455" t="s">
        <v>3</v>
      </c>
      <c r="F233" s="2455" t="s">
        <v>2192</v>
      </c>
      <c r="G233" s="2456">
        <f>Summary!E144</f>
        <v>0</v>
      </c>
      <c r="J233" s="2455"/>
      <c r="K233" s="2455"/>
      <c r="L233" s="2455"/>
      <c r="M233" s="2455"/>
      <c r="N233" s="2455"/>
      <c r="O233" s="2455"/>
      <c r="P233" s="2455"/>
      <c r="Q233" s="2455"/>
      <c r="R233" s="2455"/>
      <c r="S233" s="2455"/>
      <c r="T233" s="2455"/>
      <c r="U233" s="2455"/>
      <c r="V233" s="2455"/>
      <c r="W233" s="2455"/>
      <c r="X233" s="2455"/>
      <c r="Y233" s="2455"/>
      <c r="Z233" s="2455"/>
    </row>
    <row r="234" spans="1:26" ht="12" x14ac:dyDescent="0.2">
      <c r="A234" s="2455" t="str">
        <f>MID(Summary!$B$1,FIND(" ",Summary!$B$1,1)+1,4)</f>
        <v>2011</v>
      </c>
      <c r="B234" s="2455" t="s">
        <v>406</v>
      </c>
      <c r="C234" s="2455" t="s">
        <v>456</v>
      </c>
      <c r="D234" s="2458"/>
      <c r="E234" s="2455" t="s">
        <v>14</v>
      </c>
      <c r="F234" s="2455" t="s">
        <v>2192</v>
      </c>
      <c r="G234" s="2456">
        <f>Summary!E145</f>
        <v>5.022526653855176E-3</v>
      </c>
      <c r="J234" s="2455"/>
      <c r="K234" s="2455"/>
      <c r="L234" s="2455"/>
      <c r="M234" s="2455"/>
      <c r="N234" s="2455"/>
      <c r="O234" s="2455"/>
      <c r="P234" s="2455"/>
      <c r="Q234" s="2455"/>
      <c r="R234" s="2455"/>
      <c r="S234" s="2455"/>
      <c r="T234" s="2455"/>
      <c r="U234" s="2455"/>
      <c r="V234" s="2455"/>
      <c r="W234" s="2455"/>
      <c r="X234" s="2455"/>
      <c r="Y234" s="2455"/>
      <c r="Z234" s="2455"/>
    </row>
    <row r="235" spans="1:26" ht="12" x14ac:dyDescent="0.2">
      <c r="A235" s="2455" t="str">
        <f>MID(Summary!$B$1,FIND(" ",Summary!$B$1,1)+1,4)</f>
        <v>2011</v>
      </c>
      <c r="B235" s="2455" t="s">
        <v>406</v>
      </c>
      <c r="C235" s="2455" t="s">
        <v>456</v>
      </c>
      <c r="D235" s="2458"/>
      <c r="E235" s="2455" t="s">
        <v>18</v>
      </c>
      <c r="F235" s="2455" t="s">
        <v>2192</v>
      </c>
      <c r="G235" s="2456">
        <f>Summary!E146</f>
        <v>2.2012101102613876E-3</v>
      </c>
      <c r="J235" s="2455"/>
      <c r="K235" s="2455"/>
      <c r="L235" s="2455"/>
      <c r="M235" s="2455"/>
      <c r="N235" s="2455"/>
      <c r="O235" s="2455"/>
      <c r="P235" s="2455"/>
      <c r="Q235" s="2455"/>
      <c r="R235" s="2455"/>
      <c r="S235" s="2455"/>
      <c r="T235" s="2455"/>
      <c r="U235" s="2455"/>
      <c r="V235" s="2455"/>
      <c r="W235" s="2455"/>
      <c r="X235" s="2455"/>
      <c r="Y235" s="2455"/>
      <c r="Z235" s="2455"/>
    </row>
    <row r="236" spans="1:26" ht="12" x14ac:dyDescent="0.2">
      <c r="A236" s="2455" t="str">
        <f>MID(Summary!$B$1,FIND(" ",Summary!$B$1,1)+1,4)</f>
        <v>2011</v>
      </c>
      <c r="B236" s="2455" t="s">
        <v>406</v>
      </c>
      <c r="C236" s="2455" t="s">
        <v>472</v>
      </c>
      <c r="D236" s="2458"/>
      <c r="E236" s="2455" t="s">
        <v>3</v>
      </c>
      <c r="F236" s="2455" t="s">
        <v>2192</v>
      </c>
      <c r="G236" s="2456">
        <f>Summary!E148</f>
        <v>0.11012606</v>
      </c>
      <c r="J236" s="2455"/>
      <c r="K236" s="2455"/>
      <c r="L236" s="2455"/>
      <c r="M236" s="2455"/>
      <c r="N236" s="2455"/>
      <c r="O236" s="2455"/>
      <c r="P236" s="2455"/>
      <c r="Q236" s="2455"/>
      <c r="R236" s="2455"/>
      <c r="S236" s="2455"/>
      <c r="T236" s="2455"/>
      <c r="U236" s="2455"/>
      <c r="V236" s="2455"/>
      <c r="W236" s="2455"/>
      <c r="X236" s="2455"/>
      <c r="Y236" s="2455"/>
      <c r="Z236" s="2455"/>
    </row>
    <row r="237" spans="1:26" ht="12" x14ac:dyDescent="0.2">
      <c r="A237" s="2455" t="str">
        <f>MID(Summary!$B$1,FIND(" ",Summary!$B$1,1)+1,4)</f>
        <v>2011</v>
      </c>
      <c r="B237" s="2455" t="s">
        <v>406</v>
      </c>
      <c r="C237" s="2455" t="s">
        <v>472</v>
      </c>
      <c r="D237" s="2458"/>
      <c r="E237" s="2455" t="s">
        <v>14</v>
      </c>
      <c r="F237" s="2455" t="s">
        <v>2192</v>
      </c>
      <c r="G237" s="2456">
        <f>Summary!E149</f>
        <v>0</v>
      </c>
      <c r="J237" s="2455"/>
      <c r="K237" s="2455"/>
      <c r="L237" s="2455"/>
      <c r="M237" s="2455"/>
      <c r="N237" s="2455"/>
      <c r="O237" s="2455"/>
      <c r="P237" s="2455"/>
      <c r="Q237" s="2455"/>
      <c r="R237" s="2455"/>
      <c r="S237" s="2455"/>
      <c r="T237" s="2455"/>
      <c r="U237" s="2455"/>
      <c r="V237" s="2455"/>
      <c r="W237" s="2455"/>
      <c r="X237" s="2455"/>
      <c r="Y237" s="2455"/>
      <c r="Z237" s="2455"/>
    </row>
    <row r="238" spans="1:26" ht="12" x14ac:dyDescent="0.2">
      <c r="A238" s="2455" t="str">
        <f>MID(Summary!$B$1,FIND(" ",Summary!$B$1,1)+1,4)</f>
        <v>2011</v>
      </c>
      <c r="B238" s="2455" t="s">
        <v>406</v>
      </c>
      <c r="C238" s="2455" t="s">
        <v>472</v>
      </c>
      <c r="D238" s="2458"/>
      <c r="E238" s="2455" t="s">
        <v>18</v>
      </c>
      <c r="F238" s="2455" t="s">
        <v>2192</v>
      </c>
      <c r="G238" s="2456">
        <f>Summary!E150</f>
        <v>0</v>
      </c>
      <c r="J238" s="2455"/>
      <c r="K238" s="2455"/>
      <c r="L238" s="2455"/>
      <c r="M238" s="2455"/>
      <c r="N238" s="2455"/>
      <c r="O238" s="2455"/>
      <c r="P238" s="2455"/>
      <c r="Q238" s="2455"/>
      <c r="R238" s="2455"/>
      <c r="S238" s="2455"/>
      <c r="T238" s="2455"/>
      <c r="U238" s="2455"/>
      <c r="V238" s="2455"/>
      <c r="W238" s="2455"/>
      <c r="X238" s="2455"/>
      <c r="Y238" s="2455"/>
      <c r="Z238" s="2455"/>
    </row>
    <row r="239" spans="1:26" ht="12" x14ac:dyDescent="0.2">
      <c r="A239" s="2455" t="str">
        <f>MID(Summary!$B$1,FIND(" ",Summary!$B$1,1)+1,4)</f>
        <v>2011</v>
      </c>
      <c r="B239" s="2455" t="s">
        <v>406</v>
      </c>
      <c r="C239" s="2455" t="s">
        <v>410</v>
      </c>
      <c r="D239" s="2458"/>
      <c r="E239" s="2455" t="s">
        <v>3</v>
      </c>
      <c r="F239" s="2455" t="s">
        <v>2194</v>
      </c>
      <c r="G239" s="2456">
        <f>Summary!D132</f>
        <v>0</v>
      </c>
      <c r="H239" s="2455"/>
      <c r="I239" s="2455"/>
      <c r="J239" s="2455"/>
      <c r="K239" s="2455"/>
      <c r="L239" s="2455"/>
      <c r="M239" s="2455"/>
      <c r="N239" s="2455"/>
      <c r="O239" s="2455"/>
      <c r="P239" s="2455"/>
      <c r="Q239" s="2455"/>
      <c r="R239" s="2455"/>
      <c r="S239" s="2455"/>
      <c r="T239" s="2455"/>
      <c r="U239" s="2455"/>
      <c r="V239" s="2455"/>
      <c r="W239" s="2455"/>
      <c r="X239" s="2455"/>
      <c r="Y239" s="2455"/>
      <c r="Z239" s="2455"/>
    </row>
    <row r="240" spans="1:26" ht="12" x14ac:dyDescent="0.2">
      <c r="A240" s="2455" t="str">
        <f>MID(Summary!$B$1,FIND(" ",Summary!$B$1,1)+1,4)</f>
        <v>2011</v>
      </c>
      <c r="B240" s="2455" t="s">
        <v>406</v>
      </c>
      <c r="C240" s="2455" t="s">
        <v>410</v>
      </c>
      <c r="D240" s="2458"/>
      <c r="E240" s="2455" t="s">
        <v>14</v>
      </c>
      <c r="F240" s="2455" t="s">
        <v>2194</v>
      </c>
      <c r="G240" s="2456">
        <f>Summary!D133</f>
        <v>1.4378958611149513</v>
      </c>
      <c r="H240" s="2455"/>
      <c r="I240" s="2455"/>
      <c r="J240" s="2455"/>
      <c r="K240" s="2455"/>
      <c r="L240" s="2455"/>
      <c r="M240" s="2455"/>
      <c r="N240" s="2455"/>
      <c r="O240" s="2455"/>
      <c r="P240" s="2455"/>
      <c r="Q240" s="2455"/>
      <c r="R240" s="2455"/>
      <c r="S240" s="2455"/>
      <c r="T240" s="2455"/>
      <c r="U240" s="2455"/>
      <c r="V240" s="2455"/>
      <c r="W240" s="2455"/>
      <c r="X240" s="2455"/>
      <c r="Y240" s="2455"/>
      <c r="Z240" s="2455"/>
    </row>
    <row r="241" spans="1:26" ht="12" x14ac:dyDescent="0.2">
      <c r="A241" s="2455" t="str">
        <f>MID(Summary!$B$1,FIND(" ",Summary!$B$1,1)+1,4)</f>
        <v>2011</v>
      </c>
      <c r="B241" s="2455" t="s">
        <v>406</v>
      </c>
      <c r="C241" s="2455" t="s">
        <v>410</v>
      </c>
      <c r="D241" s="2458"/>
      <c r="E241" s="2455" t="s">
        <v>18</v>
      </c>
      <c r="F241" s="2455" t="s">
        <v>2194</v>
      </c>
      <c r="G241" s="2456">
        <f>Summary!D134</f>
        <v>0</v>
      </c>
      <c r="H241" s="2455"/>
      <c r="I241" s="2455"/>
      <c r="J241" s="2455"/>
      <c r="K241" s="2455"/>
      <c r="L241" s="2455"/>
      <c r="M241" s="2455"/>
      <c r="N241" s="2455"/>
      <c r="O241" s="2455"/>
      <c r="P241" s="2455"/>
      <c r="Q241" s="2455"/>
      <c r="R241" s="2455"/>
      <c r="S241" s="2455"/>
      <c r="T241" s="2455"/>
      <c r="U241" s="2455"/>
      <c r="V241" s="2455"/>
      <c r="W241" s="2455"/>
      <c r="X241" s="2455"/>
      <c r="Y241" s="2455"/>
      <c r="Z241" s="2455"/>
    </row>
    <row r="242" spans="1:26" ht="12" x14ac:dyDescent="0.2">
      <c r="A242" s="2455" t="str">
        <f>MID(Summary!$B$1,FIND(" ",Summary!$B$1,1)+1,4)</f>
        <v>2011</v>
      </c>
      <c r="B242" s="2455" t="s">
        <v>406</v>
      </c>
      <c r="C242" s="2455" t="s">
        <v>428</v>
      </c>
      <c r="D242" s="2458"/>
      <c r="E242" s="2455" t="s">
        <v>3</v>
      </c>
      <c r="F242" s="2455" t="s">
        <v>2194</v>
      </c>
      <c r="G242" s="2456">
        <f>Summary!D136</f>
        <v>0</v>
      </c>
      <c r="H242" s="2455"/>
      <c r="I242" s="2455"/>
      <c r="J242" s="2455"/>
      <c r="K242" s="2455"/>
      <c r="L242" s="2455"/>
      <c r="M242" s="2455"/>
      <c r="N242" s="2455"/>
      <c r="O242" s="2455"/>
      <c r="P242" s="2455"/>
      <c r="Q242" s="2455"/>
      <c r="R242" s="2455"/>
      <c r="S242" s="2455"/>
      <c r="T242" s="2455"/>
      <c r="U242" s="2455"/>
      <c r="V242" s="2455"/>
      <c r="W242" s="2455"/>
      <c r="X242" s="2455"/>
      <c r="Y242" s="2455"/>
      <c r="Z242" s="2455"/>
    </row>
    <row r="243" spans="1:26" ht="12" x14ac:dyDescent="0.2">
      <c r="A243" s="2455" t="str">
        <f>MID(Summary!$B$1,FIND(" ",Summary!$B$1,1)+1,4)</f>
        <v>2011</v>
      </c>
      <c r="B243" s="2455" t="s">
        <v>406</v>
      </c>
      <c r="C243" s="2455" t="s">
        <v>428</v>
      </c>
      <c r="D243" s="2458"/>
      <c r="E243" s="2455" t="s">
        <v>14</v>
      </c>
      <c r="F243" s="2455" t="s">
        <v>2194</v>
      </c>
      <c r="G243" s="2456">
        <f>Summary!D137</f>
        <v>0.36454786025912678</v>
      </c>
      <c r="H243" s="2455"/>
      <c r="I243" s="2455"/>
      <c r="J243" s="2455"/>
      <c r="K243" s="2455"/>
      <c r="L243" s="2455"/>
      <c r="M243" s="2455"/>
      <c r="N243" s="2455"/>
      <c r="O243" s="2455"/>
      <c r="P243" s="2455"/>
      <c r="Q243" s="2455"/>
      <c r="R243" s="2455"/>
      <c r="S243" s="2455"/>
      <c r="T243" s="2455"/>
      <c r="U243" s="2455"/>
      <c r="V243" s="2455"/>
      <c r="W243" s="2455"/>
      <c r="X243" s="2455"/>
      <c r="Y243" s="2455"/>
      <c r="Z243" s="2455"/>
    </row>
    <row r="244" spans="1:26" ht="12" x14ac:dyDescent="0.2">
      <c r="A244" s="2455" t="str">
        <f>MID(Summary!$B$1,FIND(" ",Summary!$B$1,1)+1,4)</f>
        <v>2011</v>
      </c>
      <c r="B244" s="2455" t="s">
        <v>406</v>
      </c>
      <c r="C244" s="2455" t="s">
        <v>428</v>
      </c>
      <c r="D244" s="2458"/>
      <c r="E244" s="2455" t="s">
        <v>18</v>
      </c>
      <c r="F244" s="2455" t="s">
        <v>2194</v>
      </c>
      <c r="G244" s="2456">
        <f>Summary!D138</f>
        <v>0.20275359153400929</v>
      </c>
      <c r="H244" s="2455"/>
      <c r="I244" s="2455"/>
      <c r="J244" s="2455"/>
      <c r="K244" s="2455"/>
      <c r="L244" s="2455"/>
      <c r="M244" s="2455"/>
      <c r="N244" s="2455"/>
      <c r="O244" s="2455"/>
      <c r="P244" s="2455"/>
      <c r="Q244" s="2455"/>
      <c r="R244" s="2455"/>
      <c r="S244" s="2455"/>
      <c r="T244" s="2455"/>
      <c r="U244" s="2455"/>
      <c r="V244" s="2455"/>
      <c r="W244" s="2455"/>
      <c r="X244" s="2455"/>
      <c r="Y244" s="2455"/>
      <c r="Z244" s="2455"/>
    </row>
    <row r="245" spans="1:26" ht="12" x14ac:dyDescent="0.2">
      <c r="A245" s="2455" t="str">
        <f>MID(Summary!$B$1,FIND(" ",Summary!$B$1,1)+1,4)</f>
        <v>2011</v>
      </c>
      <c r="B245" s="2455" t="s">
        <v>406</v>
      </c>
      <c r="C245" s="2455" t="s">
        <v>445</v>
      </c>
      <c r="D245" s="2458"/>
      <c r="E245" s="2455" t="s">
        <v>3</v>
      </c>
      <c r="F245" s="2455" t="s">
        <v>2194</v>
      </c>
      <c r="G245" s="2456">
        <f>Summary!D140</f>
        <v>0</v>
      </c>
      <c r="H245" s="2455"/>
      <c r="I245" s="2455"/>
      <c r="J245" s="2455"/>
      <c r="K245" s="2455"/>
      <c r="L245" s="2455"/>
      <c r="M245" s="2455"/>
      <c r="N245" s="2455"/>
      <c r="O245" s="2455"/>
      <c r="P245" s="2455"/>
      <c r="Q245" s="2455"/>
      <c r="R245" s="2455"/>
      <c r="S245" s="2455"/>
      <c r="T245" s="2455"/>
      <c r="U245" s="2455"/>
      <c r="V245" s="2455"/>
      <c r="W245" s="2455"/>
      <c r="X245" s="2455"/>
      <c r="Y245" s="2455"/>
      <c r="Z245" s="2455"/>
    </row>
    <row r="246" spans="1:26" ht="12" x14ac:dyDescent="0.2">
      <c r="A246" s="2455" t="str">
        <f>MID(Summary!$B$1,FIND(" ",Summary!$B$1,1)+1,4)</f>
        <v>2011</v>
      </c>
      <c r="B246" s="2455" t="s">
        <v>406</v>
      </c>
      <c r="C246" s="2455" t="s">
        <v>445</v>
      </c>
      <c r="D246" s="2458"/>
      <c r="E246" s="2455" t="s">
        <v>14</v>
      </c>
      <c r="F246" s="2455" t="s">
        <v>2194</v>
      </c>
      <c r="G246" s="2456">
        <f>Summary!D141</f>
        <v>0</v>
      </c>
      <c r="H246" s="2455"/>
      <c r="I246" s="2455"/>
      <c r="J246" s="2455"/>
      <c r="K246" s="2455"/>
      <c r="L246" s="2455"/>
      <c r="M246" s="2455"/>
      <c r="N246" s="2455"/>
      <c r="O246" s="2455"/>
      <c r="P246" s="2455"/>
      <c r="Q246" s="2455"/>
      <c r="R246" s="2455"/>
      <c r="S246" s="2455"/>
      <c r="T246" s="2455"/>
      <c r="U246" s="2455"/>
      <c r="V246" s="2455"/>
      <c r="W246" s="2455"/>
      <c r="X246" s="2455"/>
      <c r="Y246" s="2455"/>
      <c r="Z246" s="2455"/>
    </row>
    <row r="247" spans="1:26" ht="12" x14ac:dyDescent="0.2">
      <c r="A247" s="2455" t="str">
        <f>MID(Summary!$B$1,FIND(" ",Summary!$B$1,1)+1,4)</f>
        <v>2011</v>
      </c>
      <c r="B247" s="2455" t="s">
        <v>406</v>
      </c>
      <c r="C247" s="2455" t="s">
        <v>445</v>
      </c>
      <c r="D247" s="2458"/>
      <c r="E247" s="2455" t="s">
        <v>18</v>
      </c>
      <c r="F247" s="2455" t="s">
        <v>2194</v>
      </c>
      <c r="G247" s="2456">
        <f>Summary!D142</f>
        <v>0.84025638367625888</v>
      </c>
      <c r="J247" s="2455"/>
      <c r="K247" s="2455"/>
      <c r="L247" s="2455"/>
      <c r="M247" s="2455"/>
      <c r="N247" s="2455"/>
      <c r="O247" s="2455"/>
      <c r="P247" s="2455"/>
      <c r="Q247" s="2455"/>
      <c r="R247" s="2455"/>
      <c r="S247" s="2455"/>
      <c r="T247" s="2455"/>
      <c r="U247" s="2455"/>
      <c r="V247" s="2455"/>
      <c r="W247" s="2455"/>
      <c r="X247" s="2455"/>
      <c r="Y247" s="2455"/>
      <c r="Z247" s="2455"/>
    </row>
    <row r="248" spans="1:26" ht="12" x14ac:dyDescent="0.2">
      <c r="A248" s="2455" t="str">
        <f>MID(Summary!$B$1,FIND(" ",Summary!$B$1,1)+1,4)</f>
        <v>2011</v>
      </c>
      <c r="B248" s="2455" t="s">
        <v>406</v>
      </c>
      <c r="C248" s="2455" t="s">
        <v>456</v>
      </c>
      <c r="D248" s="2458"/>
      <c r="E248" s="2455" t="s">
        <v>3</v>
      </c>
      <c r="F248" s="2455" t="s">
        <v>2194</v>
      </c>
      <c r="G248" s="2456">
        <f>Summary!D144</f>
        <v>0</v>
      </c>
      <c r="H248" s="2455"/>
      <c r="I248" s="2455"/>
      <c r="J248" s="2455"/>
      <c r="K248" s="2455"/>
      <c r="L248" s="2455"/>
      <c r="M248" s="2455"/>
      <c r="N248" s="2455"/>
      <c r="O248" s="2455"/>
      <c r="P248" s="2455"/>
      <c r="Q248" s="2455"/>
      <c r="R248" s="2455"/>
      <c r="S248" s="2455"/>
      <c r="T248" s="2455"/>
      <c r="U248" s="2455"/>
      <c r="V248" s="2455"/>
      <c r="W248" s="2455"/>
      <c r="X248" s="2455"/>
      <c r="Y248" s="2455"/>
      <c r="Z248" s="2455"/>
    </row>
    <row r="249" spans="1:26" ht="12" x14ac:dyDescent="0.2">
      <c r="A249" s="2455" t="str">
        <f>MID(Summary!$B$1,FIND(" ",Summary!$B$1,1)+1,4)</f>
        <v>2011</v>
      </c>
      <c r="B249" s="2455" t="s">
        <v>406</v>
      </c>
      <c r="C249" s="2455" t="s">
        <v>456</v>
      </c>
      <c r="D249" s="2458"/>
      <c r="E249" s="2455" t="s">
        <v>14</v>
      </c>
      <c r="F249" s="2455" t="s">
        <v>2194</v>
      </c>
      <c r="G249" s="2456">
        <f>Summary!D145</f>
        <v>1.4617532770359867E-2</v>
      </c>
      <c r="H249" s="2455"/>
      <c r="I249" s="2455"/>
      <c r="J249" s="2455"/>
      <c r="K249" s="2455"/>
      <c r="L249" s="2455"/>
      <c r="M249" s="2455"/>
      <c r="N249" s="2455"/>
      <c r="O249" s="2455"/>
      <c r="P249" s="2455"/>
      <c r="Q249" s="2455"/>
      <c r="R249" s="2455"/>
      <c r="S249" s="2455"/>
      <c r="T249" s="2455"/>
      <c r="U249" s="2455"/>
      <c r="V249" s="2455"/>
      <c r="W249" s="2455"/>
      <c r="X249" s="2455"/>
      <c r="Y249" s="2455"/>
      <c r="Z249" s="2455"/>
    </row>
    <row r="250" spans="1:26" ht="12" x14ac:dyDescent="0.2">
      <c r="A250" s="2455" t="str">
        <f>MID(Summary!$B$1,FIND(" ",Summary!$B$1,1)+1,4)</f>
        <v>2011</v>
      </c>
      <c r="B250" s="2455" t="s">
        <v>406</v>
      </c>
      <c r="C250" s="2455" t="s">
        <v>456</v>
      </c>
      <c r="D250" s="2458"/>
      <c r="E250" s="2455" t="s">
        <v>18</v>
      </c>
      <c r="F250" s="2455" t="s">
        <v>2194</v>
      </c>
      <c r="G250" s="2456">
        <f>Summary!D146</f>
        <v>2.2012101102613876E-3</v>
      </c>
      <c r="H250" s="2455"/>
      <c r="I250" s="2455"/>
      <c r="J250" s="2455"/>
      <c r="K250" s="2455"/>
      <c r="L250" s="2455"/>
      <c r="M250" s="2455"/>
      <c r="N250" s="2455"/>
      <c r="O250" s="2455"/>
      <c r="P250" s="2455"/>
      <c r="Q250" s="2455"/>
      <c r="R250" s="2455"/>
      <c r="S250" s="2455"/>
      <c r="T250" s="2455"/>
      <c r="U250" s="2455"/>
      <c r="V250" s="2455"/>
      <c r="W250" s="2455"/>
      <c r="X250" s="2455"/>
      <c r="Y250" s="2455"/>
      <c r="Z250" s="2455"/>
    </row>
    <row r="251" spans="1:26" ht="12" x14ac:dyDescent="0.2">
      <c r="A251" s="2455" t="str">
        <f>MID(Summary!$B$1,FIND(" ",Summary!$B$1,1)+1,4)</f>
        <v>2011</v>
      </c>
      <c r="B251" s="2455" t="s">
        <v>406</v>
      </c>
      <c r="C251" s="2455" t="s">
        <v>472</v>
      </c>
      <c r="D251" s="2458"/>
      <c r="E251" s="2455" t="s">
        <v>3</v>
      </c>
      <c r="F251" s="2455" t="s">
        <v>2194</v>
      </c>
      <c r="G251" s="2456">
        <f>Summary!D148</f>
        <v>0.11012606</v>
      </c>
      <c r="H251" s="2455"/>
      <c r="I251" s="2455"/>
      <c r="J251" s="2455"/>
      <c r="K251" s="2455"/>
      <c r="L251" s="2455"/>
      <c r="M251" s="2455"/>
      <c r="N251" s="2455"/>
      <c r="O251" s="2455"/>
      <c r="P251" s="2455"/>
      <c r="Q251" s="2455"/>
      <c r="R251" s="2455"/>
      <c r="S251" s="2455"/>
      <c r="T251" s="2455"/>
      <c r="U251" s="2455"/>
      <c r="V251" s="2455"/>
      <c r="W251" s="2455"/>
      <c r="X251" s="2455"/>
      <c r="Y251" s="2455"/>
      <c r="Z251" s="2455"/>
    </row>
    <row r="252" spans="1:26" ht="12" x14ac:dyDescent="0.2">
      <c r="A252" s="2455" t="str">
        <f>MID(Summary!$B$1,FIND(" ",Summary!$B$1,1)+1,4)</f>
        <v>2011</v>
      </c>
      <c r="B252" s="2455" t="s">
        <v>406</v>
      </c>
      <c r="C252" s="2455" t="s">
        <v>472</v>
      </c>
      <c r="D252" s="2458"/>
      <c r="E252" s="2455" t="s">
        <v>14</v>
      </c>
      <c r="F252" s="2455" t="s">
        <v>2194</v>
      </c>
      <c r="G252" s="2456">
        <f>Summary!D149</f>
        <v>0</v>
      </c>
      <c r="H252" s="2455"/>
      <c r="I252" s="2455"/>
      <c r="J252" s="2455"/>
      <c r="K252" s="2455"/>
      <c r="L252" s="2455"/>
      <c r="M252" s="2455"/>
      <c r="N252" s="2455"/>
      <c r="O252" s="2455"/>
      <c r="P252" s="2455"/>
      <c r="Q252" s="2455"/>
      <c r="R252" s="2455"/>
      <c r="S252" s="2455"/>
      <c r="T252" s="2455"/>
      <c r="U252" s="2455"/>
      <c r="V252" s="2455"/>
      <c r="W252" s="2455"/>
      <c r="X252" s="2455"/>
      <c r="Y252" s="2455"/>
      <c r="Z252" s="2455"/>
    </row>
    <row r="253" spans="1:26" ht="12" x14ac:dyDescent="0.2">
      <c r="A253" s="2455" t="str">
        <f>MID(Summary!$B$1,FIND(" ",Summary!$B$1,1)+1,4)</f>
        <v>2011</v>
      </c>
      <c r="B253" s="2455" t="s">
        <v>406</v>
      </c>
      <c r="C253" s="2455" t="s">
        <v>472</v>
      </c>
      <c r="D253" s="2458"/>
      <c r="E253" s="2455" t="s">
        <v>18</v>
      </c>
      <c r="F253" s="2455" t="s">
        <v>2194</v>
      </c>
      <c r="G253" s="2456">
        <f>Summary!D150</f>
        <v>0</v>
      </c>
      <c r="H253" s="2455"/>
      <c r="I253" s="2455"/>
      <c r="J253" s="2455"/>
      <c r="K253" s="2455"/>
      <c r="L253" s="2455"/>
      <c r="M253" s="2455"/>
      <c r="N253" s="2455"/>
      <c r="O253" s="2455"/>
      <c r="P253" s="2455"/>
      <c r="Q253" s="2455"/>
      <c r="R253" s="2455"/>
      <c r="S253" s="2455"/>
      <c r="T253" s="2455"/>
      <c r="U253" s="2455"/>
      <c r="V253" s="2455"/>
      <c r="W253" s="2455"/>
      <c r="X253" s="2455"/>
      <c r="Y253" s="2455"/>
      <c r="Z253" s="2455"/>
    </row>
    <row r="254" spans="1:26" ht="12" x14ac:dyDescent="0.2">
      <c r="A254" s="2455" t="str">
        <f>MID(Summary!$B$1,FIND(" ",Summary!$B$1,1)+1,4)</f>
        <v>2011</v>
      </c>
      <c r="B254" s="2455" t="s">
        <v>483</v>
      </c>
      <c r="C254" s="2455" t="s">
        <v>486</v>
      </c>
      <c r="D254" s="2458"/>
      <c r="E254" s="2455" t="s">
        <v>3</v>
      </c>
      <c r="F254" s="2455" t="s">
        <v>2192</v>
      </c>
      <c r="G254" s="2456">
        <f>Summary!E153</f>
        <v>1.4294177546745599</v>
      </c>
      <c r="J254" s="2455"/>
      <c r="K254" s="2455"/>
      <c r="L254" s="2455"/>
      <c r="M254" s="2455"/>
      <c r="N254" s="2455"/>
      <c r="O254" s="2455"/>
      <c r="P254" s="2455"/>
      <c r="Q254" s="2455"/>
      <c r="R254" s="2455"/>
      <c r="S254" s="2455"/>
      <c r="T254" s="2455"/>
      <c r="U254" s="2455"/>
      <c r="V254" s="2455"/>
      <c r="W254" s="2455"/>
      <c r="X254" s="2455"/>
      <c r="Y254" s="2455"/>
      <c r="Z254" s="2455"/>
    </row>
    <row r="255" spans="1:26" ht="12" x14ac:dyDescent="0.2">
      <c r="A255" s="2455" t="str">
        <f>MID(Summary!$B$1,FIND(" ",Summary!$B$1,1)+1,4)</f>
        <v>2011</v>
      </c>
      <c r="B255" s="2455" t="s">
        <v>483</v>
      </c>
      <c r="C255" s="2455" t="s">
        <v>486</v>
      </c>
      <c r="D255" s="2458"/>
      <c r="E255" s="2455" t="s">
        <v>14</v>
      </c>
      <c r="F255" s="2455" t="s">
        <v>2192</v>
      </c>
      <c r="G255" s="2456">
        <f>Summary!E154</f>
        <v>2.472253344842438E-4</v>
      </c>
      <c r="J255" s="2455"/>
      <c r="K255" s="2455"/>
      <c r="L255" s="2455"/>
      <c r="M255" s="2455"/>
      <c r="N255" s="2455"/>
      <c r="O255" s="2455"/>
      <c r="P255" s="2455"/>
      <c r="Q255" s="2455"/>
      <c r="R255" s="2455"/>
      <c r="S255" s="2455"/>
      <c r="T255" s="2455"/>
      <c r="U255" s="2455"/>
      <c r="V255" s="2455"/>
      <c r="W255" s="2455"/>
      <c r="X255" s="2455"/>
      <c r="Y255" s="2455"/>
      <c r="Z255" s="2455"/>
    </row>
    <row r="256" spans="1:26" ht="12" x14ac:dyDescent="0.2">
      <c r="A256" s="2455" t="str">
        <f>MID(Summary!$B$1,FIND(" ",Summary!$B$1,1)+1,4)</f>
        <v>2011</v>
      </c>
      <c r="B256" s="2455" t="s">
        <v>483</v>
      </c>
      <c r="C256" s="2455" t="s">
        <v>486</v>
      </c>
      <c r="D256" s="2458"/>
      <c r="E256" s="2455" t="s">
        <v>18</v>
      </c>
      <c r="F256" s="2455" t="s">
        <v>2192</v>
      </c>
      <c r="G256" s="2456">
        <f>Summary!E155</f>
        <v>8.9468554069439994E-3</v>
      </c>
      <c r="J256" s="2455"/>
      <c r="K256" s="2455"/>
      <c r="L256" s="2455"/>
      <c r="M256" s="2455"/>
      <c r="N256" s="2455"/>
      <c r="O256" s="2455"/>
      <c r="P256" s="2455"/>
      <c r="Q256" s="2455"/>
      <c r="R256" s="2455"/>
      <c r="S256" s="2455"/>
      <c r="T256" s="2455"/>
      <c r="U256" s="2455"/>
      <c r="V256" s="2455"/>
      <c r="W256" s="2455"/>
      <c r="X256" s="2455"/>
      <c r="Y256" s="2455"/>
      <c r="Z256" s="2455"/>
    </row>
    <row r="257" spans="1:26" ht="12" x14ac:dyDescent="0.2">
      <c r="A257" s="2455" t="str">
        <f>MID(Summary!$B$1,FIND(" ",Summary!$B$1,1)+1,4)</f>
        <v>2011</v>
      </c>
      <c r="B257" s="2455" t="s">
        <v>483</v>
      </c>
      <c r="C257" s="2455" t="s">
        <v>502</v>
      </c>
      <c r="D257" s="2458"/>
      <c r="E257" s="2455" t="s">
        <v>3</v>
      </c>
      <c r="F257" s="2455" t="s">
        <v>2192</v>
      </c>
      <c r="G257" s="2456">
        <f>Summary!E157</f>
        <v>0.49521990366453977</v>
      </c>
      <c r="J257" s="2455"/>
      <c r="K257" s="2455"/>
      <c r="L257" s="2455"/>
      <c r="M257" s="2455"/>
      <c r="N257" s="2455"/>
      <c r="O257" s="2455"/>
      <c r="P257" s="2455"/>
      <c r="Q257" s="2455"/>
      <c r="R257" s="2455"/>
      <c r="S257" s="2455"/>
      <c r="T257" s="2455"/>
      <c r="U257" s="2455"/>
      <c r="V257" s="2455"/>
      <c r="W257" s="2455"/>
      <c r="X257" s="2455"/>
      <c r="Y257" s="2455"/>
      <c r="Z257" s="2455"/>
    </row>
    <row r="258" spans="1:26" ht="12" x14ac:dyDescent="0.2">
      <c r="A258" s="2455" t="str">
        <f>MID(Summary!$B$1,FIND(" ",Summary!$B$1,1)+1,4)</f>
        <v>2011</v>
      </c>
      <c r="B258" s="2455" t="s">
        <v>483</v>
      </c>
      <c r="C258" s="2455" t="s">
        <v>502</v>
      </c>
      <c r="D258" s="2458"/>
      <c r="E258" s="2455" t="s">
        <v>14</v>
      </c>
      <c r="F258" s="2455" t="s">
        <v>2192</v>
      </c>
      <c r="G258" s="2456">
        <f>Summary!E158</f>
        <v>1.9555357884914302</v>
      </c>
      <c r="J258" s="2455"/>
      <c r="K258" s="2455"/>
      <c r="L258" s="2455"/>
      <c r="M258" s="2455"/>
      <c r="N258" s="2455"/>
      <c r="O258" s="2455"/>
      <c r="P258" s="2455"/>
      <c r="Q258" s="2455"/>
      <c r="R258" s="2455"/>
      <c r="S258" s="2455"/>
      <c r="T258" s="2455"/>
      <c r="U258" s="2455"/>
      <c r="V258" s="2455"/>
      <c r="W258" s="2455"/>
      <c r="X258" s="2455"/>
      <c r="Y258" s="2455"/>
      <c r="Z258" s="2455"/>
    </row>
    <row r="259" spans="1:26" ht="12" x14ac:dyDescent="0.2">
      <c r="A259" s="2455" t="str">
        <f>MID(Summary!$B$1,FIND(" ",Summary!$B$1,1)+1,4)</f>
        <v>2011</v>
      </c>
      <c r="B259" s="2455" t="s">
        <v>483</v>
      </c>
      <c r="C259" s="2455" t="s">
        <v>502</v>
      </c>
      <c r="D259" s="2458"/>
      <c r="E259" s="2455" t="s">
        <v>18</v>
      </c>
      <c r="F259" s="2455" t="s">
        <v>2192</v>
      </c>
      <c r="G259" s="2456">
        <f>Summary!E159</f>
        <v>0</v>
      </c>
      <c r="J259" s="2455"/>
      <c r="K259" s="2455"/>
      <c r="L259" s="2455"/>
      <c r="M259" s="2455"/>
      <c r="N259" s="2455"/>
      <c r="O259" s="2455"/>
      <c r="P259" s="2455"/>
      <c r="Q259" s="2455"/>
      <c r="R259" s="2455"/>
      <c r="S259" s="2455"/>
      <c r="T259" s="2455"/>
      <c r="U259" s="2455"/>
      <c r="V259" s="2455"/>
      <c r="W259" s="2455"/>
      <c r="X259" s="2455"/>
      <c r="Y259" s="2455"/>
      <c r="Z259" s="2455"/>
    </row>
    <row r="260" spans="1:26" ht="12" x14ac:dyDescent="0.2">
      <c r="A260" s="2455" t="str">
        <f>MID(Summary!$B$1,FIND(" ",Summary!$B$1,1)+1,4)</f>
        <v>2011</v>
      </c>
      <c r="B260" s="2455" t="s">
        <v>483</v>
      </c>
      <c r="C260" s="2455" t="s">
        <v>519</v>
      </c>
      <c r="D260" s="2458"/>
      <c r="E260" s="2455" t="s">
        <v>3</v>
      </c>
      <c r="F260" s="2455" t="s">
        <v>2192</v>
      </c>
      <c r="G260" s="2456">
        <f>Summary!E161</f>
        <v>0</v>
      </c>
      <c r="J260" s="2455"/>
      <c r="K260" s="2455"/>
      <c r="L260" s="2455"/>
      <c r="M260" s="2455"/>
      <c r="N260" s="2455"/>
      <c r="O260" s="2455"/>
      <c r="P260" s="2455"/>
      <c r="Q260" s="2455"/>
      <c r="R260" s="2455"/>
      <c r="S260" s="2455"/>
      <c r="T260" s="2455"/>
      <c r="U260" s="2455"/>
      <c r="V260" s="2455"/>
      <c r="W260" s="2455"/>
      <c r="X260" s="2455"/>
      <c r="Y260" s="2455"/>
      <c r="Z260" s="2455"/>
    </row>
    <row r="261" spans="1:26" ht="12" x14ac:dyDescent="0.2">
      <c r="A261" s="2455" t="str">
        <f>MID(Summary!$B$1,FIND(" ",Summary!$B$1,1)+1,4)</f>
        <v>2011</v>
      </c>
      <c r="B261" s="2455" t="s">
        <v>483</v>
      </c>
      <c r="C261" s="2455" t="s">
        <v>519</v>
      </c>
      <c r="D261" s="2458"/>
      <c r="E261" s="2455" t="s">
        <v>14</v>
      </c>
      <c r="F261" s="2455" t="s">
        <v>2192</v>
      </c>
      <c r="G261" s="2456">
        <f>Summary!E162</f>
        <v>0.5535674601929389</v>
      </c>
      <c r="J261" s="2455"/>
      <c r="K261" s="2455"/>
      <c r="L261" s="2455"/>
      <c r="M261" s="2455"/>
      <c r="N261" s="2455"/>
      <c r="O261" s="2455"/>
      <c r="P261" s="2455"/>
      <c r="Q261" s="2455"/>
      <c r="R261" s="2455"/>
      <c r="S261" s="2455"/>
      <c r="T261" s="2455"/>
      <c r="U261" s="2455"/>
      <c r="V261" s="2455"/>
      <c r="W261" s="2455"/>
      <c r="X261" s="2455"/>
      <c r="Y261" s="2455"/>
      <c r="Z261" s="2455"/>
    </row>
    <row r="262" spans="1:26" ht="12" x14ac:dyDescent="0.2">
      <c r="A262" s="2455" t="str">
        <f>MID(Summary!$B$1,FIND(" ",Summary!$B$1,1)+1,4)</f>
        <v>2011</v>
      </c>
      <c r="B262" s="2455" t="s">
        <v>483</v>
      </c>
      <c r="C262" s="2455" t="s">
        <v>519</v>
      </c>
      <c r="D262" s="2458"/>
      <c r="E262" s="2455" t="s">
        <v>18</v>
      </c>
      <c r="F262" s="2455" t="s">
        <v>2192</v>
      </c>
      <c r="G262" s="2456">
        <f>Summary!E163</f>
        <v>0.15909488688060236</v>
      </c>
      <c r="J262" s="2455"/>
      <c r="K262" s="2455"/>
      <c r="L262" s="2455"/>
      <c r="M262" s="2455"/>
      <c r="N262" s="2455"/>
      <c r="O262" s="2455"/>
      <c r="P262" s="2455"/>
      <c r="Q262" s="2455"/>
      <c r="R262" s="2455"/>
      <c r="S262" s="2455"/>
      <c r="T262" s="2455"/>
      <c r="U262" s="2455"/>
      <c r="V262" s="2455"/>
      <c r="W262" s="2455"/>
      <c r="X262" s="2455"/>
      <c r="Y262" s="2455"/>
      <c r="Z262" s="2455"/>
    </row>
    <row r="263" spans="1:26" ht="12" x14ac:dyDescent="0.2">
      <c r="A263" s="2455" t="str">
        <f>MID(Summary!$B$1,FIND(" ",Summary!$B$1,1)+1,4)</f>
        <v>2011</v>
      </c>
      <c r="B263" s="2455" t="s">
        <v>483</v>
      </c>
      <c r="C263" s="2455" t="s">
        <v>529</v>
      </c>
      <c r="D263" s="2458"/>
      <c r="E263" s="2455" t="s">
        <v>3</v>
      </c>
      <c r="F263" s="2455" t="s">
        <v>2192</v>
      </c>
      <c r="G263" s="2456">
        <f>Summary!E165</f>
        <v>3.3000000000000002E-2</v>
      </c>
      <c r="J263" s="2455"/>
      <c r="K263" s="2455"/>
      <c r="L263" s="2455"/>
      <c r="M263" s="2455"/>
      <c r="N263" s="2455"/>
      <c r="O263" s="2455"/>
      <c r="P263" s="2455"/>
      <c r="Q263" s="2455"/>
      <c r="R263" s="2455"/>
      <c r="S263" s="2455"/>
      <c r="T263" s="2455"/>
      <c r="U263" s="2455"/>
      <c r="V263" s="2455"/>
      <c r="W263" s="2455"/>
      <c r="X263" s="2455"/>
      <c r="Y263" s="2455"/>
      <c r="Z263" s="2455"/>
    </row>
    <row r="264" spans="1:26" ht="12" x14ac:dyDescent="0.2">
      <c r="A264" s="2455" t="str">
        <f>MID(Summary!$B$1,FIND(" ",Summary!$B$1,1)+1,4)</f>
        <v>2011</v>
      </c>
      <c r="B264" s="2455" t="s">
        <v>483</v>
      </c>
      <c r="C264" s="2455" t="s">
        <v>529</v>
      </c>
      <c r="D264" s="2458"/>
      <c r="E264" s="2455" t="s">
        <v>14</v>
      </c>
      <c r="F264" s="2455" t="s">
        <v>2192</v>
      </c>
      <c r="G264" s="2456">
        <f>Summary!E166</f>
        <v>0</v>
      </c>
      <c r="J264" s="2455"/>
      <c r="K264" s="2455"/>
      <c r="L264" s="2455"/>
      <c r="M264" s="2455"/>
      <c r="N264" s="2455"/>
      <c r="O264" s="2455"/>
      <c r="P264" s="2455"/>
      <c r="Q264" s="2455"/>
      <c r="R264" s="2455"/>
      <c r="S264" s="2455"/>
      <c r="T264" s="2455"/>
      <c r="U264" s="2455"/>
      <c r="V264" s="2455"/>
      <c r="W264" s="2455"/>
      <c r="X264" s="2455"/>
      <c r="Y264" s="2455"/>
      <c r="Z264" s="2455"/>
    </row>
    <row r="265" spans="1:26" ht="12" x14ac:dyDescent="0.2">
      <c r="A265" s="2455" t="str">
        <f>MID(Summary!$B$1,FIND(" ",Summary!$B$1,1)+1,4)</f>
        <v>2011</v>
      </c>
      <c r="B265" s="2455" t="s">
        <v>483</v>
      </c>
      <c r="C265" s="2455" t="s">
        <v>529</v>
      </c>
      <c r="D265" s="2458"/>
      <c r="E265" s="2455" t="s">
        <v>18</v>
      </c>
      <c r="F265" s="2455" t="s">
        <v>2192</v>
      </c>
      <c r="G265" s="2456">
        <f>Summary!E167</f>
        <v>0</v>
      </c>
      <c r="J265" s="2455"/>
      <c r="K265" s="2455"/>
      <c r="L265" s="2455"/>
      <c r="M265" s="2455"/>
      <c r="N265" s="2455"/>
      <c r="O265" s="2455"/>
      <c r="P265" s="2455"/>
      <c r="Q265" s="2455"/>
      <c r="R265" s="2455"/>
      <c r="S265" s="2455"/>
      <c r="T265" s="2455"/>
      <c r="U265" s="2455"/>
      <c r="V265" s="2455"/>
      <c r="W265" s="2455"/>
      <c r="X265" s="2455"/>
      <c r="Y265" s="2455"/>
      <c r="Z265" s="2455"/>
    </row>
    <row r="266" spans="1:26" ht="12" x14ac:dyDescent="0.2">
      <c r="A266" s="2455" t="str">
        <f>MID(Summary!$B$1,FIND(" ",Summary!$B$1,1)+1,4)</f>
        <v>2011</v>
      </c>
      <c r="B266" s="2455" t="s">
        <v>483</v>
      </c>
      <c r="C266" s="2455" t="s">
        <v>486</v>
      </c>
      <c r="D266" s="2458"/>
      <c r="E266" s="2455" t="s">
        <v>3</v>
      </c>
      <c r="F266" s="2455" t="s">
        <v>2194</v>
      </c>
      <c r="G266" s="2456">
        <f>Summary!D153</f>
        <v>1.4294177546745599</v>
      </c>
      <c r="H266" s="2455"/>
      <c r="I266" s="2455"/>
      <c r="J266" s="2455"/>
      <c r="K266" s="2455"/>
      <c r="L266" s="2455"/>
      <c r="M266" s="2455"/>
      <c r="N266" s="2455"/>
      <c r="O266" s="2455"/>
      <c r="P266" s="2455"/>
      <c r="Q266" s="2455"/>
      <c r="R266" s="2455"/>
      <c r="S266" s="2455"/>
      <c r="T266" s="2455"/>
      <c r="U266" s="2455"/>
      <c r="V266" s="2455"/>
      <c r="W266" s="2455"/>
      <c r="X266" s="2455"/>
      <c r="Y266" s="2455"/>
      <c r="Z266" s="2455"/>
    </row>
    <row r="267" spans="1:26" ht="12" x14ac:dyDescent="0.2">
      <c r="A267" s="2455" t="str">
        <f>MID(Summary!$B$1,FIND(" ",Summary!$B$1,1)+1,4)</f>
        <v>2011</v>
      </c>
      <c r="B267" s="2455" t="s">
        <v>483</v>
      </c>
      <c r="C267" s="2455" t="s">
        <v>486</v>
      </c>
      <c r="D267" s="2458"/>
      <c r="E267" s="2455" t="s">
        <v>14</v>
      </c>
      <c r="F267" s="2455" t="s">
        <v>2194</v>
      </c>
      <c r="G267" s="2456">
        <f>Summary!D154</f>
        <v>7.1952319570324724E-4</v>
      </c>
      <c r="H267" s="2455"/>
      <c r="I267" s="2455"/>
      <c r="J267" s="2455"/>
      <c r="K267" s="2455"/>
      <c r="L267" s="2455"/>
      <c r="M267" s="2455"/>
      <c r="N267" s="2455"/>
      <c r="O267" s="2455"/>
      <c r="P267" s="2455"/>
      <c r="Q267" s="2455"/>
      <c r="R267" s="2455"/>
      <c r="S267" s="2455"/>
      <c r="T267" s="2455"/>
      <c r="U267" s="2455"/>
      <c r="V267" s="2455"/>
      <c r="W267" s="2455"/>
      <c r="X267" s="2455"/>
      <c r="Y267" s="2455"/>
      <c r="Z267" s="2455"/>
    </row>
    <row r="268" spans="1:26" ht="12" x14ac:dyDescent="0.2">
      <c r="A268" s="2455" t="str">
        <f>MID(Summary!$B$1,FIND(" ",Summary!$B$1,1)+1,4)</f>
        <v>2011</v>
      </c>
      <c r="B268" s="2455" t="s">
        <v>483</v>
      </c>
      <c r="C268" s="2455" t="s">
        <v>486</v>
      </c>
      <c r="D268" s="2458"/>
      <c r="E268" s="2455" t="s">
        <v>18</v>
      </c>
      <c r="F268" s="2455" t="s">
        <v>2194</v>
      </c>
      <c r="G268" s="2456">
        <f>Summary!D155</f>
        <v>8.9468554069439994E-3</v>
      </c>
      <c r="H268" s="2455"/>
      <c r="I268" s="2455"/>
      <c r="J268" s="2455"/>
      <c r="K268" s="2455"/>
      <c r="L268" s="2455"/>
      <c r="M268" s="2455"/>
      <c r="N268" s="2455"/>
      <c r="O268" s="2455"/>
      <c r="P268" s="2455"/>
      <c r="Q268" s="2455"/>
      <c r="R268" s="2455"/>
      <c r="S268" s="2455"/>
      <c r="T268" s="2455"/>
      <c r="U268" s="2455"/>
      <c r="V268" s="2455"/>
      <c r="W268" s="2455"/>
      <c r="X268" s="2455"/>
      <c r="Y268" s="2455"/>
      <c r="Z268" s="2455"/>
    </row>
    <row r="269" spans="1:26" ht="12" x14ac:dyDescent="0.2">
      <c r="A269" s="2455" t="str">
        <f>MID(Summary!$B$1,FIND(" ",Summary!$B$1,1)+1,4)</f>
        <v>2011</v>
      </c>
      <c r="B269" s="2455" t="s">
        <v>483</v>
      </c>
      <c r="C269" s="2455" t="s">
        <v>502</v>
      </c>
      <c r="D269" s="2458"/>
      <c r="E269" s="2455" t="s">
        <v>3</v>
      </c>
      <c r="F269" s="2455" t="s">
        <v>2194</v>
      </c>
      <c r="G269" s="2456">
        <f>Summary!D157</f>
        <v>0.49521990366453977</v>
      </c>
      <c r="H269" s="2455"/>
      <c r="I269" s="2455"/>
      <c r="J269" s="2455"/>
      <c r="K269" s="2455"/>
      <c r="L269" s="2455"/>
      <c r="M269" s="2455"/>
      <c r="N269" s="2455"/>
      <c r="O269" s="2455"/>
      <c r="P269" s="2455"/>
      <c r="Q269" s="2455"/>
      <c r="R269" s="2455"/>
      <c r="S269" s="2455"/>
      <c r="T269" s="2455"/>
      <c r="U269" s="2455"/>
      <c r="V269" s="2455"/>
      <c r="W269" s="2455"/>
      <c r="X269" s="2455"/>
      <c r="Y269" s="2455"/>
      <c r="Z269" s="2455"/>
    </row>
    <row r="270" spans="1:26" ht="12" x14ac:dyDescent="0.2">
      <c r="A270" s="2455" t="str">
        <f>MID(Summary!$B$1,FIND(" ",Summary!$B$1,1)+1,4)</f>
        <v>2011</v>
      </c>
      <c r="B270" s="2455" t="s">
        <v>483</v>
      </c>
      <c r="C270" s="2455" t="s">
        <v>502</v>
      </c>
      <c r="D270" s="2458"/>
      <c r="E270" s="2455" t="s">
        <v>14</v>
      </c>
      <c r="F270" s="2455" t="s">
        <v>2194</v>
      </c>
      <c r="G270" s="2456">
        <f>Summary!D158</f>
        <v>5.6913801442833023</v>
      </c>
      <c r="H270" s="2455"/>
      <c r="I270" s="2455"/>
      <c r="J270" s="2455"/>
      <c r="K270" s="2455"/>
      <c r="L270" s="2455"/>
      <c r="M270" s="2455"/>
      <c r="N270" s="2455"/>
      <c r="O270" s="2455"/>
      <c r="P270" s="2455"/>
      <c r="Q270" s="2455"/>
      <c r="R270" s="2455"/>
      <c r="S270" s="2455"/>
      <c r="T270" s="2455"/>
      <c r="U270" s="2455"/>
      <c r="V270" s="2455"/>
      <c r="W270" s="2455"/>
      <c r="X270" s="2455"/>
      <c r="Y270" s="2455"/>
      <c r="Z270" s="2455"/>
    </row>
    <row r="271" spans="1:26" ht="12" x14ac:dyDescent="0.2">
      <c r="A271" s="2455" t="str">
        <f>MID(Summary!$B$1,FIND(" ",Summary!$B$1,1)+1,4)</f>
        <v>2011</v>
      </c>
      <c r="B271" s="2455" t="s">
        <v>483</v>
      </c>
      <c r="C271" s="2455" t="s">
        <v>502</v>
      </c>
      <c r="D271" s="2458"/>
      <c r="E271" s="2455" t="s">
        <v>18</v>
      </c>
      <c r="F271" s="2455" t="s">
        <v>2194</v>
      </c>
      <c r="G271" s="2456">
        <f>Summary!D159</f>
        <v>0</v>
      </c>
      <c r="H271" s="2455"/>
      <c r="I271" s="2455"/>
      <c r="J271" s="2455"/>
      <c r="K271" s="2455"/>
      <c r="L271" s="2455"/>
      <c r="M271" s="2455"/>
      <c r="N271" s="2455"/>
      <c r="O271" s="2455"/>
      <c r="P271" s="2455"/>
      <c r="Q271" s="2455"/>
      <c r="R271" s="2455"/>
      <c r="S271" s="2455"/>
      <c r="T271" s="2455"/>
      <c r="U271" s="2455"/>
      <c r="V271" s="2455"/>
      <c r="W271" s="2455"/>
      <c r="X271" s="2455"/>
      <c r="Y271" s="2455"/>
      <c r="Z271" s="2455"/>
    </row>
    <row r="272" spans="1:26" ht="12" x14ac:dyDescent="0.2">
      <c r="A272" s="2455" t="str">
        <f>MID(Summary!$B$1,FIND(" ",Summary!$B$1,1)+1,4)</f>
        <v>2011</v>
      </c>
      <c r="B272" s="2455" t="s">
        <v>483</v>
      </c>
      <c r="C272" s="2455" t="s">
        <v>519</v>
      </c>
      <c r="D272" s="2458"/>
      <c r="E272" s="2455" t="s">
        <v>3</v>
      </c>
      <c r="F272" s="2455" t="s">
        <v>2194</v>
      </c>
      <c r="G272" s="2456">
        <f>Summary!D161</f>
        <v>0</v>
      </c>
      <c r="H272" s="2455"/>
      <c r="I272" s="2455"/>
      <c r="J272" s="2455"/>
      <c r="K272" s="2455"/>
      <c r="L272" s="2455"/>
      <c r="M272" s="2455"/>
      <c r="N272" s="2455"/>
      <c r="O272" s="2455"/>
      <c r="P272" s="2455"/>
      <c r="Q272" s="2455"/>
      <c r="R272" s="2455"/>
      <c r="S272" s="2455"/>
      <c r="T272" s="2455"/>
      <c r="U272" s="2455"/>
      <c r="V272" s="2455"/>
      <c r="W272" s="2455"/>
      <c r="X272" s="2455"/>
      <c r="Y272" s="2455"/>
      <c r="Z272" s="2455"/>
    </row>
    <row r="273" spans="1:26" ht="12" x14ac:dyDescent="0.2">
      <c r="A273" s="2455" t="str">
        <f>MID(Summary!$B$1,FIND(" ",Summary!$B$1,1)+1,4)</f>
        <v>2011</v>
      </c>
      <c r="B273" s="2455" t="s">
        <v>483</v>
      </c>
      <c r="C273" s="2455" t="s">
        <v>519</v>
      </c>
      <c r="D273" s="2458"/>
      <c r="E273" s="2455" t="s">
        <v>14</v>
      </c>
      <c r="F273" s="2455" t="s">
        <v>2194</v>
      </c>
      <c r="G273" s="2456">
        <f>Summary!D162</f>
        <v>1.6110995615651127</v>
      </c>
      <c r="H273" s="2455"/>
      <c r="I273" s="2455"/>
      <c r="J273" s="2455"/>
      <c r="K273" s="2455"/>
      <c r="L273" s="2455"/>
      <c r="M273" s="2455"/>
      <c r="N273" s="2455"/>
      <c r="O273" s="2455"/>
      <c r="P273" s="2455"/>
      <c r="Q273" s="2455"/>
      <c r="R273" s="2455"/>
      <c r="S273" s="2455"/>
      <c r="T273" s="2455"/>
      <c r="U273" s="2455"/>
      <c r="V273" s="2455"/>
      <c r="W273" s="2455"/>
      <c r="X273" s="2455"/>
      <c r="Y273" s="2455"/>
      <c r="Z273" s="2455"/>
    </row>
    <row r="274" spans="1:26" ht="12" x14ac:dyDescent="0.2">
      <c r="A274" s="2455" t="str">
        <f>MID(Summary!$B$1,FIND(" ",Summary!$B$1,1)+1,4)</f>
        <v>2011</v>
      </c>
      <c r="B274" s="2455" t="s">
        <v>483</v>
      </c>
      <c r="C274" s="2455" t="s">
        <v>519</v>
      </c>
      <c r="D274" s="2458"/>
      <c r="E274" s="2455" t="s">
        <v>18</v>
      </c>
      <c r="F274" s="2455" t="s">
        <v>2194</v>
      </c>
      <c r="G274" s="2456">
        <f>Summary!D163</f>
        <v>0.15909488688060236</v>
      </c>
      <c r="H274" s="2455"/>
      <c r="I274" s="2455"/>
      <c r="J274" s="2455"/>
      <c r="K274" s="2455"/>
      <c r="L274" s="2455"/>
      <c r="M274" s="2455"/>
      <c r="N274" s="2455"/>
      <c r="O274" s="2455"/>
      <c r="P274" s="2455"/>
      <c r="Q274" s="2455"/>
      <c r="R274" s="2455"/>
      <c r="S274" s="2455"/>
      <c r="T274" s="2455"/>
      <c r="U274" s="2455"/>
      <c r="V274" s="2455"/>
      <c r="W274" s="2455"/>
      <c r="X274" s="2455"/>
      <c r="Y274" s="2455"/>
      <c r="Z274" s="2455"/>
    </row>
    <row r="275" spans="1:26" ht="12" x14ac:dyDescent="0.2">
      <c r="A275" s="2455" t="str">
        <f>MID(Summary!$B$1,FIND(" ",Summary!$B$1,1)+1,4)</f>
        <v>2011</v>
      </c>
      <c r="B275" s="2455" t="s">
        <v>483</v>
      </c>
      <c r="C275" s="2455" t="s">
        <v>529</v>
      </c>
      <c r="D275" s="2458"/>
      <c r="E275" s="2455" t="s">
        <v>3</v>
      </c>
      <c r="F275" s="2455" t="s">
        <v>2194</v>
      </c>
      <c r="G275" s="2456">
        <f>Summary!D165</f>
        <v>3.3000000000000002E-2</v>
      </c>
      <c r="H275" s="2455"/>
      <c r="I275" s="2455"/>
      <c r="J275" s="2455"/>
      <c r="K275" s="2455"/>
      <c r="L275" s="2455"/>
      <c r="M275" s="2455"/>
      <c r="N275" s="2455"/>
      <c r="O275" s="2455"/>
      <c r="P275" s="2455"/>
      <c r="Q275" s="2455"/>
      <c r="R275" s="2455"/>
      <c r="S275" s="2455"/>
      <c r="T275" s="2455"/>
      <c r="U275" s="2455"/>
      <c r="V275" s="2455"/>
      <c r="W275" s="2455"/>
      <c r="X275" s="2455"/>
      <c r="Y275" s="2455"/>
      <c r="Z275" s="2455"/>
    </row>
    <row r="276" spans="1:26" ht="12" x14ac:dyDescent="0.2">
      <c r="A276" s="2455" t="str">
        <f>MID(Summary!$B$1,FIND(" ",Summary!$B$1,1)+1,4)</f>
        <v>2011</v>
      </c>
      <c r="B276" s="2455" t="s">
        <v>483</v>
      </c>
      <c r="C276" s="2455" t="s">
        <v>529</v>
      </c>
      <c r="D276" s="2458"/>
      <c r="E276" s="2455" t="s">
        <v>14</v>
      </c>
      <c r="F276" s="2455" t="s">
        <v>2194</v>
      </c>
      <c r="G276" s="2456">
        <f>Summary!D166</f>
        <v>0</v>
      </c>
      <c r="H276" s="2455"/>
      <c r="I276" s="2455"/>
      <c r="J276" s="2455"/>
      <c r="K276" s="2455"/>
      <c r="L276" s="2455"/>
      <c r="M276" s="2455"/>
      <c r="N276" s="2455"/>
      <c r="O276" s="2455"/>
      <c r="P276" s="2455"/>
      <c r="Q276" s="2455"/>
      <c r="R276" s="2455"/>
      <c r="S276" s="2455"/>
      <c r="T276" s="2455"/>
      <c r="U276" s="2455"/>
      <c r="V276" s="2455"/>
      <c r="W276" s="2455"/>
      <c r="X276" s="2455"/>
      <c r="Y276" s="2455"/>
      <c r="Z276" s="2455"/>
    </row>
    <row r="277" spans="1:26" ht="12" x14ac:dyDescent="0.2">
      <c r="A277" s="2455" t="str">
        <f>MID(Summary!$B$1,FIND(" ",Summary!$B$1,1)+1,4)</f>
        <v>2011</v>
      </c>
      <c r="B277" s="2455" t="s">
        <v>483</v>
      </c>
      <c r="C277" s="2455" t="s">
        <v>529</v>
      </c>
      <c r="D277" s="2458"/>
      <c r="E277" s="2455" t="s">
        <v>18</v>
      </c>
      <c r="F277" s="2455" t="s">
        <v>2194</v>
      </c>
      <c r="G277" s="2456">
        <f>Summary!D167</f>
        <v>0</v>
      </c>
      <c r="H277" s="2455"/>
      <c r="I277" s="2455"/>
      <c r="J277" s="2455"/>
      <c r="K277" s="2455"/>
      <c r="L277" s="2455"/>
      <c r="M277" s="2455"/>
      <c r="N277" s="2455"/>
      <c r="O277" s="2455"/>
      <c r="P277" s="2455"/>
      <c r="Q277" s="2455"/>
      <c r="R277" s="2455"/>
      <c r="S277" s="2455"/>
      <c r="T277" s="2455"/>
      <c r="U277" s="2455"/>
      <c r="V277" s="2455"/>
      <c r="W277" s="2455"/>
      <c r="X277" s="2455"/>
      <c r="Y277" s="2455"/>
      <c r="Z277" s="2455"/>
    </row>
    <row r="278" spans="1:26" ht="12" x14ac:dyDescent="0.2">
      <c r="A278" s="2455" t="str">
        <f>MID(Summary!$B$1,FIND(" ",Summary!$B$1,1)+1,4)</f>
        <v>2011</v>
      </c>
      <c r="B278" s="2455" t="s">
        <v>544</v>
      </c>
      <c r="C278" s="2455" t="s">
        <v>545</v>
      </c>
      <c r="D278" s="2458"/>
      <c r="E278" s="2455" t="s">
        <v>3</v>
      </c>
      <c r="F278" s="2455" t="s">
        <v>2192</v>
      </c>
      <c r="G278" s="2456">
        <f>Summary!E171</f>
        <v>-7.2975578050420156</v>
      </c>
      <c r="J278" s="2455"/>
      <c r="K278" s="2455"/>
      <c r="L278" s="2455"/>
      <c r="M278" s="2455"/>
      <c r="N278" s="2455"/>
      <c r="O278" s="2455"/>
      <c r="P278" s="2455"/>
      <c r="Q278" s="2455"/>
      <c r="R278" s="2455"/>
      <c r="S278" s="2455"/>
      <c r="T278" s="2455"/>
      <c r="U278" s="2455"/>
      <c r="V278" s="2455"/>
      <c r="W278" s="2455"/>
      <c r="X278" s="2455"/>
      <c r="Y278" s="2455"/>
      <c r="Z278" s="2455"/>
    </row>
    <row r="279" spans="1:26" ht="12" x14ac:dyDescent="0.2">
      <c r="A279" s="2455" t="str">
        <f>MID(Summary!$B$1,FIND(" ",Summary!$B$1,1)+1,4)</f>
        <v>2011</v>
      </c>
      <c r="B279" s="2455" t="s">
        <v>544</v>
      </c>
      <c r="C279" s="2455" t="s">
        <v>546</v>
      </c>
      <c r="D279" s="2458"/>
      <c r="E279" s="2455" t="s">
        <v>3</v>
      </c>
      <c r="F279" s="2455" t="s">
        <v>2192</v>
      </c>
      <c r="G279" s="2456">
        <f>Summary!E172</f>
        <v>-0.93822819744427544</v>
      </c>
      <c r="J279" s="2455"/>
      <c r="K279" s="2455"/>
      <c r="L279" s="2455"/>
      <c r="M279" s="2455"/>
      <c r="N279" s="2455"/>
      <c r="O279" s="2455"/>
      <c r="P279" s="2455"/>
      <c r="Q279" s="2455"/>
      <c r="R279" s="2455"/>
      <c r="S279" s="2455"/>
      <c r="T279" s="2455"/>
      <c r="U279" s="2455"/>
      <c r="V279" s="2455"/>
      <c r="W279" s="2455"/>
      <c r="X279" s="2455"/>
      <c r="Y279" s="2455"/>
      <c r="Z279" s="2455"/>
    </row>
    <row r="280" spans="1:26" ht="12" x14ac:dyDescent="0.2">
      <c r="A280" s="2455" t="str">
        <f>MID(Summary!$B$1,FIND(" ",Summary!$B$1,1)+1,4)</f>
        <v>2011</v>
      </c>
      <c r="B280" s="2455" t="s">
        <v>544</v>
      </c>
      <c r="C280" s="2455" t="s">
        <v>548</v>
      </c>
      <c r="D280" s="2458"/>
      <c r="E280" s="2455" t="s">
        <v>18</v>
      </c>
      <c r="F280" s="2455" t="s">
        <v>2192</v>
      </c>
      <c r="G280" s="2456">
        <f>Summary!E174</f>
        <v>1.7129969999999998E-2</v>
      </c>
      <c r="J280" s="2455"/>
      <c r="K280" s="2455"/>
      <c r="L280" s="2455"/>
      <c r="M280" s="2455"/>
      <c r="N280" s="2455"/>
      <c r="O280" s="2455"/>
      <c r="P280" s="2455"/>
      <c r="Q280" s="2455"/>
      <c r="R280" s="2455"/>
      <c r="S280" s="2455"/>
      <c r="T280" s="2455"/>
      <c r="U280" s="2455"/>
      <c r="V280" s="2455"/>
      <c r="W280" s="2455"/>
      <c r="X280" s="2455"/>
      <c r="Y280" s="2455"/>
      <c r="Z280" s="2455"/>
    </row>
    <row r="281" spans="1:26" ht="12" x14ac:dyDescent="0.2">
      <c r="A281" s="2455" t="str">
        <f>MID(Summary!$B$1,FIND(" ",Summary!$B$1,1)+1,4)</f>
        <v>2011</v>
      </c>
      <c r="B281" s="2455" t="s">
        <v>544</v>
      </c>
      <c r="C281" s="2455" t="s">
        <v>554</v>
      </c>
      <c r="D281" s="2458"/>
      <c r="E281" s="2455" t="s">
        <v>14</v>
      </c>
      <c r="F281" s="2455" t="s">
        <v>2192</v>
      </c>
      <c r="G281" s="2456">
        <f>Summary!E176</f>
        <v>4.9914436779619209E-2</v>
      </c>
      <c r="J281" s="2455"/>
      <c r="K281" s="2455"/>
      <c r="L281" s="2455"/>
      <c r="M281" s="2455"/>
      <c r="N281" s="2455"/>
      <c r="O281" s="2455"/>
      <c r="P281" s="2455"/>
      <c r="Q281" s="2455"/>
      <c r="R281" s="2455"/>
      <c r="S281" s="2455"/>
      <c r="T281" s="2455"/>
      <c r="U281" s="2455"/>
      <c r="V281" s="2455"/>
      <c r="W281" s="2455"/>
      <c r="X281" s="2455"/>
      <c r="Y281" s="2455"/>
      <c r="Z281" s="2455"/>
    </row>
    <row r="282" spans="1:26" ht="12" x14ac:dyDescent="0.2">
      <c r="A282" s="2455" t="str">
        <f>MID(Summary!$B$1,FIND(" ",Summary!$B$1,1)+1,4)</f>
        <v>2011</v>
      </c>
      <c r="B282" s="2455" t="s">
        <v>544</v>
      </c>
      <c r="C282" s="2455" t="s">
        <v>554</v>
      </c>
      <c r="D282" s="2458"/>
      <c r="E282" s="2455" t="s">
        <v>18</v>
      </c>
      <c r="F282" s="2455" t="s">
        <v>2192</v>
      </c>
      <c r="G282" s="2456">
        <f>Summary!E177</f>
        <v>1.4365002362256001E-2</v>
      </c>
      <c r="J282" s="2455"/>
      <c r="K282" s="2455"/>
      <c r="L282" s="2455"/>
      <c r="M282" s="2455"/>
      <c r="N282" s="2455"/>
      <c r="O282" s="2455"/>
      <c r="P282" s="2455"/>
      <c r="Q282" s="2455"/>
      <c r="R282" s="2455"/>
      <c r="S282" s="2455"/>
      <c r="T282" s="2455"/>
      <c r="U282" s="2455"/>
      <c r="V282" s="2455"/>
      <c r="W282" s="2455"/>
      <c r="X282" s="2455"/>
      <c r="Y282" s="2455"/>
      <c r="Z282" s="2455"/>
    </row>
    <row r="283" spans="1:26" ht="12" x14ac:dyDescent="0.2">
      <c r="A283" s="2455" t="str">
        <f>MID(Summary!$B$1,FIND(" ",Summary!$B$1,1)+1,4)</f>
        <v>2011</v>
      </c>
      <c r="B283" s="2455" t="s">
        <v>544</v>
      </c>
      <c r="C283" s="2455" t="s">
        <v>562</v>
      </c>
      <c r="D283" s="2458"/>
      <c r="E283" s="2455" t="s">
        <v>3</v>
      </c>
      <c r="F283" s="2455" t="s">
        <v>2192</v>
      </c>
      <c r="G283" s="2456">
        <f>Summary!E178</f>
        <v>-0.58079230100000001</v>
      </c>
      <c r="J283" s="2455"/>
      <c r="K283" s="2455"/>
      <c r="L283" s="2455"/>
      <c r="M283" s="2455"/>
      <c r="N283" s="2455"/>
      <c r="O283" s="2455"/>
      <c r="P283" s="2455"/>
      <c r="Q283" s="2455"/>
      <c r="R283" s="2455"/>
      <c r="S283" s="2455"/>
      <c r="T283" s="2455"/>
      <c r="U283" s="2455"/>
      <c r="V283" s="2455"/>
      <c r="W283" s="2455"/>
      <c r="X283" s="2455"/>
      <c r="Y283" s="2455"/>
      <c r="Z283" s="2455"/>
    </row>
    <row r="284" spans="1:26" ht="12" x14ac:dyDescent="0.2">
      <c r="A284" s="2455" t="str">
        <f>MID(Summary!$B$1,FIND(" ",Summary!$B$1,1)+1,4)</f>
        <v>2011</v>
      </c>
      <c r="B284" s="2455" t="s">
        <v>544</v>
      </c>
      <c r="C284" s="2455" t="s">
        <v>564</v>
      </c>
      <c r="D284" s="2458"/>
      <c r="E284" s="2455" t="s">
        <v>3</v>
      </c>
      <c r="F284" s="2455" t="s">
        <v>2192</v>
      </c>
      <c r="G284" s="2456">
        <f>Summary!E180</f>
        <v>-0.53965288671270739</v>
      </c>
      <c r="J284" s="2455"/>
      <c r="K284" s="2455"/>
      <c r="L284" s="2455"/>
      <c r="M284" s="2455"/>
      <c r="N284" s="2455"/>
      <c r="O284" s="2455"/>
      <c r="P284" s="2455"/>
      <c r="Q284" s="2455"/>
      <c r="R284" s="2455"/>
      <c r="S284" s="2455"/>
      <c r="T284" s="2455"/>
      <c r="U284" s="2455"/>
      <c r="V284" s="2455"/>
      <c r="W284" s="2455"/>
      <c r="X284" s="2455"/>
      <c r="Y284" s="2455"/>
      <c r="Z284" s="2455"/>
    </row>
    <row r="285" spans="1:26" ht="12" x14ac:dyDescent="0.2">
      <c r="A285" s="2455" t="str">
        <f>MID(Summary!$B$1,FIND(" ",Summary!$B$1,1)+1,4)</f>
        <v>2011</v>
      </c>
      <c r="B285" s="2455" t="s">
        <v>544</v>
      </c>
      <c r="C285" s="2455" t="s">
        <v>564</v>
      </c>
      <c r="D285" s="2458"/>
      <c r="E285" s="2455" t="s">
        <v>14</v>
      </c>
      <c r="F285" s="2455" t="s">
        <v>2192</v>
      </c>
      <c r="G285" s="2456">
        <f>Summary!E181</f>
        <v>0.29413707905602982</v>
      </c>
      <c r="J285" s="2455"/>
      <c r="K285" s="2455"/>
      <c r="L285" s="2455"/>
      <c r="M285" s="2455"/>
      <c r="N285" s="2455"/>
      <c r="O285" s="2455"/>
      <c r="P285" s="2455"/>
      <c r="Q285" s="2455"/>
      <c r="R285" s="2455"/>
      <c r="S285" s="2455"/>
      <c r="T285" s="2455"/>
      <c r="U285" s="2455"/>
      <c r="V285" s="2455"/>
      <c r="W285" s="2455"/>
      <c r="X285" s="2455"/>
      <c r="Y285" s="2455"/>
      <c r="Z285" s="2455"/>
    </row>
    <row r="286" spans="1:26" ht="12" x14ac:dyDescent="0.2">
      <c r="A286" s="2455" t="str">
        <f>MID(Summary!$B$1,FIND(" ",Summary!$B$1,1)+1,4)</f>
        <v>2011</v>
      </c>
      <c r="B286" s="2455" t="s">
        <v>544</v>
      </c>
      <c r="C286" s="2455" t="s">
        <v>545</v>
      </c>
      <c r="D286" s="2458"/>
      <c r="E286" s="2455" t="s">
        <v>3</v>
      </c>
      <c r="F286" s="2455" t="s">
        <v>2194</v>
      </c>
      <c r="G286" s="2456">
        <f>Summary!D171</f>
        <v>-7.2975578050420156</v>
      </c>
      <c r="H286" s="2455"/>
      <c r="I286" s="2455"/>
      <c r="J286" s="2455"/>
      <c r="K286" s="2455"/>
      <c r="L286" s="2455"/>
      <c r="M286" s="2455"/>
      <c r="N286" s="2455"/>
      <c r="O286" s="2455"/>
      <c r="P286" s="2455"/>
      <c r="Q286" s="2455"/>
      <c r="R286" s="2455"/>
      <c r="S286" s="2455"/>
      <c r="T286" s="2455"/>
      <c r="U286" s="2455"/>
      <c r="V286" s="2455"/>
      <c r="W286" s="2455"/>
      <c r="X286" s="2455"/>
      <c r="Y286" s="2455"/>
      <c r="Z286" s="2455"/>
    </row>
    <row r="287" spans="1:26" ht="12" x14ac:dyDescent="0.2">
      <c r="A287" s="2455" t="str">
        <f>MID(Summary!$B$1,FIND(" ",Summary!$B$1,1)+1,4)</f>
        <v>2011</v>
      </c>
      <c r="B287" s="2455" t="s">
        <v>544</v>
      </c>
      <c r="C287" s="2455" t="s">
        <v>546</v>
      </c>
      <c r="D287" s="2458"/>
      <c r="E287" s="2455" t="s">
        <v>3</v>
      </c>
      <c r="F287" s="2455" t="s">
        <v>2194</v>
      </c>
      <c r="G287" s="2456">
        <f>Summary!D172</f>
        <v>-0.93822819744427544</v>
      </c>
      <c r="H287" s="2455"/>
      <c r="I287" s="2455"/>
      <c r="J287" s="2455"/>
      <c r="K287" s="2455"/>
      <c r="L287" s="2455"/>
      <c r="M287" s="2455"/>
      <c r="N287" s="2455"/>
      <c r="O287" s="2455"/>
      <c r="P287" s="2455"/>
      <c r="Q287" s="2455"/>
      <c r="R287" s="2455"/>
      <c r="S287" s="2455"/>
      <c r="T287" s="2455"/>
      <c r="U287" s="2455"/>
      <c r="V287" s="2455"/>
      <c r="W287" s="2455"/>
      <c r="X287" s="2455"/>
      <c r="Y287" s="2455"/>
      <c r="Z287" s="2455"/>
    </row>
    <row r="288" spans="1:26" ht="12" x14ac:dyDescent="0.2">
      <c r="A288" s="2455" t="str">
        <f>MID(Summary!$B$1,FIND(" ",Summary!$B$1,1)+1,4)</f>
        <v>2011</v>
      </c>
      <c r="B288" s="2455" t="s">
        <v>544</v>
      </c>
      <c r="C288" s="2455" t="s">
        <v>548</v>
      </c>
      <c r="D288" s="2458"/>
      <c r="E288" s="2455" t="s">
        <v>18</v>
      </c>
      <c r="F288" s="2455" t="s">
        <v>2194</v>
      </c>
      <c r="G288" s="2456">
        <f>Summary!D174</f>
        <v>1.7129969999999998E-2</v>
      </c>
      <c r="H288" s="2455"/>
      <c r="I288" s="2455"/>
      <c r="J288" s="2455"/>
      <c r="K288" s="2455"/>
      <c r="L288" s="2455"/>
      <c r="M288" s="2455"/>
      <c r="N288" s="2455"/>
      <c r="O288" s="2455"/>
      <c r="P288" s="2455"/>
      <c r="Q288" s="2455"/>
      <c r="R288" s="2455"/>
      <c r="S288" s="2455"/>
      <c r="T288" s="2455"/>
      <c r="U288" s="2455"/>
      <c r="V288" s="2455"/>
      <c r="W288" s="2455"/>
      <c r="X288" s="2455"/>
      <c r="Y288" s="2455"/>
      <c r="Z288" s="2455"/>
    </row>
    <row r="289" spans="1:26" ht="12" x14ac:dyDescent="0.2">
      <c r="A289" s="2455" t="str">
        <f>MID(Summary!$B$1,FIND(" ",Summary!$B$1,1)+1,4)</f>
        <v>2011</v>
      </c>
      <c r="B289" s="2455" t="s">
        <v>544</v>
      </c>
      <c r="C289" s="2455" t="s">
        <v>554</v>
      </c>
      <c r="D289" s="2458"/>
      <c r="E289" s="2455" t="s">
        <v>14</v>
      </c>
      <c r="F289" s="2455" t="s">
        <v>2194</v>
      </c>
      <c r="G289" s="2456">
        <f>Summary!D176</f>
        <v>0.14527069055573763</v>
      </c>
      <c r="H289" s="2455"/>
      <c r="I289" s="2455"/>
      <c r="J289" s="2455"/>
      <c r="K289" s="2455"/>
      <c r="L289" s="2455"/>
      <c r="M289" s="2455"/>
      <c r="N289" s="2455"/>
      <c r="O289" s="2455"/>
      <c r="P289" s="2455"/>
      <c r="Q289" s="2455"/>
      <c r="R289" s="2455"/>
      <c r="S289" s="2455"/>
      <c r="T289" s="2455"/>
      <c r="U289" s="2455"/>
      <c r="V289" s="2455"/>
      <c r="W289" s="2455"/>
      <c r="X289" s="2455"/>
      <c r="Y289" s="2455"/>
      <c r="Z289" s="2455"/>
    </row>
    <row r="290" spans="1:26" ht="12" x14ac:dyDescent="0.2">
      <c r="A290" s="2455" t="str">
        <f>MID(Summary!$B$1,FIND(" ",Summary!$B$1,1)+1,4)</f>
        <v>2011</v>
      </c>
      <c r="B290" s="2455" t="s">
        <v>544</v>
      </c>
      <c r="C290" s="2455" t="s">
        <v>554</v>
      </c>
      <c r="D290" s="2458"/>
      <c r="E290" s="2455" t="s">
        <v>18</v>
      </c>
      <c r="F290" s="2455" t="s">
        <v>2194</v>
      </c>
      <c r="G290" s="2456">
        <f>Summary!D177</f>
        <v>1.4365002362256001E-2</v>
      </c>
      <c r="H290" s="2455"/>
      <c r="I290" s="2455"/>
      <c r="J290" s="2455"/>
      <c r="K290" s="2455"/>
      <c r="L290" s="2455"/>
      <c r="M290" s="2455"/>
      <c r="N290" s="2455"/>
      <c r="O290" s="2455"/>
      <c r="P290" s="2455"/>
      <c r="Q290" s="2455"/>
      <c r="R290" s="2455"/>
      <c r="S290" s="2455"/>
      <c r="T290" s="2455"/>
      <c r="U290" s="2455"/>
      <c r="V290" s="2455"/>
      <c r="W290" s="2455"/>
      <c r="X290" s="2455"/>
      <c r="Y290" s="2455"/>
      <c r="Z290" s="2455"/>
    </row>
    <row r="291" spans="1:26" ht="12" x14ac:dyDescent="0.2">
      <c r="A291" s="2455" t="str">
        <f>MID(Summary!$B$1,FIND(" ",Summary!$B$1,1)+1,4)</f>
        <v>2011</v>
      </c>
      <c r="B291" s="2455" t="s">
        <v>544</v>
      </c>
      <c r="C291" s="2455" t="s">
        <v>562</v>
      </c>
      <c r="D291" s="2458"/>
      <c r="E291" s="2455" t="s">
        <v>3</v>
      </c>
      <c r="F291" s="2455" t="s">
        <v>2194</v>
      </c>
      <c r="G291" s="2456">
        <f>Summary!D178</f>
        <v>-0.58079230100000001</v>
      </c>
      <c r="H291" s="2455"/>
      <c r="I291" s="2455"/>
      <c r="J291" s="2455"/>
      <c r="K291" s="2455"/>
      <c r="L291" s="2455"/>
      <c r="M291" s="2455"/>
      <c r="N291" s="2455"/>
      <c r="O291" s="2455"/>
      <c r="P291" s="2455"/>
      <c r="Q291" s="2455"/>
      <c r="R291" s="2455"/>
      <c r="S291" s="2455"/>
      <c r="T291" s="2455"/>
      <c r="U291" s="2455"/>
      <c r="V291" s="2455"/>
      <c r="W291" s="2455"/>
      <c r="X291" s="2455"/>
      <c r="Y291" s="2455"/>
      <c r="Z291" s="2455"/>
    </row>
    <row r="292" spans="1:26" ht="12" x14ac:dyDescent="0.2">
      <c r="A292" s="2455" t="str">
        <f>MID(Summary!$B$1,FIND(" ",Summary!$B$1,1)+1,4)</f>
        <v>2011</v>
      </c>
      <c r="B292" s="2455" t="s">
        <v>544</v>
      </c>
      <c r="C292" s="2455" t="s">
        <v>564</v>
      </c>
      <c r="D292" s="2458"/>
      <c r="E292" s="2455" t="s">
        <v>3</v>
      </c>
      <c r="F292" s="2455" t="s">
        <v>2194</v>
      </c>
      <c r="G292" s="2456">
        <f>Summary!D180</f>
        <v>-0.53965288671270739</v>
      </c>
      <c r="H292" s="2455"/>
      <c r="I292" s="2455"/>
      <c r="J292" s="2455"/>
      <c r="K292" s="2455"/>
      <c r="L292" s="2455"/>
      <c r="M292" s="2455"/>
      <c r="N292" s="2455"/>
      <c r="O292" s="2455"/>
      <c r="P292" s="2455"/>
      <c r="Q292" s="2455"/>
      <c r="R292" s="2455"/>
      <c r="S292" s="2455"/>
      <c r="T292" s="2455"/>
      <c r="U292" s="2455"/>
      <c r="V292" s="2455"/>
      <c r="W292" s="2455"/>
      <c r="X292" s="2455"/>
      <c r="Y292" s="2455"/>
      <c r="Z292" s="2455"/>
    </row>
    <row r="293" spans="1:26" ht="12" x14ac:dyDescent="0.2">
      <c r="A293" s="2455" t="str">
        <f>MID(Summary!$B$1,FIND(" ",Summary!$B$1,1)+1,4)</f>
        <v>2011</v>
      </c>
      <c r="B293" s="2455" t="s">
        <v>544</v>
      </c>
      <c r="C293" s="2455" t="s">
        <v>564</v>
      </c>
      <c r="D293" s="2458"/>
      <c r="E293" s="2455" t="s">
        <v>14</v>
      </c>
      <c r="F293" s="2455" t="s">
        <v>2194</v>
      </c>
      <c r="G293" s="2456">
        <f>Summary!D181</f>
        <v>0.85605486807704745</v>
      </c>
      <c r="H293" s="2455"/>
      <c r="I293" s="2455"/>
      <c r="J293" s="2455"/>
      <c r="K293" s="2455"/>
      <c r="L293" s="2455"/>
      <c r="M293" s="2455"/>
      <c r="N293" s="2455"/>
      <c r="O293" s="2455"/>
      <c r="P293" s="2455"/>
      <c r="Q293" s="2455"/>
      <c r="R293" s="2455"/>
      <c r="S293" s="2455"/>
      <c r="T293" s="2455"/>
      <c r="U293" s="2455"/>
      <c r="V293" s="2455"/>
      <c r="W293" s="2455"/>
      <c r="X293" s="2455"/>
      <c r="Y293" s="2455"/>
      <c r="Z293" s="2455"/>
    </row>
    <row r="294" spans="1:26" ht="12" x14ac:dyDescent="0.2">
      <c r="A294" s="2455"/>
      <c r="B294" s="2455"/>
      <c r="C294" s="2455"/>
      <c r="D294" s="2455"/>
      <c r="E294" s="2455"/>
      <c r="F294" s="2455"/>
      <c r="G294" s="2456"/>
      <c r="H294" s="2455"/>
      <c r="I294" s="2455"/>
      <c r="J294" s="2455"/>
      <c r="K294" s="2455"/>
      <c r="L294" s="2455"/>
      <c r="M294" s="2455"/>
      <c r="N294" s="2455"/>
      <c r="O294" s="2455"/>
      <c r="P294" s="2455"/>
      <c r="Q294" s="2455"/>
      <c r="R294" s="2455"/>
      <c r="S294" s="2455"/>
      <c r="T294" s="2455"/>
      <c r="U294" s="2455"/>
      <c r="V294" s="2455"/>
      <c r="W294" s="2455"/>
      <c r="X294" s="2455"/>
      <c r="Y294" s="2455"/>
      <c r="Z294" s="2455"/>
    </row>
    <row r="295" spans="1:26" ht="12" x14ac:dyDescent="0.2">
      <c r="A295" s="2455"/>
      <c r="B295" s="2455"/>
      <c r="C295" s="2455"/>
      <c r="D295" s="2455"/>
      <c r="E295" s="2455"/>
      <c r="F295" s="2455"/>
      <c r="G295" s="2456"/>
      <c r="H295" s="2455"/>
      <c r="I295" s="2455"/>
      <c r="J295" s="2455"/>
      <c r="K295" s="2455"/>
      <c r="L295" s="2455"/>
      <c r="M295" s="2455"/>
      <c r="N295" s="2455"/>
      <c r="O295" s="2455"/>
      <c r="P295" s="2455"/>
      <c r="Q295" s="2455"/>
      <c r="R295" s="2455"/>
      <c r="S295" s="2455"/>
      <c r="T295" s="2455"/>
      <c r="U295" s="2455"/>
      <c r="V295" s="2455"/>
      <c r="W295" s="2455"/>
      <c r="X295" s="2455"/>
      <c r="Y295" s="2455"/>
      <c r="Z295" s="2455"/>
    </row>
    <row r="296" spans="1:26" ht="12" x14ac:dyDescent="0.2">
      <c r="A296" s="2455"/>
      <c r="B296" s="2455"/>
      <c r="C296" s="2455"/>
      <c r="D296" s="2455"/>
      <c r="E296" s="2455"/>
      <c r="F296" s="2455"/>
      <c r="G296" s="2456"/>
      <c r="H296" s="2455"/>
      <c r="I296" s="2455"/>
      <c r="J296" s="2455"/>
      <c r="K296" s="2455"/>
      <c r="L296" s="2455"/>
      <c r="M296" s="2455"/>
      <c r="N296" s="2455"/>
      <c r="O296" s="2455"/>
      <c r="P296" s="2455"/>
      <c r="Q296" s="2455"/>
      <c r="R296" s="2455"/>
      <c r="S296" s="2455"/>
      <c r="T296" s="2455"/>
      <c r="U296" s="2455"/>
      <c r="V296" s="2455"/>
      <c r="W296" s="2455"/>
      <c r="X296" s="2455"/>
      <c r="Y296" s="2455"/>
      <c r="Z296" s="2455"/>
    </row>
    <row r="297" spans="1:26" ht="12" x14ac:dyDescent="0.2">
      <c r="A297" s="2455"/>
      <c r="B297" s="2455"/>
      <c r="C297" s="2455"/>
      <c r="D297" s="2455"/>
      <c r="E297" s="2455"/>
      <c r="F297" s="2455"/>
      <c r="G297" s="2456"/>
      <c r="H297" s="2455"/>
      <c r="I297" s="2455"/>
      <c r="J297" s="2455"/>
      <c r="K297" s="2455"/>
      <c r="L297" s="2455"/>
      <c r="M297" s="2455"/>
      <c r="N297" s="2455"/>
      <c r="O297" s="2455"/>
      <c r="P297" s="2455"/>
      <c r="Q297" s="2455"/>
      <c r="R297" s="2455"/>
      <c r="S297" s="2455"/>
      <c r="T297" s="2455"/>
      <c r="U297" s="2455"/>
      <c r="V297" s="2455"/>
      <c r="W297" s="2455"/>
      <c r="X297" s="2455"/>
      <c r="Y297" s="2455"/>
      <c r="Z297" s="2455"/>
    </row>
    <row r="298" spans="1:26" ht="12" x14ac:dyDescent="0.2">
      <c r="A298" s="2455"/>
      <c r="B298" s="2455"/>
      <c r="C298" s="2455"/>
      <c r="D298" s="2455"/>
      <c r="E298" s="2455"/>
      <c r="F298" s="2455"/>
      <c r="G298" s="2456"/>
      <c r="H298" s="2455"/>
      <c r="I298" s="2455"/>
      <c r="J298" s="2455"/>
      <c r="K298" s="2455"/>
      <c r="L298" s="2455"/>
      <c r="M298" s="2455"/>
      <c r="N298" s="2455"/>
      <c r="O298" s="2455"/>
      <c r="P298" s="2455"/>
      <c r="Q298" s="2455"/>
      <c r="R298" s="2455"/>
      <c r="S298" s="2455"/>
      <c r="T298" s="2455"/>
      <c r="U298" s="2455"/>
      <c r="V298" s="2455"/>
      <c r="W298" s="2455"/>
      <c r="X298" s="2455"/>
      <c r="Y298" s="2455"/>
      <c r="Z298" s="2455"/>
    </row>
    <row r="299" spans="1:26" ht="12" x14ac:dyDescent="0.2">
      <c r="A299" s="2455"/>
      <c r="B299" s="2455"/>
      <c r="C299" s="2455"/>
      <c r="D299" s="2455"/>
      <c r="E299" s="2455"/>
      <c r="F299" s="2455"/>
      <c r="G299" s="2456"/>
      <c r="H299" s="2455"/>
      <c r="I299" s="2455"/>
      <c r="J299" s="2455"/>
      <c r="K299" s="2455"/>
      <c r="L299" s="2455"/>
      <c r="M299" s="2455"/>
      <c r="N299" s="2455"/>
      <c r="O299" s="2455"/>
      <c r="P299" s="2455"/>
      <c r="Q299" s="2455"/>
      <c r="R299" s="2455"/>
      <c r="S299" s="2455"/>
      <c r="T299" s="2455"/>
      <c r="U299" s="2455"/>
      <c r="V299" s="2455"/>
      <c r="W299" s="2455"/>
      <c r="X299" s="2455"/>
      <c r="Y299" s="2455"/>
      <c r="Z299" s="2455"/>
    </row>
    <row r="300" spans="1:26" ht="12" x14ac:dyDescent="0.2">
      <c r="A300" s="2455"/>
      <c r="B300" s="2455"/>
      <c r="C300" s="2455"/>
      <c r="D300" s="2455"/>
      <c r="E300" s="2455"/>
      <c r="F300" s="2455"/>
      <c r="G300" s="2456"/>
      <c r="H300" s="2455"/>
      <c r="I300" s="2455"/>
      <c r="J300" s="2455"/>
      <c r="K300" s="2455"/>
      <c r="L300" s="2455"/>
      <c r="M300" s="2455"/>
      <c r="N300" s="2455"/>
      <c r="O300" s="2455"/>
      <c r="P300" s="2455"/>
      <c r="Q300" s="2455"/>
      <c r="R300" s="2455"/>
      <c r="S300" s="2455"/>
      <c r="T300" s="2455"/>
      <c r="U300" s="2455"/>
      <c r="V300" s="2455"/>
      <c r="W300" s="2455"/>
      <c r="X300" s="2455"/>
      <c r="Y300" s="2455"/>
      <c r="Z300" s="2455"/>
    </row>
    <row r="301" spans="1:26" ht="12" x14ac:dyDescent="0.2">
      <c r="A301" s="2455"/>
      <c r="B301" s="2455"/>
      <c r="C301" s="2455"/>
      <c r="D301" s="2455"/>
      <c r="E301" s="2455"/>
      <c r="F301" s="2455"/>
      <c r="G301" s="2456"/>
      <c r="H301" s="2455"/>
      <c r="I301" s="2455"/>
      <c r="J301" s="2455"/>
      <c r="K301" s="2455"/>
      <c r="L301" s="2455"/>
      <c r="M301" s="2455"/>
      <c r="N301" s="2455"/>
      <c r="O301" s="2455"/>
      <c r="P301" s="2455"/>
      <c r="Q301" s="2455"/>
      <c r="R301" s="2455"/>
      <c r="S301" s="2455"/>
      <c r="T301" s="2455"/>
      <c r="U301" s="2455"/>
      <c r="V301" s="2455"/>
      <c r="W301" s="2455"/>
      <c r="X301" s="2455"/>
      <c r="Y301" s="2455"/>
      <c r="Z301" s="2455"/>
    </row>
    <row r="302" spans="1:26" ht="12" x14ac:dyDescent="0.2">
      <c r="A302" s="2455"/>
      <c r="B302" s="2455"/>
      <c r="C302" s="2455"/>
      <c r="D302" s="2455"/>
      <c r="E302" s="2455"/>
      <c r="F302" s="2455"/>
      <c r="G302" s="2456"/>
      <c r="H302" s="2455"/>
      <c r="I302" s="2455"/>
      <c r="J302" s="2455"/>
      <c r="K302" s="2455"/>
      <c r="L302" s="2455"/>
      <c r="M302" s="2455"/>
      <c r="N302" s="2455"/>
      <c r="O302" s="2455"/>
      <c r="P302" s="2455"/>
      <c r="Q302" s="2455"/>
      <c r="R302" s="2455"/>
      <c r="S302" s="2455"/>
      <c r="T302" s="2455"/>
      <c r="U302" s="2455"/>
      <c r="V302" s="2455"/>
      <c r="W302" s="2455"/>
      <c r="X302" s="2455"/>
      <c r="Y302" s="2455"/>
      <c r="Z302" s="2455"/>
    </row>
    <row r="303" spans="1:26" ht="12" x14ac:dyDescent="0.2">
      <c r="A303" s="2455"/>
      <c r="B303" s="2455"/>
      <c r="C303" s="2455"/>
      <c r="D303" s="2455"/>
      <c r="E303" s="2455"/>
      <c r="F303" s="2455"/>
      <c r="G303" s="2456"/>
      <c r="H303" s="2455"/>
      <c r="I303" s="2455"/>
      <c r="J303" s="2455"/>
      <c r="K303" s="2455"/>
      <c r="L303" s="2455"/>
      <c r="M303" s="2455"/>
      <c r="N303" s="2455"/>
      <c r="O303" s="2455"/>
      <c r="P303" s="2455"/>
      <c r="Q303" s="2455"/>
      <c r="R303" s="2455"/>
      <c r="S303" s="2455"/>
      <c r="T303" s="2455"/>
      <c r="U303" s="2455"/>
      <c r="V303" s="2455"/>
      <c r="W303" s="2455"/>
      <c r="X303" s="2455"/>
      <c r="Y303" s="2455"/>
      <c r="Z303" s="2455"/>
    </row>
    <row r="304" spans="1:26" ht="12" x14ac:dyDescent="0.2">
      <c r="A304" s="2455"/>
      <c r="B304" s="2455"/>
      <c r="C304" s="2455"/>
      <c r="D304" s="2455"/>
      <c r="E304" s="2455"/>
      <c r="F304" s="2455"/>
      <c r="G304" s="2456"/>
      <c r="H304" s="2455"/>
      <c r="I304" s="2455"/>
      <c r="J304" s="2455"/>
      <c r="K304" s="2455"/>
      <c r="L304" s="2455"/>
      <c r="M304" s="2455"/>
      <c r="N304" s="2455"/>
      <c r="O304" s="2455"/>
      <c r="P304" s="2455"/>
      <c r="Q304" s="2455"/>
      <c r="R304" s="2455"/>
      <c r="S304" s="2455"/>
      <c r="T304" s="2455"/>
      <c r="U304" s="2455"/>
      <c r="V304" s="2455"/>
      <c r="W304" s="2455"/>
      <c r="X304" s="2455"/>
      <c r="Y304" s="2455"/>
      <c r="Z304" s="2455"/>
    </row>
    <row r="305" spans="1:26" ht="12" x14ac:dyDescent="0.2">
      <c r="A305" s="2455"/>
      <c r="B305" s="2455"/>
      <c r="C305" s="2455"/>
      <c r="D305" s="2455"/>
      <c r="E305" s="2455"/>
      <c r="F305" s="2455"/>
      <c r="G305" s="2456"/>
      <c r="H305" s="2455"/>
      <c r="I305" s="2455"/>
      <c r="J305" s="2455"/>
      <c r="K305" s="2455"/>
      <c r="L305" s="2455"/>
      <c r="M305" s="2455"/>
      <c r="N305" s="2455"/>
      <c r="O305" s="2455"/>
      <c r="P305" s="2455"/>
      <c r="Q305" s="2455"/>
      <c r="R305" s="2455"/>
      <c r="S305" s="2455"/>
      <c r="T305" s="2455"/>
      <c r="U305" s="2455"/>
      <c r="V305" s="2455"/>
      <c r="W305" s="2455"/>
      <c r="X305" s="2455"/>
      <c r="Y305" s="2455"/>
      <c r="Z305" s="2455"/>
    </row>
    <row r="306" spans="1:26" ht="12" x14ac:dyDescent="0.2">
      <c r="A306" s="2455"/>
      <c r="B306" s="2455"/>
      <c r="C306" s="2455"/>
      <c r="D306" s="2455"/>
      <c r="E306" s="2455"/>
      <c r="F306" s="2455"/>
      <c r="G306" s="2456"/>
      <c r="H306" s="2455"/>
      <c r="I306" s="2455"/>
      <c r="J306" s="2455"/>
      <c r="K306" s="2455"/>
      <c r="L306" s="2455"/>
      <c r="M306" s="2455"/>
      <c r="N306" s="2455"/>
      <c r="O306" s="2455"/>
      <c r="P306" s="2455"/>
      <c r="Q306" s="2455"/>
      <c r="R306" s="2455"/>
      <c r="S306" s="2455"/>
      <c r="T306" s="2455"/>
      <c r="U306" s="2455"/>
      <c r="V306" s="2455"/>
      <c r="W306" s="2455"/>
      <c r="X306" s="2455"/>
      <c r="Y306" s="2455"/>
      <c r="Z306" s="2455"/>
    </row>
    <row r="307" spans="1:26" ht="12" x14ac:dyDescent="0.2">
      <c r="A307" s="2455"/>
      <c r="B307" s="2455"/>
      <c r="C307" s="2455"/>
      <c r="D307" s="2455"/>
      <c r="E307" s="2455"/>
      <c r="F307" s="2455"/>
      <c r="G307" s="2456"/>
      <c r="H307" s="2455"/>
      <c r="I307" s="2455"/>
      <c r="J307" s="2455"/>
      <c r="K307" s="2455"/>
      <c r="L307" s="2455"/>
      <c r="M307" s="2455"/>
      <c r="N307" s="2455"/>
      <c r="O307" s="2455"/>
      <c r="P307" s="2455"/>
      <c r="Q307" s="2455"/>
      <c r="R307" s="2455"/>
      <c r="S307" s="2455"/>
      <c r="T307" s="2455"/>
      <c r="U307" s="2455"/>
      <c r="V307" s="2455"/>
      <c r="W307" s="2455"/>
      <c r="X307" s="2455"/>
      <c r="Y307" s="2455"/>
      <c r="Z307" s="2455"/>
    </row>
    <row r="308" spans="1:26" ht="12" x14ac:dyDescent="0.2">
      <c r="A308" s="2455"/>
      <c r="B308" s="2455"/>
      <c r="C308" s="2455"/>
      <c r="D308" s="2455"/>
      <c r="E308" s="2455"/>
      <c r="F308" s="2455"/>
      <c r="G308" s="2456"/>
      <c r="H308" s="2455"/>
      <c r="I308" s="2455"/>
      <c r="J308" s="2455"/>
      <c r="K308" s="2455"/>
      <c r="L308" s="2455"/>
      <c r="M308" s="2455"/>
      <c r="N308" s="2455"/>
      <c r="O308" s="2455"/>
      <c r="P308" s="2455"/>
      <c r="Q308" s="2455"/>
      <c r="R308" s="2455"/>
      <c r="S308" s="2455"/>
      <c r="T308" s="2455"/>
      <c r="U308" s="2455"/>
      <c r="V308" s="2455"/>
      <c r="W308" s="2455"/>
      <c r="X308" s="2455"/>
      <c r="Y308" s="2455"/>
      <c r="Z308" s="2455"/>
    </row>
    <row r="309" spans="1:26" ht="12" x14ac:dyDescent="0.2">
      <c r="A309" s="2455"/>
      <c r="B309" s="2455"/>
      <c r="C309" s="2455"/>
      <c r="D309" s="2455"/>
      <c r="E309" s="2455"/>
      <c r="F309" s="2455"/>
      <c r="G309" s="2456"/>
      <c r="H309" s="2455"/>
      <c r="I309" s="2455"/>
      <c r="J309" s="2455"/>
      <c r="K309" s="2455"/>
      <c r="L309" s="2455"/>
      <c r="M309" s="2455"/>
      <c r="N309" s="2455"/>
      <c r="O309" s="2455"/>
      <c r="P309" s="2455"/>
      <c r="Q309" s="2455"/>
      <c r="R309" s="2455"/>
      <c r="S309" s="2455"/>
      <c r="T309" s="2455"/>
      <c r="U309" s="2455"/>
      <c r="V309" s="2455"/>
      <c r="W309" s="2455"/>
      <c r="X309" s="2455"/>
      <c r="Y309" s="2455"/>
      <c r="Z309" s="2455"/>
    </row>
    <row r="310" spans="1:26" ht="12" x14ac:dyDescent="0.2">
      <c r="A310" s="2455"/>
      <c r="B310" s="2455"/>
      <c r="C310" s="2455"/>
      <c r="D310" s="2455"/>
      <c r="E310" s="2455"/>
      <c r="F310" s="2455"/>
      <c r="G310" s="2456"/>
      <c r="H310" s="2455"/>
      <c r="I310" s="2455"/>
      <c r="J310" s="2455"/>
      <c r="K310" s="2455"/>
      <c r="L310" s="2455"/>
      <c r="M310" s="2455"/>
      <c r="N310" s="2455"/>
      <c r="O310" s="2455"/>
      <c r="P310" s="2455"/>
      <c r="Q310" s="2455"/>
      <c r="R310" s="2455"/>
      <c r="S310" s="2455"/>
      <c r="T310" s="2455"/>
      <c r="U310" s="2455"/>
      <c r="V310" s="2455"/>
      <c r="W310" s="2455"/>
      <c r="X310" s="2455"/>
      <c r="Y310" s="2455"/>
      <c r="Z310" s="2455"/>
    </row>
    <row r="311" spans="1:26" ht="12" x14ac:dyDescent="0.2">
      <c r="A311" s="2455"/>
      <c r="B311" s="2455"/>
      <c r="C311" s="2455"/>
      <c r="D311" s="2455"/>
      <c r="E311" s="2455"/>
      <c r="F311" s="2455"/>
      <c r="G311" s="2456"/>
      <c r="H311" s="2455"/>
      <c r="I311" s="2455"/>
      <c r="J311" s="2455"/>
      <c r="K311" s="2455"/>
      <c r="L311" s="2455"/>
      <c r="M311" s="2455"/>
      <c r="N311" s="2455"/>
      <c r="O311" s="2455"/>
      <c r="P311" s="2455"/>
      <c r="Q311" s="2455"/>
      <c r="R311" s="2455"/>
      <c r="S311" s="2455"/>
      <c r="T311" s="2455"/>
      <c r="U311" s="2455"/>
      <c r="V311" s="2455"/>
      <c r="W311" s="2455"/>
      <c r="X311" s="2455"/>
      <c r="Y311" s="2455"/>
      <c r="Z311" s="2455"/>
    </row>
    <row r="312" spans="1:26" ht="12" x14ac:dyDescent="0.2">
      <c r="A312" s="2455"/>
      <c r="B312" s="2455"/>
      <c r="C312" s="2455"/>
      <c r="D312" s="2455"/>
      <c r="E312" s="2455"/>
      <c r="F312" s="2455"/>
      <c r="G312" s="2456"/>
      <c r="H312" s="2455"/>
      <c r="I312" s="2455"/>
      <c r="J312" s="2455"/>
      <c r="K312" s="2455"/>
      <c r="L312" s="2455"/>
      <c r="M312" s="2455"/>
      <c r="N312" s="2455"/>
      <c r="O312" s="2455"/>
      <c r="P312" s="2455"/>
      <c r="Q312" s="2455"/>
      <c r="R312" s="2455"/>
      <c r="S312" s="2455"/>
      <c r="T312" s="2455"/>
      <c r="U312" s="2455"/>
      <c r="V312" s="2455"/>
      <c r="W312" s="2455"/>
      <c r="X312" s="2455"/>
      <c r="Y312" s="2455"/>
      <c r="Z312" s="2455"/>
    </row>
    <row r="313" spans="1:26" ht="12" x14ac:dyDescent="0.2">
      <c r="A313" s="2455"/>
      <c r="B313" s="2455"/>
      <c r="C313" s="2455"/>
      <c r="D313" s="2455"/>
      <c r="E313" s="2455"/>
      <c r="F313" s="2455"/>
      <c r="G313" s="2456"/>
      <c r="H313" s="2455"/>
      <c r="I313" s="2455"/>
      <c r="J313" s="2455"/>
      <c r="K313" s="2455"/>
      <c r="L313" s="2455"/>
      <c r="M313" s="2455"/>
      <c r="N313" s="2455"/>
      <c r="O313" s="2455"/>
      <c r="P313" s="2455"/>
      <c r="Q313" s="2455"/>
      <c r="R313" s="2455"/>
      <c r="S313" s="2455"/>
      <c r="T313" s="2455"/>
      <c r="U313" s="2455"/>
      <c r="V313" s="2455"/>
      <c r="W313" s="2455"/>
      <c r="X313" s="2455"/>
      <c r="Y313" s="2455"/>
      <c r="Z313" s="2455"/>
    </row>
    <row r="314" spans="1:26" ht="12" x14ac:dyDescent="0.2">
      <c r="A314" s="2455"/>
      <c r="B314" s="2455"/>
      <c r="C314" s="2455"/>
      <c r="D314" s="2455"/>
      <c r="E314" s="2455"/>
      <c r="F314" s="2455"/>
      <c r="G314" s="2456"/>
      <c r="H314" s="2455"/>
      <c r="I314" s="2455"/>
      <c r="J314" s="2455"/>
      <c r="K314" s="2455"/>
      <c r="L314" s="2455"/>
      <c r="M314" s="2455"/>
      <c r="N314" s="2455"/>
      <c r="O314" s="2455"/>
      <c r="P314" s="2455"/>
      <c r="Q314" s="2455"/>
      <c r="R314" s="2455"/>
      <c r="S314" s="2455"/>
      <c r="T314" s="2455"/>
      <c r="U314" s="2455"/>
      <c r="V314" s="2455"/>
      <c r="W314" s="2455"/>
      <c r="X314" s="2455"/>
      <c r="Y314" s="2455"/>
      <c r="Z314" s="2455"/>
    </row>
    <row r="315" spans="1:26" ht="12" x14ac:dyDescent="0.2">
      <c r="A315" s="2455"/>
      <c r="B315" s="2455"/>
      <c r="C315" s="2455"/>
      <c r="D315" s="2455"/>
      <c r="E315" s="2455"/>
      <c r="F315" s="2455"/>
      <c r="G315" s="2456"/>
      <c r="H315" s="2455"/>
      <c r="I315" s="2455"/>
      <c r="J315" s="2455"/>
      <c r="K315" s="2455"/>
      <c r="L315" s="2455"/>
      <c r="M315" s="2455"/>
      <c r="N315" s="2455"/>
      <c r="O315" s="2455"/>
      <c r="P315" s="2455"/>
      <c r="Q315" s="2455"/>
      <c r="R315" s="2455"/>
      <c r="S315" s="2455"/>
      <c r="T315" s="2455"/>
      <c r="U315" s="2455"/>
      <c r="V315" s="2455"/>
      <c r="W315" s="2455"/>
      <c r="X315" s="2455"/>
      <c r="Y315" s="2455"/>
      <c r="Z315" s="2455"/>
    </row>
    <row r="316" spans="1:26" ht="12" x14ac:dyDescent="0.2">
      <c r="A316" s="2455"/>
      <c r="B316" s="2455"/>
      <c r="C316" s="2455"/>
      <c r="D316" s="2455"/>
      <c r="E316" s="2455"/>
      <c r="F316" s="2455"/>
      <c r="G316" s="2456"/>
      <c r="H316" s="2455"/>
      <c r="I316" s="2455"/>
      <c r="J316" s="2455"/>
      <c r="K316" s="2455"/>
      <c r="L316" s="2455"/>
      <c r="M316" s="2455"/>
      <c r="N316" s="2455"/>
      <c r="O316" s="2455"/>
      <c r="P316" s="2455"/>
      <c r="Q316" s="2455"/>
      <c r="R316" s="2455"/>
      <c r="S316" s="2455"/>
      <c r="T316" s="2455"/>
      <c r="U316" s="2455"/>
      <c r="V316" s="2455"/>
      <c r="W316" s="2455"/>
      <c r="X316" s="2455"/>
      <c r="Y316" s="2455"/>
      <c r="Z316" s="2455"/>
    </row>
    <row r="317" spans="1:26" ht="12" x14ac:dyDescent="0.2">
      <c r="A317" s="2455"/>
      <c r="B317" s="2455"/>
      <c r="C317" s="2455"/>
      <c r="D317" s="2455"/>
      <c r="E317" s="2455"/>
      <c r="F317" s="2455"/>
      <c r="G317" s="2456"/>
      <c r="H317" s="2455"/>
      <c r="I317" s="2455"/>
      <c r="J317" s="2455"/>
      <c r="K317" s="2455"/>
      <c r="L317" s="2455"/>
      <c r="M317" s="2455"/>
      <c r="N317" s="2455"/>
      <c r="O317" s="2455"/>
      <c r="P317" s="2455"/>
      <c r="Q317" s="2455"/>
      <c r="R317" s="2455"/>
      <c r="S317" s="2455"/>
      <c r="T317" s="2455"/>
      <c r="U317" s="2455"/>
      <c r="V317" s="2455"/>
      <c r="W317" s="2455"/>
      <c r="X317" s="2455"/>
      <c r="Y317" s="2455"/>
      <c r="Z317" s="2455"/>
    </row>
    <row r="318" spans="1:26" ht="12" x14ac:dyDescent="0.2">
      <c r="A318" s="2455"/>
      <c r="B318" s="2455"/>
      <c r="C318" s="2455"/>
      <c r="D318" s="2455"/>
      <c r="E318" s="2455"/>
      <c r="F318" s="2455"/>
      <c r="G318" s="2456"/>
      <c r="H318" s="2455"/>
      <c r="I318" s="2455"/>
      <c r="J318" s="2455"/>
      <c r="K318" s="2455"/>
      <c r="L318" s="2455"/>
      <c r="M318" s="2455"/>
      <c r="N318" s="2455"/>
      <c r="O318" s="2455"/>
      <c r="P318" s="2455"/>
      <c r="Q318" s="2455"/>
      <c r="R318" s="2455"/>
      <c r="S318" s="2455"/>
      <c r="T318" s="2455"/>
      <c r="U318" s="2455"/>
      <c r="V318" s="2455"/>
      <c r="W318" s="2455"/>
      <c r="X318" s="2455"/>
      <c r="Y318" s="2455"/>
      <c r="Z318" s="2455"/>
    </row>
    <row r="319" spans="1:26" ht="12" x14ac:dyDescent="0.2">
      <c r="A319" s="2455"/>
      <c r="B319" s="2455"/>
      <c r="C319" s="2455"/>
      <c r="D319" s="2455"/>
      <c r="E319" s="2455"/>
      <c r="F319" s="2455"/>
      <c r="G319" s="2456"/>
      <c r="H319" s="2455"/>
      <c r="I319" s="2455"/>
      <c r="J319" s="2455"/>
      <c r="K319" s="2455"/>
      <c r="L319" s="2455"/>
      <c r="M319" s="2455"/>
      <c r="N319" s="2455"/>
      <c r="O319" s="2455"/>
      <c r="P319" s="2455"/>
      <c r="Q319" s="2455"/>
      <c r="R319" s="2455"/>
      <c r="S319" s="2455"/>
      <c r="T319" s="2455"/>
      <c r="U319" s="2455"/>
      <c r="V319" s="2455"/>
      <c r="W319" s="2455"/>
      <c r="X319" s="2455"/>
      <c r="Y319" s="2455"/>
      <c r="Z319" s="2455"/>
    </row>
    <row r="320" spans="1:26" ht="12" x14ac:dyDescent="0.2">
      <c r="A320" s="2455"/>
      <c r="B320" s="2455"/>
      <c r="C320" s="2455"/>
      <c r="D320" s="2455"/>
      <c r="E320" s="2455"/>
      <c r="F320" s="2455"/>
      <c r="G320" s="2456"/>
      <c r="H320" s="2455"/>
      <c r="I320" s="2455"/>
      <c r="J320" s="2455"/>
      <c r="K320" s="2455"/>
      <c r="L320" s="2455"/>
      <c r="M320" s="2455"/>
      <c r="N320" s="2455"/>
      <c r="O320" s="2455"/>
      <c r="P320" s="2455"/>
      <c r="Q320" s="2455"/>
      <c r="R320" s="2455"/>
      <c r="S320" s="2455"/>
      <c r="T320" s="2455"/>
      <c r="U320" s="2455"/>
      <c r="V320" s="2455"/>
      <c r="W320" s="2455"/>
      <c r="X320" s="2455"/>
      <c r="Y320" s="2455"/>
      <c r="Z320" s="2455"/>
    </row>
    <row r="321" spans="1:26" ht="12" x14ac:dyDescent="0.2">
      <c r="A321" s="2455"/>
      <c r="B321" s="2455"/>
      <c r="C321" s="2455"/>
      <c r="D321" s="2455"/>
      <c r="E321" s="2455"/>
      <c r="F321" s="2455"/>
      <c r="G321" s="2456"/>
      <c r="H321" s="2455"/>
      <c r="I321" s="2455"/>
      <c r="J321" s="2455"/>
      <c r="K321" s="2455"/>
      <c r="L321" s="2455"/>
      <c r="M321" s="2455"/>
      <c r="N321" s="2455"/>
      <c r="O321" s="2455"/>
      <c r="P321" s="2455"/>
      <c r="Q321" s="2455"/>
      <c r="R321" s="2455"/>
      <c r="S321" s="2455"/>
      <c r="T321" s="2455"/>
      <c r="U321" s="2455"/>
      <c r="V321" s="2455"/>
      <c r="W321" s="2455"/>
      <c r="X321" s="2455"/>
      <c r="Y321" s="2455"/>
      <c r="Z321" s="2455"/>
    </row>
    <row r="322" spans="1:26" ht="12" x14ac:dyDescent="0.2">
      <c r="A322" s="2455"/>
      <c r="B322" s="2455"/>
      <c r="C322" s="2455"/>
      <c r="D322" s="2455"/>
      <c r="E322" s="2455"/>
      <c r="F322" s="2455"/>
      <c r="G322" s="2456"/>
      <c r="H322" s="2455"/>
      <c r="I322" s="2455"/>
      <c r="J322" s="2455"/>
      <c r="K322" s="2455"/>
      <c r="L322" s="2455"/>
      <c r="M322" s="2455"/>
      <c r="N322" s="2455"/>
      <c r="O322" s="2455"/>
      <c r="P322" s="2455"/>
      <c r="Q322" s="2455"/>
      <c r="R322" s="2455"/>
      <c r="S322" s="2455"/>
      <c r="T322" s="2455"/>
      <c r="U322" s="2455"/>
      <c r="V322" s="2455"/>
      <c r="W322" s="2455"/>
      <c r="X322" s="2455"/>
      <c r="Y322" s="2455"/>
      <c r="Z322" s="2455"/>
    </row>
    <row r="323" spans="1:26" ht="12" x14ac:dyDescent="0.2">
      <c r="A323" s="2455"/>
      <c r="B323" s="2455"/>
      <c r="C323" s="2455"/>
      <c r="D323" s="2455"/>
      <c r="E323" s="2455"/>
      <c r="F323" s="2455"/>
      <c r="G323" s="2456"/>
      <c r="H323" s="2455"/>
      <c r="I323" s="2455"/>
      <c r="J323" s="2455"/>
      <c r="K323" s="2455"/>
      <c r="L323" s="2455"/>
      <c r="M323" s="2455"/>
      <c r="N323" s="2455"/>
      <c r="O323" s="2455"/>
      <c r="P323" s="2455"/>
      <c r="Q323" s="2455"/>
      <c r="R323" s="2455"/>
      <c r="S323" s="2455"/>
      <c r="T323" s="2455"/>
      <c r="U323" s="2455"/>
      <c r="V323" s="2455"/>
      <c r="W323" s="2455"/>
      <c r="X323" s="2455"/>
      <c r="Y323" s="2455"/>
      <c r="Z323" s="2455"/>
    </row>
    <row r="324" spans="1:26" ht="12" x14ac:dyDescent="0.2">
      <c r="A324" s="2455"/>
      <c r="B324" s="2455"/>
      <c r="C324" s="2455"/>
      <c r="D324" s="2455"/>
      <c r="E324" s="2455"/>
      <c r="F324" s="2455"/>
      <c r="G324" s="2456"/>
      <c r="H324" s="2455"/>
      <c r="I324" s="2455"/>
      <c r="J324" s="2455"/>
      <c r="K324" s="2455"/>
      <c r="L324" s="2455"/>
      <c r="M324" s="2455"/>
      <c r="N324" s="2455"/>
      <c r="O324" s="2455"/>
      <c r="P324" s="2455"/>
      <c r="Q324" s="2455"/>
      <c r="R324" s="2455"/>
      <c r="S324" s="2455"/>
      <c r="T324" s="2455"/>
      <c r="U324" s="2455"/>
      <c r="V324" s="2455"/>
      <c r="W324" s="2455"/>
      <c r="X324" s="2455"/>
      <c r="Y324" s="2455"/>
      <c r="Z324" s="2455"/>
    </row>
    <row r="325" spans="1:26" ht="12" x14ac:dyDescent="0.2">
      <c r="A325" s="2455"/>
      <c r="B325" s="2455"/>
      <c r="C325" s="2455"/>
      <c r="D325" s="2455"/>
      <c r="E325" s="2455"/>
      <c r="F325" s="2455"/>
      <c r="G325" s="2456"/>
      <c r="H325" s="2455"/>
      <c r="I325" s="2455"/>
      <c r="J325" s="2455"/>
      <c r="K325" s="2455"/>
      <c r="L325" s="2455"/>
      <c r="M325" s="2455"/>
      <c r="N325" s="2455"/>
      <c r="O325" s="2455"/>
      <c r="P325" s="2455"/>
      <c r="Q325" s="2455"/>
      <c r="R325" s="2455"/>
      <c r="S325" s="2455"/>
      <c r="T325" s="2455"/>
      <c r="U325" s="2455"/>
      <c r="V325" s="2455"/>
      <c r="W325" s="2455"/>
      <c r="X325" s="2455"/>
      <c r="Y325" s="2455"/>
      <c r="Z325" s="2455"/>
    </row>
    <row r="326" spans="1:26" ht="12" x14ac:dyDescent="0.2">
      <c r="A326" s="2455"/>
      <c r="B326" s="2455"/>
      <c r="C326" s="2455"/>
      <c r="D326" s="2455"/>
      <c r="E326" s="2455"/>
      <c r="F326" s="2455"/>
      <c r="G326" s="2456"/>
      <c r="H326" s="2455"/>
      <c r="I326" s="2455"/>
      <c r="J326" s="2455"/>
      <c r="K326" s="2455"/>
      <c r="L326" s="2455"/>
      <c r="M326" s="2455"/>
      <c r="N326" s="2455"/>
      <c r="O326" s="2455"/>
      <c r="P326" s="2455"/>
      <c r="Q326" s="2455"/>
      <c r="R326" s="2455"/>
      <c r="S326" s="2455"/>
      <c r="T326" s="2455"/>
      <c r="U326" s="2455"/>
      <c r="V326" s="2455"/>
      <c r="W326" s="2455"/>
      <c r="X326" s="2455"/>
      <c r="Y326" s="2455"/>
      <c r="Z326" s="2455"/>
    </row>
    <row r="327" spans="1:26" ht="12" x14ac:dyDescent="0.2">
      <c r="A327" s="2455"/>
      <c r="B327" s="2455"/>
      <c r="C327" s="2455"/>
      <c r="D327" s="2455"/>
      <c r="E327" s="2455"/>
      <c r="F327" s="2455"/>
      <c r="G327" s="2456"/>
      <c r="H327" s="2455"/>
      <c r="I327" s="2455"/>
      <c r="J327" s="2455"/>
      <c r="K327" s="2455"/>
      <c r="L327" s="2455"/>
      <c r="M327" s="2455"/>
      <c r="N327" s="2455"/>
      <c r="O327" s="2455"/>
      <c r="P327" s="2455"/>
      <c r="Q327" s="2455"/>
      <c r="R327" s="2455"/>
      <c r="S327" s="2455"/>
      <c r="T327" s="2455"/>
      <c r="U327" s="2455"/>
      <c r="V327" s="2455"/>
      <c r="W327" s="2455"/>
      <c r="X327" s="2455"/>
      <c r="Y327" s="2455"/>
      <c r="Z327" s="2455"/>
    </row>
    <row r="328" spans="1:26" ht="12" x14ac:dyDescent="0.2">
      <c r="A328" s="2455"/>
      <c r="B328" s="2455"/>
      <c r="C328" s="2455"/>
      <c r="D328" s="2455"/>
      <c r="E328" s="2455"/>
      <c r="F328" s="2455"/>
      <c r="G328" s="2456"/>
      <c r="H328" s="2455"/>
      <c r="I328" s="2455"/>
      <c r="J328" s="2455"/>
      <c r="K328" s="2455"/>
      <c r="L328" s="2455"/>
      <c r="M328" s="2455"/>
      <c r="N328" s="2455"/>
      <c r="O328" s="2455"/>
      <c r="P328" s="2455"/>
      <c r="Q328" s="2455"/>
      <c r="R328" s="2455"/>
      <c r="S328" s="2455"/>
      <c r="T328" s="2455"/>
      <c r="U328" s="2455"/>
      <c r="V328" s="2455"/>
      <c r="W328" s="2455"/>
      <c r="X328" s="2455"/>
      <c r="Y328" s="2455"/>
      <c r="Z328" s="2455"/>
    </row>
    <row r="329" spans="1:26" ht="12" x14ac:dyDescent="0.2">
      <c r="A329" s="2455"/>
      <c r="B329" s="2455"/>
      <c r="C329" s="2455"/>
      <c r="D329" s="2455"/>
      <c r="E329" s="2455"/>
      <c r="F329" s="2455"/>
      <c r="G329" s="2456"/>
      <c r="H329" s="2455"/>
      <c r="I329" s="2455"/>
      <c r="J329" s="2455"/>
      <c r="K329" s="2455"/>
      <c r="L329" s="2455"/>
      <c r="M329" s="2455"/>
      <c r="N329" s="2455"/>
      <c r="O329" s="2455"/>
      <c r="P329" s="2455"/>
      <c r="Q329" s="2455"/>
      <c r="R329" s="2455"/>
      <c r="S329" s="2455"/>
      <c r="T329" s="2455"/>
      <c r="U329" s="2455"/>
      <c r="V329" s="2455"/>
      <c r="W329" s="2455"/>
      <c r="X329" s="2455"/>
      <c r="Y329" s="2455"/>
      <c r="Z329" s="2455"/>
    </row>
    <row r="330" spans="1:26" ht="12" x14ac:dyDescent="0.2">
      <c r="A330" s="2455"/>
      <c r="B330" s="2455"/>
      <c r="C330" s="2455"/>
      <c r="D330" s="2455"/>
      <c r="E330" s="2455"/>
      <c r="F330" s="2455"/>
      <c r="G330" s="2456"/>
      <c r="H330" s="2455"/>
      <c r="I330" s="2455"/>
      <c r="J330" s="2455"/>
      <c r="K330" s="2455"/>
      <c r="L330" s="2455"/>
      <c r="M330" s="2455"/>
      <c r="N330" s="2455"/>
      <c r="O330" s="2455"/>
      <c r="P330" s="2455"/>
      <c r="Q330" s="2455"/>
      <c r="R330" s="2455"/>
      <c r="S330" s="2455"/>
      <c r="T330" s="2455"/>
      <c r="U330" s="2455"/>
      <c r="V330" s="2455"/>
      <c r="W330" s="2455"/>
      <c r="X330" s="2455"/>
      <c r="Y330" s="2455"/>
      <c r="Z330" s="2455"/>
    </row>
    <row r="331" spans="1:26" ht="12" x14ac:dyDescent="0.2">
      <c r="A331" s="2455"/>
      <c r="B331" s="2455"/>
      <c r="C331" s="2455"/>
      <c r="D331" s="2455"/>
      <c r="E331" s="2455"/>
      <c r="F331" s="2455"/>
      <c r="G331" s="2456"/>
      <c r="H331" s="2455"/>
      <c r="I331" s="2455"/>
      <c r="J331" s="2455"/>
      <c r="K331" s="2455"/>
      <c r="L331" s="2455"/>
      <c r="M331" s="2455"/>
      <c r="N331" s="2455"/>
      <c r="O331" s="2455"/>
      <c r="P331" s="2455"/>
      <c r="Q331" s="2455"/>
      <c r="R331" s="2455"/>
      <c r="S331" s="2455"/>
      <c r="T331" s="2455"/>
      <c r="U331" s="2455"/>
      <c r="V331" s="2455"/>
      <c r="W331" s="2455"/>
      <c r="X331" s="2455"/>
      <c r="Y331" s="2455"/>
      <c r="Z331" s="2455"/>
    </row>
    <row r="332" spans="1:26" ht="12" x14ac:dyDescent="0.2">
      <c r="A332" s="2455"/>
      <c r="B332" s="2455"/>
      <c r="C332" s="2455"/>
      <c r="D332" s="2455"/>
      <c r="E332" s="2455"/>
      <c r="F332" s="2455"/>
      <c r="G332" s="2456"/>
      <c r="H332" s="2455"/>
      <c r="I332" s="2455"/>
      <c r="J332" s="2455"/>
      <c r="K332" s="2455"/>
      <c r="L332" s="2455"/>
      <c r="M332" s="2455"/>
      <c r="N332" s="2455"/>
      <c r="O332" s="2455"/>
      <c r="P332" s="2455"/>
      <c r="Q332" s="2455"/>
      <c r="R332" s="2455"/>
      <c r="S332" s="2455"/>
      <c r="T332" s="2455"/>
      <c r="U332" s="2455"/>
      <c r="V332" s="2455"/>
      <c r="W332" s="2455"/>
      <c r="X332" s="2455"/>
      <c r="Y332" s="2455"/>
      <c r="Z332" s="2455"/>
    </row>
    <row r="333" spans="1:26" ht="12" x14ac:dyDescent="0.2">
      <c r="A333" s="2455"/>
      <c r="B333" s="2455"/>
      <c r="C333" s="2455"/>
      <c r="D333" s="2455"/>
      <c r="E333" s="2455"/>
      <c r="F333" s="2455"/>
      <c r="G333" s="2456"/>
      <c r="H333" s="2455"/>
      <c r="I333" s="2455"/>
      <c r="J333" s="2455"/>
      <c r="K333" s="2455"/>
      <c r="L333" s="2455"/>
      <c r="M333" s="2455"/>
      <c r="N333" s="2455"/>
      <c r="O333" s="2455"/>
      <c r="P333" s="2455"/>
      <c r="Q333" s="2455"/>
      <c r="R333" s="2455"/>
      <c r="S333" s="2455"/>
      <c r="T333" s="2455"/>
      <c r="U333" s="2455"/>
      <c r="V333" s="2455"/>
      <c r="W333" s="2455"/>
      <c r="X333" s="2455"/>
      <c r="Y333" s="2455"/>
      <c r="Z333" s="2455"/>
    </row>
    <row r="334" spans="1:26" ht="12" x14ac:dyDescent="0.2">
      <c r="A334" s="2455"/>
      <c r="B334" s="2455"/>
      <c r="C334" s="2455"/>
      <c r="D334" s="2455"/>
      <c r="E334" s="2455"/>
      <c r="F334" s="2455"/>
      <c r="G334" s="2456"/>
      <c r="H334" s="2455"/>
      <c r="I334" s="2455"/>
      <c r="J334" s="2455"/>
      <c r="K334" s="2455"/>
      <c r="L334" s="2455"/>
      <c r="M334" s="2455"/>
      <c r="N334" s="2455"/>
      <c r="O334" s="2455"/>
      <c r="P334" s="2455"/>
      <c r="Q334" s="2455"/>
      <c r="R334" s="2455"/>
      <c r="S334" s="2455"/>
      <c r="T334" s="2455"/>
      <c r="U334" s="2455"/>
      <c r="V334" s="2455"/>
      <c r="W334" s="2455"/>
      <c r="X334" s="2455"/>
      <c r="Y334" s="2455"/>
      <c r="Z334" s="2455"/>
    </row>
    <row r="335" spans="1:26" ht="12" x14ac:dyDescent="0.2">
      <c r="A335" s="2455"/>
      <c r="B335" s="2455"/>
      <c r="C335" s="2455"/>
      <c r="D335" s="2455"/>
      <c r="E335" s="2455"/>
      <c r="F335" s="2455"/>
      <c r="G335" s="2456"/>
      <c r="H335" s="2455"/>
      <c r="I335" s="2455"/>
      <c r="J335" s="2455"/>
      <c r="K335" s="2455"/>
      <c r="L335" s="2455"/>
      <c r="M335" s="2455"/>
      <c r="N335" s="2455"/>
      <c r="O335" s="2455"/>
      <c r="P335" s="2455"/>
      <c r="Q335" s="2455"/>
      <c r="R335" s="2455"/>
      <c r="S335" s="2455"/>
      <c r="T335" s="2455"/>
      <c r="U335" s="2455"/>
      <c r="V335" s="2455"/>
      <c r="W335" s="2455"/>
      <c r="X335" s="2455"/>
      <c r="Y335" s="2455"/>
      <c r="Z335" s="2455"/>
    </row>
    <row r="336" spans="1:26" ht="12" x14ac:dyDescent="0.2">
      <c r="A336" s="2455"/>
      <c r="B336" s="2455"/>
      <c r="C336" s="2455"/>
      <c r="D336" s="2455"/>
      <c r="E336" s="2455"/>
      <c r="F336" s="2455"/>
      <c r="G336" s="2456"/>
      <c r="H336" s="2455"/>
      <c r="I336" s="2455"/>
      <c r="J336" s="2455"/>
      <c r="K336" s="2455"/>
      <c r="L336" s="2455"/>
      <c r="M336" s="2455"/>
      <c r="N336" s="2455"/>
      <c r="O336" s="2455"/>
      <c r="P336" s="2455"/>
      <c r="Q336" s="2455"/>
      <c r="R336" s="2455"/>
      <c r="S336" s="2455"/>
      <c r="T336" s="2455"/>
      <c r="U336" s="2455"/>
      <c r="V336" s="2455"/>
      <c r="W336" s="2455"/>
      <c r="X336" s="2455"/>
      <c r="Y336" s="2455"/>
      <c r="Z336" s="2455"/>
    </row>
    <row r="337" spans="1:26" ht="12" x14ac:dyDescent="0.2">
      <c r="A337" s="2455"/>
      <c r="B337" s="2455"/>
      <c r="C337" s="2455"/>
      <c r="D337" s="2455"/>
      <c r="E337" s="2455"/>
      <c r="F337" s="2455"/>
      <c r="G337" s="2456"/>
      <c r="H337" s="2455"/>
      <c r="I337" s="2455"/>
      <c r="J337" s="2455"/>
      <c r="K337" s="2455"/>
      <c r="L337" s="2455"/>
      <c r="M337" s="2455"/>
      <c r="N337" s="2455"/>
      <c r="O337" s="2455"/>
      <c r="P337" s="2455"/>
      <c r="Q337" s="2455"/>
      <c r="R337" s="2455"/>
      <c r="S337" s="2455"/>
      <c r="T337" s="2455"/>
      <c r="U337" s="2455"/>
      <c r="V337" s="2455"/>
      <c r="W337" s="2455"/>
      <c r="X337" s="2455"/>
      <c r="Y337" s="2455"/>
      <c r="Z337" s="2455"/>
    </row>
    <row r="338" spans="1:26" ht="12" x14ac:dyDescent="0.2">
      <c r="A338" s="2455"/>
      <c r="B338" s="2455"/>
      <c r="C338" s="2455"/>
      <c r="D338" s="2455"/>
      <c r="E338" s="2455"/>
      <c r="F338" s="2455"/>
      <c r="G338" s="2456"/>
      <c r="H338" s="2455"/>
      <c r="I338" s="2455"/>
      <c r="J338" s="2455"/>
      <c r="K338" s="2455"/>
      <c r="L338" s="2455"/>
      <c r="M338" s="2455"/>
      <c r="N338" s="2455"/>
      <c r="O338" s="2455"/>
      <c r="P338" s="2455"/>
      <c r="Q338" s="2455"/>
      <c r="R338" s="2455"/>
      <c r="S338" s="2455"/>
      <c r="T338" s="2455"/>
      <c r="U338" s="2455"/>
      <c r="V338" s="2455"/>
      <c r="W338" s="2455"/>
      <c r="X338" s="2455"/>
      <c r="Y338" s="2455"/>
      <c r="Z338" s="2455"/>
    </row>
    <row r="339" spans="1:26" ht="12" x14ac:dyDescent="0.2">
      <c r="A339" s="2455"/>
      <c r="B339" s="2455"/>
      <c r="C339" s="2455"/>
      <c r="D339" s="2455"/>
      <c r="E339" s="2455"/>
      <c r="F339" s="2455"/>
      <c r="G339" s="2456"/>
      <c r="H339" s="2455"/>
      <c r="I339" s="2455"/>
      <c r="J339" s="2455"/>
      <c r="K339" s="2455"/>
      <c r="L339" s="2455"/>
      <c r="M339" s="2455"/>
      <c r="N339" s="2455"/>
      <c r="O339" s="2455"/>
      <c r="P339" s="2455"/>
      <c r="Q339" s="2455"/>
      <c r="R339" s="2455"/>
      <c r="S339" s="2455"/>
      <c r="T339" s="2455"/>
      <c r="U339" s="2455"/>
      <c r="V339" s="2455"/>
      <c r="W339" s="2455"/>
      <c r="X339" s="2455"/>
      <c r="Y339" s="2455"/>
      <c r="Z339" s="2455"/>
    </row>
    <row r="340" spans="1:26" ht="12" x14ac:dyDescent="0.2">
      <c r="A340" s="2455"/>
      <c r="B340" s="2455"/>
      <c r="C340" s="2455"/>
      <c r="D340" s="2455"/>
      <c r="E340" s="2455"/>
      <c r="F340" s="2455"/>
      <c r="G340" s="2456"/>
      <c r="H340" s="2455"/>
      <c r="I340" s="2455"/>
      <c r="J340" s="2455"/>
      <c r="K340" s="2455"/>
      <c r="L340" s="2455"/>
      <c r="M340" s="2455"/>
      <c r="N340" s="2455"/>
      <c r="O340" s="2455"/>
      <c r="P340" s="2455"/>
      <c r="Q340" s="2455"/>
      <c r="R340" s="2455"/>
      <c r="S340" s="2455"/>
      <c r="T340" s="2455"/>
      <c r="U340" s="2455"/>
      <c r="V340" s="2455"/>
      <c r="W340" s="2455"/>
      <c r="X340" s="2455"/>
      <c r="Y340" s="2455"/>
      <c r="Z340" s="2455"/>
    </row>
    <row r="341" spans="1:26" ht="12" x14ac:dyDescent="0.2">
      <c r="A341" s="2455"/>
      <c r="B341" s="2455"/>
      <c r="C341" s="2455"/>
      <c r="D341" s="2455"/>
      <c r="E341" s="2455"/>
      <c r="F341" s="2455"/>
      <c r="G341" s="2456"/>
      <c r="H341" s="2455"/>
      <c r="I341" s="2455"/>
      <c r="J341" s="2455"/>
      <c r="K341" s="2455"/>
      <c r="L341" s="2455"/>
      <c r="M341" s="2455"/>
      <c r="N341" s="2455"/>
      <c r="O341" s="2455"/>
      <c r="P341" s="2455"/>
      <c r="Q341" s="2455"/>
      <c r="R341" s="2455"/>
      <c r="S341" s="2455"/>
      <c r="T341" s="2455"/>
      <c r="U341" s="2455"/>
      <c r="V341" s="2455"/>
      <c r="W341" s="2455"/>
      <c r="X341" s="2455"/>
      <c r="Y341" s="2455"/>
      <c r="Z341" s="2455"/>
    </row>
    <row r="342" spans="1:26" ht="12" x14ac:dyDescent="0.2">
      <c r="A342" s="2455"/>
      <c r="B342" s="2455"/>
      <c r="C342" s="2455"/>
      <c r="D342" s="2455"/>
      <c r="E342" s="2455"/>
      <c r="F342" s="2455"/>
      <c r="G342" s="2456"/>
      <c r="H342" s="2455"/>
      <c r="I342" s="2455"/>
      <c r="J342" s="2455"/>
      <c r="K342" s="2455"/>
      <c r="L342" s="2455"/>
      <c r="M342" s="2455"/>
      <c r="N342" s="2455"/>
      <c r="O342" s="2455"/>
      <c r="P342" s="2455"/>
      <c r="Q342" s="2455"/>
      <c r="R342" s="2455"/>
      <c r="S342" s="2455"/>
      <c r="T342" s="2455"/>
      <c r="U342" s="2455"/>
      <c r="V342" s="2455"/>
      <c r="W342" s="2455"/>
      <c r="X342" s="2455"/>
      <c r="Y342" s="2455"/>
      <c r="Z342" s="2455"/>
    </row>
    <row r="343" spans="1:26" ht="12" x14ac:dyDescent="0.2">
      <c r="A343" s="2455"/>
      <c r="B343" s="2455"/>
      <c r="C343" s="2455"/>
      <c r="D343" s="2455"/>
      <c r="E343" s="2455"/>
      <c r="F343" s="2455"/>
      <c r="G343" s="2456"/>
      <c r="H343" s="2455"/>
      <c r="I343" s="2455"/>
      <c r="J343" s="2455"/>
      <c r="K343" s="2455"/>
      <c r="L343" s="2455"/>
      <c r="M343" s="2455"/>
      <c r="N343" s="2455"/>
      <c r="O343" s="2455"/>
      <c r="P343" s="2455"/>
      <c r="Q343" s="2455"/>
      <c r="R343" s="2455"/>
      <c r="S343" s="2455"/>
      <c r="T343" s="2455"/>
      <c r="U343" s="2455"/>
      <c r="V343" s="2455"/>
      <c r="W343" s="2455"/>
      <c r="X343" s="2455"/>
      <c r="Y343" s="2455"/>
      <c r="Z343" s="2455"/>
    </row>
    <row r="344" spans="1:26" ht="12" x14ac:dyDescent="0.2">
      <c r="A344" s="2455"/>
      <c r="B344" s="2455"/>
      <c r="C344" s="2455"/>
      <c r="D344" s="2455"/>
      <c r="E344" s="2455"/>
      <c r="F344" s="2455"/>
      <c r="G344" s="2456"/>
      <c r="H344" s="2455"/>
      <c r="I344" s="2455"/>
      <c r="J344" s="2455"/>
      <c r="K344" s="2455"/>
      <c r="L344" s="2455"/>
      <c r="M344" s="2455"/>
      <c r="N344" s="2455"/>
      <c r="O344" s="2455"/>
      <c r="P344" s="2455"/>
      <c r="Q344" s="2455"/>
      <c r="R344" s="2455"/>
      <c r="S344" s="2455"/>
      <c r="T344" s="2455"/>
      <c r="U344" s="2455"/>
      <c r="V344" s="2455"/>
      <c r="W344" s="2455"/>
      <c r="X344" s="2455"/>
      <c r="Y344" s="2455"/>
      <c r="Z344" s="2455"/>
    </row>
    <row r="345" spans="1:26" ht="12" x14ac:dyDescent="0.2">
      <c r="A345" s="2455"/>
      <c r="B345" s="2455"/>
      <c r="C345" s="2455"/>
      <c r="D345" s="2455"/>
      <c r="E345" s="2455"/>
      <c r="F345" s="2455"/>
      <c r="G345" s="2456"/>
      <c r="H345" s="2455"/>
      <c r="I345" s="2455"/>
      <c r="J345" s="2455"/>
      <c r="K345" s="2455"/>
      <c r="L345" s="2455"/>
      <c r="M345" s="2455"/>
      <c r="N345" s="2455"/>
      <c r="O345" s="2455"/>
      <c r="P345" s="2455"/>
      <c r="Q345" s="2455"/>
      <c r="R345" s="2455"/>
      <c r="S345" s="2455"/>
      <c r="T345" s="2455"/>
      <c r="U345" s="2455"/>
      <c r="V345" s="2455"/>
      <c r="W345" s="2455"/>
      <c r="X345" s="2455"/>
      <c r="Y345" s="2455"/>
      <c r="Z345" s="2455"/>
    </row>
    <row r="346" spans="1:26" ht="12" x14ac:dyDescent="0.2">
      <c r="A346" s="2455"/>
      <c r="B346" s="2455"/>
      <c r="C346" s="2455"/>
      <c r="D346" s="2455"/>
      <c r="E346" s="2455"/>
      <c r="F346" s="2455"/>
      <c r="G346" s="2456"/>
      <c r="H346" s="2455"/>
      <c r="I346" s="2455"/>
      <c r="J346" s="2455"/>
      <c r="K346" s="2455"/>
      <c r="L346" s="2455"/>
      <c r="M346" s="2455"/>
      <c r="N346" s="2455"/>
      <c r="O346" s="2455"/>
      <c r="P346" s="2455"/>
      <c r="Q346" s="2455"/>
      <c r="R346" s="2455"/>
      <c r="S346" s="2455"/>
      <c r="T346" s="2455"/>
      <c r="U346" s="2455"/>
      <c r="V346" s="2455"/>
      <c r="W346" s="2455"/>
      <c r="X346" s="2455"/>
      <c r="Y346" s="2455"/>
      <c r="Z346" s="2455"/>
    </row>
    <row r="347" spans="1:26" ht="12" x14ac:dyDescent="0.2">
      <c r="A347" s="2455"/>
      <c r="B347" s="2455"/>
      <c r="C347" s="2455"/>
      <c r="D347" s="2455"/>
      <c r="E347" s="2455"/>
      <c r="F347" s="2455"/>
      <c r="G347" s="2456"/>
      <c r="H347" s="2455"/>
      <c r="I347" s="2455"/>
      <c r="J347" s="2455"/>
      <c r="K347" s="2455"/>
      <c r="L347" s="2455"/>
      <c r="M347" s="2455"/>
      <c r="N347" s="2455"/>
      <c r="O347" s="2455"/>
      <c r="P347" s="2455"/>
      <c r="Q347" s="2455"/>
      <c r="R347" s="2455"/>
      <c r="S347" s="2455"/>
      <c r="T347" s="2455"/>
      <c r="U347" s="2455"/>
      <c r="V347" s="2455"/>
      <c r="W347" s="2455"/>
      <c r="X347" s="2455"/>
      <c r="Y347" s="2455"/>
      <c r="Z347" s="2455"/>
    </row>
    <row r="348" spans="1:26" ht="12" x14ac:dyDescent="0.2">
      <c r="A348" s="2455"/>
      <c r="B348" s="2455"/>
      <c r="C348" s="2455"/>
      <c r="D348" s="2455"/>
      <c r="E348" s="2455"/>
      <c r="F348" s="2455"/>
      <c r="G348" s="2456"/>
      <c r="H348" s="2455"/>
      <c r="I348" s="2455"/>
      <c r="J348" s="2455"/>
      <c r="K348" s="2455"/>
      <c r="L348" s="2455"/>
      <c r="M348" s="2455"/>
      <c r="N348" s="2455"/>
      <c r="O348" s="2455"/>
      <c r="P348" s="2455"/>
      <c r="Q348" s="2455"/>
      <c r="R348" s="2455"/>
      <c r="S348" s="2455"/>
      <c r="T348" s="2455"/>
      <c r="U348" s="2455"/>
      <c r="V348" s="2455"/>
      <c r="W348" s="2455"/>
      <c r="X348" s="2455"/>
      <c r="Y348" s="2455"/>
      <c r="Z348" s="2455"/>
    </row>
    <row r="349" spans="1:26" ht="12" x14ac:dyDescent="0.2">
      <c r="A349" s="2455"/>
      <c r="B349" s="2455"/>
      <c r="C349" s="2455"/>
      <c r="D349" s="2455"/>
      <c r="E349" s="2455"/>
      <c r="F349" s="2455"/>
      <c r="G349" s="2456"/>
      <c r="H349" s="2455"/>
      <c r="I349" s="2455"/>
      <c r="J349" s="2455"/>
      <c r="K349" s="2455"/>
      <c r="L349" s="2455"/>
      <c r="M349" s="2455"/>
      <c r="N349" s="2455"/>
      <c r="O349" s="2455"/>
      <c r="P349" s="2455"/>
      <c r="Q349" s="2455"/>
      <c r="R349" s="2455"/>
      <c r="S349" s="2455"/>
      <c r="T349" s="2455"/>
      <c r="U349" s="2455"/>
      <c r="V349" s="2455"/>
      <c r="W349" s="2455"/>
      <c r="X349" s="2455"/>
      <c r="Y349" s="2455"/>
      <c r="Z349" s="2455"/>
    </row>
    <row r="350" spans="1:26" ht="12" x14ac:dyDescent="0.2">
      <c r="A350" s="2455"/>
      <c r="B350" s="2455"/>
      <c r="C350" s="2455"/>
      <c r="D350" s="2455"/>
      <c r="E350" s="2455"/>
      <c r="F350" s="2455"/>
      <c r="G350" s="2456"/>
      <c r="H350" s="2455"/>
      <c r="I350" s="2455"/>
      <c r="J350" s="2455"/>
      <c r="K350" s="2455"/>
      <c r="L350" s="2455"/>
      <c r="M350" s="2455"/>
      <c r="N350" s="2455"/>
      <c r="O350" s="2455"/>
      <c r="P350" s="2455"/>
      <c r="Q350" s="2455"/>
      <c r="R350" s="2455"/>
      <c r="S350" s="2455"/>
      <c r="T350" s="2455"/>
      <c r="U350" s="2455"/>
      <c r="V350" s="2455"/>
      <c r="W350" s="2455"/>
      <c r="X350" s="2455"/>
      <c r="Y350" s="2455"/>
      <c r="Z350" s="2455"/>
    </row>
    <row r="351" spans="1:26" ht="12" x14ac:dyDescent="0.2">
      <c r="A351" s="2455"/>
      <c r="B351" s="2455"/>
      <c r="C351" s="2455"/>
      <c r="D351" s="2455"/>
      <c r="E351" s="2455"/>
      <c r="F351" s="2455"/>
      <c r="G351" s="2456"/>
      <c r="H351" s="2455"/>
      <c r="I351" s="2455"/>
      <c r="J351" s="2455"/>
      <c r="K351" s="2455"/>
      <c r="L351" s="2455"/>
      <c r="M351" s="2455"/>
      <c r="N351" s="2455"/>
      <c r="O351" s="2455"/>
      <c r="P351" s="2455"/>
      <c r="Q351" s="2455"/>
      <c r="R351" s="2455"/>
      <c r="S351" s="2455"/>
      <c r="T351" s="2455"/>
      <c r="U351" s="2455"/>
      <c r="V351" s="2455"/>
      <c r="W351" s="2455"/>
      <c r="X351" s="2455"/>
      <c r="Y351" s="2455"/>
      <c r="Z351" s="2455"/>
    </row>
    <row r="352" spans="1:26" ht="12" x14ac:dyDescent="0.2">
      <c r="A352" s="2455"/>
      <c r="B352" s="2455"/>
      <c r="C352" s="2455"/>
      <c r="D352" s="2455"/>
      <c r="E352" s="2455"/>
      <c r="F352" s="2455"/>
      <c r="G352" s="2456"/>
      <c r="H352" s="2455"/>
      <c r="I352" s="2455"/>
      <c r="J352" s="2455"/>
      <c r="K352" s="2455"/>
      <c r="L352" s="2455"/>
      <c r="M352" s="2455"/>
      <c r="N352" s="2455"/>
      <c r="O352" s="2455"/>
      <c r="P352" s="2455"/>
      <c r="Q352" s="2455"/>
      <c r="R352" s="2455"/>
      <c r="S352" s="2455"/>
      <c r="T352" s="2455"/>
      <c r="U352" s="2455"/>
      <c r="V352" s="2455"/>
      <c r="W352" s="2455"/>
      <c r="X352" s="2455"/>
      <c r="Y352" s="2455"/>
      <c r="Z352" s="2455"/>
    </row>
    <row r="353" spans="1:26" ht="12" x14ac:dyDescent="0.2">
      <c r="A353" s="2455"/>
      <c r="B353" s="2455"/>
      <c r="C353" s="2455"/>
      <c r="D353" s="2455"/>
      <c r="E353" s="2455"/>
      <c r="F353" s="2455"/>
      <c r="G353" s="2456"/>
      <c r="H353" s="2455"/>
      <c r="I353" s="2455"/>
      <c r="J353" s="2455"/>
      <c r="K353" s="2455"/>
      <c r="L353" s="2455"/>
      <c r="M353" s="2455"/>
      <c r="N353" s="2455"/>
      <c r="O353" s="2455"/>
      <c r="P353" s="2455"/>
      <c r="Q353" s="2455"/>
      <c r="R353" s="2455"/>
      <c r="S353" s="2455"/>
      <c r="T353" s="2455"/>
      <c r="U353" s="2455"/>
      <c r="V353" s="2455"/>
      <c r="W353" s="2455"/>
      <c r="X353" s="2455"/>
      <c r="Y353" s="2455"/>
      <c r="Z353" s="2455"/>
    </row>
    <row r="354" spans="1:26" ht="12" x14ac:dyDescent="0.2">
      <c r="A354" s="2455"/>
      <c r="B354" s="2455"/>
      <c r="C354" s="2455"/>
      <c r="D354" s="2455"/>
      <c r="E354" s="2455"/>
      <c r="F354" s="2455"/>
      <c r="G354" s="2456"/>
      <c r="H354" s="2455"/>
      <c r="I354" s="2455"/>
      <c r="J354" s="2455"/>
      <c r="K354" s="2455"/>
      <c r="L354" s="2455"/>
      <c r="M354" s="2455"/>
      <c r="N354" s="2455"/>
      <c r="O354" s="2455"/>
      <c r="P354" s="2455"/>
      <c r="Q354" s="2455"/>
      <c r="R354" s="2455"/>
      <c r="S354" s="2455"/>
      <c r="T354" s="2455"/>
      <c r="U354" s="2455"/>
      <c r="V354" s="2455"/>
      <c r="W354" s="2455"/>
      <c r="X354" s="2455"/>
      <c r="Y354" s="2455"/>
      <c r="Z354" s="2455"/>
    </row>
    <row r="355" spans="1:26" ht="12" x14ac:dyDescent="0.2">
      <c r="A355" s="2455"/>
      <c r="B355" s="2455"/>
      <c r="C355" s="2455"/>
      <c r="D355" s="2455"/>
      <c r="E355" s="2455"/>
      <c r="F355" s="2455"/>
      <c r="G355" s="2456"/>
      <c r="H355" s="2455"/>
      <c r="I355" s="2455"/>
      <c r="J355" s="2455"/>
      <c r="K355" s="2455"/>
      <c r="L355" s="2455"/>
      <c r="M355" s="2455"/>
      <c r="N355" s="2455"/>
      <c r="O355" s="2455"/>
      <c r="P355" s="2455"/>
      <c r="Q355" s="2455"/>
      <c r="R355" s="2455"/>
      <c r="S355" s="2455"/>
      <c r="T355" s="2455"/>
      <c r="U355" s="2455"/>
      <c r="V355" s="2455"/>
      <c r="W355" s="2455"/>
      <c r="X355" s="2455"/>
      <c r="Y355" s="2455"/>
      <c r="Z355" s="2455"/>
    </row>
    <row r="356" spans="1:26" ht="12" x14ac:dyDescent="0.2">
      <c r="A356" s="2455"/>
      <c r="B356" s="2455"/>
      <c r="C356" s="2455"/>
      <c r="D356" s="2455"/>
      <c r="E356" s="2455"/>
      <c r="F356" s="2455"/>
      <c r="G356" s="2456"/>
      <c r="H356" s="2455"/>
      <c r="I356" s="2455"/>
      <c r="J356" s="2455"/>
      <c r="K356" s="2455"/>
      <c r="L356" s="2455"/>
      <c r="M356" s="2455"/>
      <c r="N356" s="2455"/>
      <c r="O356" s="2455"/>
      <c r="P356" s="2455"/>
      <c r="Q356" s="2455"/>
      <c r="R356" s="2455"/>
      <c r="S356" s="2455"/>
      <c r="T356" s="2455"/>
      <c r="U356" s="2455"/>
      <c r="V356" s="2455"/>
      <c r="W356" s="2455"/>
      <c r="X356" s="2455"/>
      <c r="Y356" s="2455"/>
      <c r="Z356" s="2455"/>
    </row>
    <row r="357" spans="1:26" ht="12" x14ac:dyDescent="0.2">
      <c r="A357" s="2455"/>
      <c r="B357" s="2455"/>
      <c r="C357" s="2455"/>
      <c r="D357" s="2455"/>
      <c r="E357" s="2455"/>
      <c r="F357" s="2455"/>
      <c r="G357" s="2456"/>
      <c r="H357" s="2455"/>
      <c r="I357" s="2455"/>
      <c r="J357" s="2455"/>
      <c r="K357" s="2455"/>
      <c r="L357" s="2455"/>
      <c r="M357" s="2455"/>
      <c r="N357" s="2455"/>
      <c r="O357" s="2455"/>
      <c r="P357" s="2455"/>
      <c r="Q357" s="2455"/>
      <c r="R357" s="2455"/>
      <c r="S357" s="2455"/>
      <c r="T357" s="2455"/>
      <c r="U357" s="2455"/>
      <c r="V357" s="2455"/>
      <c r="W357" s="2455"/>
      <c r="X357" s="2455"/>
      <c r="Y357" s="2455"/>
      <c r="Z357" s="2455"/>
    </row>
    <row r="358" spans="1:26" ht="12" x14ac:dyDescent="0.2">
      <c r="A358" s="2455"/>
      <c r="B358" s="2455"/>
      <c r="C358" s="2455"/>
      <c r="D358" s="2455"/>
      <c r="E358" s="2455"/>
      <c r="F358" s="2455"/>
      <c r="G358" s="2456"/>
      <c r="H358" s="2455"/>
      <c r="I358" s="2455"/>
      <c r="J358" s="2455"/>
      <c r="K358" s="2455"/>
      <c r="L358" s="2455"/>
      <c r="M358" s="2455"/>
      <c r="N358" s="2455"/>
      <c r="O358" s="2455"/>
      <c r="P358" s="2455"/>
      <c r="Q358" s="2455"/>
      <c r="R358" s="2455"/>
      <c r="S358" s="2455"/>
      <c r="T358" s="2455"/>
      <c r="U358" s="2455"/>
      <c r="V358" s="2455"/>
      <c r="W358" s="2455"/>
      <c r="X358" s="2455"/>
      <c r="Y358" s="2455"/>
      <c r="Z358" s="2455"/>
    </row>
    <row r="359" spans="1:26" ht="12" x14ac:dyDescent="0.2">
      <c r="A359" s="2455"/>
      <c r="B359" s="2455"/>
      <c r="C359" s="2455"/>
      <c r="D359" s="2455"/>
      <c r="E359" s="2455"/>
      <c r="F359" s="2455"/>
      <c r="G359" s="2456"/>
      <c r="H359" s="2455"/>
      <c r="I359" s="2455"/>
      <c r="J359" s="2455"/>
      <c r="K359" s="2455"/>
      <c r="L359" s="2455"/>
      <c r="M359" s="2455"/>
      <c r="N359" s="2455"/>
      <c r="O359" s="2455"/>
      <c r="P359" s="2455"/>
      <c r="Q359" s="2455"/>
      <c r="R359" s="2455"/>
      <c r="S359" s="2455"/>
      <c r="T359" s="2455"/>
      <c r="U359" s="2455"/>
      <c r="V359" s="2455"/>
      <c r="W359" s="2455"/>
      <c r="X359" s="2455"/>
      <c r="Y359" s="2455"/>
      <c r="Z359" s="2455"/>
    </row>
    <row r="360" spans="1:26" ht="12" x14ac:dyDescent="0.2">
      <c r="A360" s="2455"/>
      <c r="B360" s="2455"/>
      <c r="C360" s="2455"/>
      <c r="D360" s="2455"/>
      <c r="E360" s="2455"/>
      <c r="F360" s="2455"/>
      <c r="G360" s="2456"/>
      <c r="H360" s="2455"/>
      <c r="I360" s="2455"/>
      <c r="J360" s="2455"/>
      <c r="K360" s="2455"/>
      <c r="L360" s="2455"/>
      <c r="M360" s="2455"/>
      <c r="N360" s="2455"/>
      <c r="O360" s="2455"/>
      <c r="P360" s="2455"/>
      <c r="Q360" s="2455"/>
      <c r="R360" s="2455"/>
      <c r="S360" s="2455"/>
      <c r="T360" s="2455"/>
      <c r="U360" s="2455"/>
      <c r="V360" s="2455"/>
      <c r="W360" s="2455"/>
      <c r="X360" s="2455"/>
      <c r="Y360" s="2455"/>
      <c r="Z360" s="2455"/>
    </row>
    <row r="361" spans="1:26" ht="12" x14ac:dyDescent="0.2">
      <c r="A361" s="2455"/>
      <c r="B361" s="2455"/>
      <c r="C361" s="2455"/>
      <c r="D361" s="2455"/>
      <c r="E361" s="2455"/>
      <c r="F361" s="2455"/>
      <c r="G361" s="2456"/>
      <c r="H361" s="2455"/>
      <c r="I361" s="2455"/>
      <c r="J361" s="2455"/>
      <c r="K361" s="2455"/>
      <c r="L361" s="2455"/>
      <c r="M361" s="2455"/>
      <c r="N361" s="2455"/>
      <c r="O361" s="2455"/>
      <c r="P361" s="2455"/>
      <c r="Q361" s="2455"/>
      <c r="R361" s="2455"/>
      <c r="S361" s="2455"/>
      <c r="T361" s="2455"/>
      <c r="U361" s="2455"/>
      <c r="V361" s="2455"/>
      <c r="W361" s="2455"/>
      <c r="X361" s="2455"/>
      <c r="Y361" s="2455"/>
      <c r="Z361" s="2455"/>
    </row>
    <row r="362" spans="1:26" ht="12" x14ac:dyDescent="0.2">
      <c r="A362" s="2455"/>
      <c r="B362" s="2455"/>
      <c r="C362" s="2455"/>
      <c r="D362" s="2455"/>
      <c r="E362" s="2455"/>
      <c r="F362" s="2455"/>
      <c r="G362" s="2456"/>
      <c r="H362" s="2455"/>
      <c r="I362" s="2455"/>
      <c r="J362" s="2455"/>
      <c r="K362" s="2455"/>
      <c r="L362" s="2455"/>
      <c r="M362" s="2455"/>
      <c r="N362" s="2455"/>
      <c r="O362" s="2455"/>
      <c r="P362" s="2455"/>
      <c r="Q362" s="2455"/>
      <c r="R362" s="2455"/>
      <c r="S362" s="2455"/>
      <c r="T362" s="2455"/>
      <c r="U362" s="2455"/>
      <c r="V362" s="2455"/>
      <c r="W362" s="2455"/>
      <c r="X362" s="2455"/>
      <c r="Y362" s="2455"/>
      <c r="Z362" s="2455"/>
    </row>
    <row r="363" spans="1:26" ht="12" x14ac:dyDescent="0.2">
      <c r="A363" s="2455"/>
      <c r="B363" s="2455"/>
      <c r="C363" s="2455"/>
      <c r="D363" s="2455"/>
      <c r="E363" s="2455"/>
      <c r="F363" s="2455"/>
      <c r="G363" s="2456"/>
      <c r="H363" s="2455"/>
      <c r="I363" s="2455"/>
      <c r="J363" s="2455"/>
      <c r="K363" s="2455"/>
      <c r="L363" s="2455"/>
      <c r="M363" s="2455"/>
      <c r="N363" s="2455"/>
      <c r="O363" s="2455"/>
      <c r="P363" s="2455"/>
      <c r="Q363" s="2455"/>
      <c r="R363" s="2455"/>
      <c r="S363" s="2455"/>
      <c r="T363" s="2455"/>
      <c r="U363" s="2455"/>
      <c r="V363" s="2455"/>
      <c r="W363" s="2455"/>
      <c r="X363" s="2455"/>
      <c r="Y363" s="2455"/>
      <c r="Z363" s="2455"/>
    </row>
    <row r="364" spans="1:26" ht="12" x14ac:dyDescent="0.2">
      <c r="A364" s="2455"/>
      <c r="B364" s="2455"/>
      <c r="C364" s="2455"/>
      <c r="D364" s="2455"/>
      <c r="E364" s="2455"/>
      <c r="F364" s="2455"/>
      <c r="G364" s="2456"/>
      <c r="H364" s="2455"/>
      <c r="I364" s="2455"/>
      <c r="J364" s="2455"/>
      <c r="K364" s="2455"/>
      <c r="L364" s="2455"/>
      <c r="M364" s="2455"/>
      <c r="N364" s="2455"/>
      <c r="O364" s="2455"/>
      <c r="P364" s="2455"/>
      <c r="Q364" s="2455"/>
      <c r="R364" s="2455"/>
      <c r="S364" s="2455"/>
      <c r="T364" s="2455"/>
      <c r="U364" s="2455"/>
      <c r="V364" s="2455"/>
      <c r="W364" s="2455"/>
      <c r="X364" s="2455"/>
      <c r="Y364" s="2455"/>
      <c r="Z364" s="2455"/>
    </row>
    <row r="365" spans="1:26" ht="12" x14ac:dyDescent="0.2">
      <c r="A365" s="2455"/>
      <c r="B365" s="2455"/>
      <c r="C365" s="2455"/>
      <c r="D365" s="2455"/>
      <c r="E365" s="2455"/>
      <c r="F365" s="2455"/>
      <c r="G365" s="2456"/>
      <c r="H365" s="2455"/>
      <c r="I365" s="2455"/>
      <c r="J365" s="2455"/>
      <c r="K365" s="2455"/>
      <c r="L365" s="2455"/>
      <c r="M365" s="2455"/>
      <c r="N365" s="2455"/>
      <c r="O365" s="2455"/>
      <c r="P365" s="2455"/>
      <c r="Q365" s="2455"/>
      <c r="R365" s="2455"/>
      <c r="S365" s="2455"/>
      <c r="T365" s="2455"/>
      <c r="U365" s="2455"/>
      <c r="V365" s="2455"/>
      <c r="W365" s="2455"/>
      <c r="X365" s="2455"/>
      <c r="Y365" s="2455"/>
      <c r="Z365" s="2455"/>
    </row>
    <row r="366" spans="1:26" ht="12" x14ac:dyDescent="0.2">
      <c r="A366" s="2455"/>
      <c r="B366" s="2455"/>
      <c r="C366" s="2455"/>
      <c r="D366" s="2455"/>
      <c r="E366" s="2455"/>
      <c r="F366" s="2455"/>
      <c r="G366" s="2456"/>
      <c r="H366" s="2455"/>
      <c r="I366" s="2455"/>
      <c r="J366" s="2455"/>
      <c r="K366" s="2455"/>
      <c r="L366" s="2455"/>
      <c r="M366" s="2455"/>
      <c r="N366" s="2455"/>
      <c r="O366" s="2455"/>
      <c r="P366" s="2455"/>
      <c r="Q366" s="2455"/>
      <c r="R366" s="2455"/>
      <c r="S366" s="2455"/>
      <c r="T366" s="2455"/>
      <c r="U366" s="2455"/>
      <c r="V366" s="2455"/>
      <c r="W366" s="2455"/>
      <c r="X366" s="2455"/>
      <c r="Y366" s="2455"/>
      <c r="Z366" s="2455"/>
    </row>
    <row r="367" spans="1:26" ht="12" x14ac:dyDescent="0.2">
      <c r="A367" s="2455"/>
      <c r="B367" s="2455"/>
      <c r="C367" s="2455"/>
      <c r="D367" s="2455"/>
      <c r="E367" s="2455"/>
      <c r="F367" s="2455"/>
      <c r="G367" s="2456"/>
      <c r="H367" s="2455"/>
      <c r="I367" s="2455"/>
      <c r="J367" s="2455"/>
      <c r="K367" s="2455"/>
      <c r="L367" s="2455"/>
      <c r="M367" s="2455"/>
      <c r="N367" s="2455"/>
      <c r="O367" s="2455"/>
      <c r="P367" s="2455"/>
      <c r="Q367" s="2455"/>
      <c r="R367" s="2455"/>
      <c r="S367" s="2455"/>
      <c r="T367" s="2455"/>
      <c r="U367" s="2455"/>
      <c r="V367" s="2455"/>
      <c r="W367" s="2455"/>
      <c r="X367" s="2455"/>
      <c r="Y367" s="2455"/>
      <c r="Z367" s="2455"/>
    </row>
    <row r="368" spans="1:26" ht="12" x14ac:dyDescent="0.2">
      <c r="A368" s="2455"/>
      <c r="B368" s="2455"/>
      <c r="C368" s="2455"/>
      <c r="D368" s="2455"/>
      <c r="E368" s="2455"/>
      <c r="F368" s="2455"/>
      <c r="G368" s="2456"/>
      <c r="H368" s="2455"/>
      <c r="I368" s="2455"/>
      <c r="J368" s="2455"/>
      <c r="K368" s="2455"/>
      <c r="L368" s="2455"/>
      <c r="M368" s="2455"/>
      <c r="N368" s="2455"/>
      <c r="O368" s="2455"/>
      <c r="P368" s="2455"/>
      <c r="Q368" s="2455"/>
      <c r="R368" s="2455"/>
      <c r="S368" s="2455"/>
      <c r="T368" s="2455"/>
      <c r="U368" s="2455"/>
      <c r="V368" s="2455"/>
      <c r="W368" s="2455"/>
      <c r="X368" s="2455"/>
      <c r="Y368" s="2455"/>
      <c r="Z368" s="2455"/>
    </row>
    <row r="369" spans="1:26" ht="12" x14ac:dyDescent="0.2">
      <c r="A369" s="2455"/>
      <c r="B369" s="2455"/>
      <c r="C369" s="2455"/>
      <c r="D369" s="2455"/>
      <c r="E369" s="2455"/>
      <c r="F369" s="2455"/>
      <c r="G369" s="2456"/>
      <c r="H369" s="2455"/>
      <c r="I369" s="2455"/>
      <c r="J369" s="2455"/>
      <c r="K369" s="2455"/>
      <c r="L369" s="2455"/>
      <c r="M369" s="2455"/>
      <c r="N369" s="2455"/>
      <c r="O369" s="2455"/>
      <c r="P369" s="2455"/>
      <c r="Q369" s="2455"/>
      <c r="R369" s="2455"/>
      <c r="S369" s="2455"/>
      <c r="T369" s="2455"/>
      <c r="U369" s="2455"/>
      <c r="V369" s="2455"/>
      <c r="W369" s="2455"/>
      <c r="X369" s="2455"/>
      <c r="Y369" s="2455"/>
      <c r="Z369" s="2455"/>
    </row>
    <row r="370" spans="1:26" ht="12" x14ac:dyDescent="0.2">
      <c r="A370" s="2455"/>
      <c r="B370" s="2455"/>
      <c r="C370" s="2455"/>
      <c r="D370" s="2455"/>
      <c r="E370" s="2455"/>
      <c r="F370" s="2455"/>
      <c r="G370" s="2456"/>
      <c r="H370" s="2455"/>
      <c r="I370" s="2455"/>
      <c r="J370" s="2455"/>
      <c r="K370" s="2455"/>
      <c r="L370" s="2455"/>
      <c r="M370" s="2455"/>
      <c r="N370" s="2455"/>
      <c r="O370" s="2455"/>
      <c r="P370" s="2455"/>
      <c r="Q370" s="2455"/>
      <c r="R370" s="2455"/>
      <c r="S370" s="2455"/>
      <c r="T370" s="2455"/>
      <c r="U370" s="2455"/>
      <c r="V370" s="2455"/>
      <c r="W370" s="2455"/>
      <c r="X370" s="2455"/>
      <c r="Y370" s="2455"/>
      <c r="Z370" s="2455"/>
    </row>
    <row r="371" spans="1:26" ht="12" x14ac:dyDescent="0.2">
      <c r="A371" s="2455"/>
      <c r="B371" s="2455"/>
      <c r="C371" s="2455"/>
      <c r="D371" s="2455"/>
      <c r="E371" s="2455"/>
      <c r="F371" s="2455"/>
      <c r="G371" s="2456"/>
      <c r="H371" s="2455"/>
      <c r="I371" s="2455"/>
      <c r="J371" s="2455"/>
      <c r="K371" s="2455"/>
      <c r="L371" s="2455"/>
      <c r="M371" s="2455"/>
      <c r="N371" s="2455"/>
      <c r="O371" s="2455"/>
      <c r="P371" s="2455"/>
      <c r="Q371" s="2455"/>
      <c r="R371" s="2455"/>
      <c r="S371" s="2455"/>
      <c r="T371" s="2455"/>
      <c r="U371" s="2455"/>
      <c r="V371" s="2455"/>
      <c r="W371" s="2455"/>
      <c r="X371" s="2455"/>
      <c r="Y371" s="2455"/>
      <c r="Z371" s="2455"/>
    </row>
    <row r="372" spans="1:26" ht="12" x14ac:dyDescent="0.2">
      <c r="A372" s="2455"/>
      <c r="B372" s="2455"/>
      <c r="C372" s="2455"/>
      <c r="D372" s="2455"/>
      <c r="E372" s="2455"/>
      <c r="F372" s="2455"/>
      <c r="G372" s="2456"/>
      <c r="H372" s="2455"/>
      <c r="I372" s="2455"/>
      <c r="J372" s="2455"/>
      <c r="K372" s="2455"/>
      <c r="L372" s="2455"/>
      <c r="M372" s="2455"/>
      <c r="N372" s="2455"/>
      <c r="O372" s="2455"/>
      <c r="P372" s="2455"/>
      <c r="Q372" s="2455"/>
      <c r="R372" s="2455"/>
      <c r="S372" s="2455"/>
      <c r="T372" s="2455"/>
      <c r="U372" s="2455"/>
      <c r="V372" s="2455"/>
      <c r="W372" s="2455"/>
      <c r="X372" s="2455"/>
      <c r="Y372" s="2455"/>
      <c r="Z372" s="2455"/>
    </row>
    <row r="373" spans="1:26" ht="12" x14ac:dyDescent="0.2">
      <c r="A373" s="2455"/>
      <c r="B373" s="2455"/>
      <c r="C373" s="2455"/>
      <c r="D373" s="2455"/>
      <c r="E373" s="2455"/>
      <c r="F373" s="2455"/>
      <c r="G373" s="2456"/>
      <c r="H373" s="2455"/>
      <c r="I373" s="2455"/>
      <c r="J373" s="2455"/>
      <c r="K373" s="2455"/>
      <c r="L373" s="2455"/>
      <c r="M373" s="2455"/>
      <c r="N373" s="2455"/>
      <c r="O373" s="2455"/>
      <c r="P373" s="2455"/>
      <c r="Q373" s="2455"/>
      <c r="R373" s="2455"/>
      <c r="S373" s="2455"/>
      <c r="T373" s="2455"/>
      <c r="U373" s="2455"/>
      <c r="V373" s="2455"/>
      <c r="W373" s="2455"/>
      <c r="X373" s="2455"/>
      <c r="Y373" s="2455"/>
      <c r="Z373" s="2455"/>
    </row>
    <row r="374" spans="1:26" ht="12" x14ac:dyDescent="0.2">
      <c r="A374" s="2455"/>
      <c r="B374" s="2455"/>
      <c r="C374" s="2455"/>
      <c r="D374" s="2455"/>
      <c r="E374" s="2455"/>
      <c r="F374" s="2455"/>
      <c r="G374" s="2456"/>
      <c r="H374" s="2455"/>
      <c r="I374" s="2455"/>
      <c r="J374" s="2455"/>
      <c r="K374" s="2455"/>
      <c r="L374" s="2455"/>
      <c r="M374" s="2455"/>
      <c r="N374" s="2455"/>
      <c r="O374" s="2455"/>
      <c r="P374" s="2455"/>
      <c r="Q374" s="2455"/>
      <c r="R374" s="2455"/>
      <c r="S374" s="2455"/>
      <c r="T374" s="2455"/>
      <c r="U374" s="2455"/>
      <c r="V374" s="2455"/>
      <c r="W374" s="2455"/>
      <c r="X374" s="2455"/>
      <c r="Y374" s="2455"/>
      <c r="Z374" s="2455"/>
    </row>
    <row r="375" spans="1:26" ht="12" x14ac:dyDescent="0.2">
      <c r="A375" s="2455"/>
      <c r="B375" s="2455"/>
      <c r="C375" s="2455"/>
      <c r="D375" s="2455"/>
      <c r="E375" s="2455"/>
      <c r="F375" s="2455"/>
      <c r="G375" s="2456"/>
      <c r="H375" s="2455"/>
      <c r="I375" s="2455"/>
      <c r="J375" s="2455"/>
      <c r="K375" s="2455"/>
      <c r="L375" s="2455"/>
      <c r="M375" s="2455"/>
      <c r="N375" s="2455"/>
      <c r="O375" s="2455"/>
      <c r="P375" s="2455"/>
      <c r="Q375" s="2455"/>
      <c r="R375" s="2455"/>
      <c r="S375" s="2455"/>
      <c r="T375" s="2455"/>
      <c r="U375" s="2455"/>
      <c r="V375" s="2455"/>
      <c r="W375" s="2455"/>
      <c r="X375" s="2455"/>
      <c r="Y375" s="2455"/>
      <c r="Z375" s="2455"/>
    </row>
    <row r="376" spans="1:26" ht="12" x14ac:dyDescent="0.2">
      <c r="A376" s="2455"/>
      <c r="B376" s="2455"/>
      <c r="C376" s="2455"/>
      <c r="D376" s="2455"/>
      <c r="E376" s="2455"/>
      <c r="F376" s="2455"/>
      <c r="G376" s="2456"/>
      <c r="H376" s="2455"/>
      <c r="I376" s="2455"/>
      <c r="J376" s="2455"/>
      <c r="K376" s="2455"/>
      <c r="L376" s="2455"/>
      <c r="M376" s="2455"/>
      <c r="N376" s="2455"/>
      <c r="O376" s="2455"/>
      <c r="P376" s="2455"/>
      <c r="Q376" s="2455"/>
      <c r="R376" s="2455"/>
      <c r="S376" s="2455"/>
      <c r="T376" s="2455"/>
      <c r="U376" s="2455"/>
      <c r="V376" s="2455"/>
      <c r="W376" s="2455"/>
      <c r="X376" s="2455"/>
      <c r="Y376" s="2455"/>
      <c r="Z376" s="2455"/>
    </row>
    <row r="377" spans="1:26" ht="12" x14ac:dyDescent="0.2">
      <c r="A377" s="2455"/>
      <c r="B377" s="2455"/>
      <c r="C377" s="2455"/>
      <c r="D377" s="2455"/>
      <c r="E377" s="2455"/>
      <c r="F377" s="2455"/>
      <c r="G377" s="2456"/>
      <c r="H377" s="2455"/>
      <c r="I377" s="2455"/>
      <c r="J377" s="2455"/>
      <c r="K377" s="2455"/>
      <c r="L377" s="2455"/>
      <c r="M377" s="2455"/>
      <c r="N377" s="2455"/>
      <c r="O377" s="2455"/>
      <c r="P377" s="2455"/>
      <c r="Q377" s="2455"/>
      <c r="R377" s="2455"/>
      <c r="S377" s="2455"/>
      <c r="T377" s="2455"/>
      <c r="U377" s="2455"/>
      <c r="V377" s="2455"/>
      <c r="W377" s="2455"/>
      <c r="X377" s="2455"/>
      <c r="Y377" s="2455"/>
      <c r="Z377" s="2455"/>
    </row>
    <row r="378" spans="1:26" ht="12" x14ac:dyDescent="0.2">
      <c r="A378" s="2455"/>
      <c r="B378" s="2455"/>
      <c r="C378" s="2455"/>
      <c r="D378" s="2455"/>
      <c r="E378" s="2455"/>
      <c r="F378" s="2455"/>
      <c r="G378" s="2456"/>
      <c r="H378" s="2455"/>
      <c r="I378" s="2455"/>
      <c r="J378" s="2455"/>
      <c r="K378" s="2455"/>
      <c r="L378" s="2455"/>
      <c r="M378" s="2455"/>
      <c r="N378" s="2455"/>
      <c r="O378" s="2455"/>
      <c r="P378" s="2455"/>
      <c r="Q378" s="2455"/>
      <c r="R378" s="2455"/>
      <c r="S378" s="2455"/>
      <c r="T378" s="2455"/>
      <c r="U378" s="2455"/>
      <c r="V378" s="2455"/>
      <c r="W378" s="2455"/>
      <c r="X378" s="2455"/>
      <c r="Y378" s="2455"/>
      <c r="Z378" s="2455"/>
    </row>
    <row r="379" spans="1:26" ht="12" x14ac:dyDescent="0.2">
      <c r="A379" s="2455"/>
      <c r="B379" s="2455"/>
      <c r="C379" s="2455"/>
      <c r="D379" s="2455"/>
      <c r="E379" s="2455"/>
      <c r="F379" s="2455"/>
      <c r="G379" s="2456"/>
      <c r="H379" s="2455"/>
      <c r="I379" s="2455"/>
      <c r="J379" s="2455"/>
      <c r="K379" s="2455"/>
      <c r="L379" s="2455"/>
      <c r="M379" s="2455"/>
      <c r="N379" s="2455"/>
      <c r="O379" s="2455"/>
      <c r="P379" s="2455"/>
      <c r="Q379" s="2455"/>
      <c r="R379" s="2455"/>
      <c r="S379" s="2455"/>
      <c r="T379" s="2455"/>
      <c r="U379" s="2455"/>
      <c r="V379" s="2455"/>
      <c r="W379" s="2455"/>
      <c r="X379" s="2455"/>
      <c r="Y379" s="2455"/>
      <c r="Z379" s="2455"/>
    </row>
    <row r="380" spans="1:26" ht="12" x14ac:dyDescent="0.2">
      <c r="A380" s="2455"/>
      <c r="B380" s="2455"/>
      <c r="C380" s="2455"/>
      <c r="D380" s="2455"/>
      <c r="E380" s="2455"/>
      <c r="F380" s="2455"/>
      <c r="G380" s="2456"/>
      <c r="H380" s="2455"/>
      <c r="I380" s="2455"/>
      <c r="J380" s="2455"/>
      <c r="K380" s="2455"/>
      <c r="L380" s="2455"/>
      <c r="M380" s="2455"/>
      <c r="N380" s="2455"/>
      <c r="O380" s="2455"/>
      <c r="P380" s="2455"/>
      <c r="Q380" s="2455"/>
      <c r="R380" s="2455"/>
      <c r="S380" s="2455"/>
      <c r="T380" s="2455"/>
      <c r="U380" s="2455"/>
      <c r="V380" s="2455"/>
      <c r="W380" s="2455"/>
      <c r="X380" s="2455"/>
      <c r="Y380" s="2455"/>
      <c r="Z380" s="2455"/>
    </row>
    <row r="381" spans="1:26" ht="12" x14ac:dyDescent="0.2">
      <c r="A381" s="2455"/>
      <c r="B381" s="2455"/>
      <c r="C381" s="2455"/>
      <c r="D381" s="2455"/>
      <c r="E381" s="2455"/>
      <c r="F381" s="2455"/>
      <c r="G381" s="2456"/>
      <c r="H381" s="2455"/>
      <c r="I381" s="2455"/>
      <c r="J381" s="2455"/>
      <c r="K381" s="2455"/>
      <c r="L381" s="2455"/>
      <c r="M381" s="2455"/>
      <c r="N381" s="2455"/>
      <c r="O381" s="2455"/>
      <c r="P381" s="2455"/>
      <c r="Q381" s="2455"/>
      <c r="R381" s="2455"/>
      <c r="S381" s="2455"/>
      <c r="T381" s="2455"/>
      <c r="U381" s="2455"/>
      <c r="V381" s="2455"/>
      <c r="W381" s="2455"/>
      <c r="X381" s="2455"/>
      <c r="Y381" s="2455"/>
      <c r="Z381" s="2455"/>
    </row>
    <row r="382" spans="1:26" ht="12" x14ac:dyDescent="0.2">
      <c r="A382" s="2455"/>
      <c r="B382" s="2455"/>
      <c r="C382" s="2455"/>
      <c r="D382" s="2455"/>
      <c r="E382" s="2455"/>
      <c r="F382" s="2455"/>
      <c r="G382" s="2456"/>
      <c r="H382" s="2455"/>
      <c r="I382" s="2455"/>
      <c r="J382" s="2455"/>
      <c r="K382" s="2455"/>
      <c r="L382" s="2455"/>
      <c r="M382" s="2455"/>
      <c r="N382" s="2455"/>
      <c r="O382" s="2455"/>
      <c r="P382" s="2455"/>
      <c r="Q382" s="2455"/>
      <c r="R382" s="2455"/>
      <c r="S382" s="2455"/>
      <c r="T382" s="2455"/>
      <c r="U382" s="2455"/>
      <c r="V382" s="2455"/>
      <c r="W382" s="2455"/>
      <c r="X382" s="2455"/>
      <c r="Y382" s="2455"/>
      <c r="Z382" s="2455"/>
    </row>
    <row r="383" spans="1:26" ht="12" x14ac:dyDescent="0.2">
      <c r="A383" s="2455"/>
      <c r="B383" s="2455"/>
      <c r="C383" s="2455"/>
      <c r="D383" s="2455"/>
      <c r="E383" s="2455"/>
      <c r="F383" s="2455"/>
      <c r="G383" s="2456"/>
      <c r="H383" s="2455"/>
      <c r="I383" s="2455"/>
      <c r="J383" s="2455"/>
      <c r="K383" s="2455"/>
      <c r="L383" s="2455"/>
      <c r="M383" s="2455"/>
      <c r="N383" s="2455"/>
      <c r="O383" s="2455"/>
      <c r="P383" s="2455"/>
      <c r="Q383" s="2455"/>
      <c r="R383" s="2455"/>
      <c r="S383" s="2455"/>
      <c r="T383" s="2455"/>
      <c r="U383" s="2455"/>
      <c r="V383" s="2455"/>
      <c r="W383" s="2455"/>
      <c r="X383" s="2455"/>
      <c r="Y383" s="2455"/>
      <c r="Z383" s="2455"/>
    </row>
    <row r="384" spans="1:26" ht="12" x14ac:dyDescent="0.2">
      <c r="A384" s="2455"/>
      <c r="B384" s="2455"/>
      <c r="C384" s="2455"/>
      <c r="D384" s="2455"/>
      <c r="E384" s="2455"/>
      <c r="F384" s="2455"/>
      <c r="G384" s="2456"/>
      <c r="H384" s="2455"/>
      <c r="I384" s="2455"/>
      <c r="J384" s="2455"/>
      <c r="K384" s="2455"/>
      <c r="L384" s="2455"/>
      <c r="M384" s="2455"/>
      <c r="N384" s="2455"/>
      <c r="O384" s="2455"/>
      <c r="P384" s="2455"/>
      <c r="Q384" s="2455"/>
      <c r="R384" s="2455"/>
      <c r="S384" s="2455"/>
      <c r="T384" s="2455"/>
      <c r="U384" s="2455"/>
      <c r="V384" s="2455"/>
      <c r="W384" s="2455"/>
      <c r="X384" s="2455"/>
      <c r="Y384" s="2455"/>
      <c r="Z384" s="2455"/>
    </row>
    <row r="385" spans="1:26" ht="12" x14ac:dyDescent="0.2">
      <c r="A385" s="2455"/>
      <c r="B385" s="2455"/>
      <c r="C385" s="2455"/>
      <c r="D385" s="2455"/>
      <c r="E385" s="2455"/>
      <c r="F385" s="2455"/>
      <c r="G385" s="2456"/>
      <c r="H385" s="2455"/>
      <c r="I385" s="2455"/>
      <c r="J385" s="2455"/>
      <c r="K385" s="2455"/>
      <c r="L385" s="2455"/>
      <c r="M385" s="2455"/>
      <c r="N385" s="2455"/>
      <c r="O385" s="2455"/>
      <c r="P385" s="2455"/>
      <c r="Q385" s="2455"/>
      <c r="R385" s="2455"/>
      <c r="S385" s="2455"/>
      <c r="T385" s="2455"/>
      <c r="U385" s="2455"/>
      <c r="V385" s="2455"/>
      <c r="W385" s="2455"/>
      <c r="X385" s="2455"/>
      <c r="Y385" s="2455"/>
      <c r="Z385" s="2455"/>
    </row>
    <row r="386" spans="1:26" ht="12" x14ac:dyDescent="0.2">
      <c r="A386" s="2455"/>
      <c r="B386" s="2455"/>
      <c r="C386" s="2455"/>
      <c r="D386" s="2455"/>
      <c r="E386" s="2455"/>
      <c r="F386" s="2455"/>
      <c r="G386" s="2456"/>
      <c r="H386" s="2455"/>
      <c r="I386" s="2455"/>
      <c r="J386" s="2455"/>
      <c r="K386" s="2455"/>
      <c r="L386" s="2455"/>
      <c r="M386" s="2455"/>
      <c r="N386" s="2455"/>
      <c r="O386" s="2455"/>
      <c r="P386" s="2455"/>
      <c r="Q386" s="2455"/>
      <c r="R386" s="2455"/>
      <c r="S386" s="2455"/>
      <c r="T386" s="2455"/>
      <c r="U386" s="2455"/>
      <c r="V386" s="2455"/>
      <c r="W386" s="2455"/>
      <c r="X386" s="2455"/>
      <c r="Y386" s="2455"/>
      <c r="Z386" s="2455"/>
    </row>
    <row r="387" spans="1:26" ht="12" x14ac:dyDescent="0.2">
      <c r="A387" s="2455"/>
      <c r="B387" s="2455"/>
      <c r="C387" s="2455"/>
      <c r="D387" s="2455"/>
      <c r="E387" s="2455"/>
      <c r="F387" s="2455"/>
      <c r="G387" s="2456"/>
      <c r="H387" s="2455"/>
      <c r="I387" s="2455"/>
      <c r="J387" s="2455"/>
      <c r="K387" s="2455"/>
      <c r="L387" s="2455"/>
      <c r="M387" s="2455"/>
      <c r="N387" s="2455"/>
      <c r="O387" s="2455"/>
      <c r="P387" s="2455"/>
      <c r="Q387" s="2455"/>
      <c r="R387" s="2455"/>
      <c r="S387" s="2455"/>
      <c r="T387" s="2455"/>
      <c r="U387" s="2455"/>
      <c r="V387" s="2455"/>
      <c r="W387" s="2455"/>
      <c r="X387" s="2455"/>
      <c r="Y387" s="2455"/>
      <c r="Z387" s="2455"/>
    </row>
    <row r="388" spans="1:26" ht="12" x14ac:dyDescent="0.2">
      <c r="A388" s="2455"/>
      <c r="B388" s="2455"/>
      <c r="C388" s="2455"/>
      <c r="D388" s="2455"/>
      <c r="E388" s="2455"/>
      <c r="F388" s="2455"/>
      <c r="G388" s="2456"/>
      <c r="H388" s="2455"/>
      <c r="I388" s="2455"/>
      <c r="J388" s="2455"/>
      <c r="K388" s="2455"/>
      <c r="L388" s="2455"/>
      <c r="M388" s="2455"/>
      <c r="N388" s="2455"/>
      <c r="O388" s="2455"/>
      <c r="P388" s="2455"/>
      <c r="Q388" s="2455"/>
      <c r="R388" s="2455"/>
      <c r="S388" s="2455"/>
      <c r="T388" s="2455"/>
      <c r="U388" s="2455"/>
      <c r="V388" s="2455"/>
      <c r="W388" s="2455"/>
      <c r="X388" s="2455"/>
      <c r="Y388" s="2455"/>
      <c r="Z388" s="2455"/>
    </row>
    <row r="389" spans="1:26" ht="12" x14ac:dyDescent="0.2">
      <c r="A389" s="2455"/>
      <c r="B389" s="2455"/>
      <c r="C389" s="2455"/>
      <c r="D389" s="2455"/>
      <c r="E389" s="2455"/>
      <c r="F389" s="2455"/>
      <c r="G389" s="2456"/>
      <c r="H389" s="2455"/>
      <c r="I389" s="2455"/>
      <c r="J389" s="2455"/>
      <c r="K389" s="2455"/>
      <c r="L389" s="2455"/>
      <c r="M389" s="2455"/>
      <c r="N389" s="2455"/>
      <c r="O389" s="2455"/>
      <c r="P389" s="2455"/>
      <c r="Q389" s="2455"/>
      <c r="R389" s="2455"/>
      <c r="S389" s="2455"/>
      <c r="T389" s="2455"/>
      <c r="U389" s="2455"/>
      <c r="V389" s="2455"/>
      <c r="W389" s="2455"/>
      <c r="X389" s="2455"/>
      <c r="Y389" s="2455"/>
      <c r="Z389" s="2455"/>
    </row>
    <row r="390" spans="1:26" ht="12" x14ac:dyDescent="0.2">
      <c r="A390" s="2455"/>
      <c r="B390" s="2455"/>
      <c r="C390" s="2455"/>
      <c r="D390" s="2455"/>
      <c r="E390" s="2455"/>
      <c r="F390" s="2455"/>
      <c r="G390" s="2456"/>
      <c r="H390" s="2455"/>
      <c r="I390" s="2455"/>
      <c r="J390" s="2455"/>
      <c r="K390" s="2455"/>
      <c r="L390" s="2455"/>
      <c r="M390" s="2455"/>
      <c r="N390" s="2455"/>
      <c r="O390" s="2455"/>
      <c r="P390" s="2455"/>
      <c r="Q390" s="2455"/>
      <c r="R390" s="2455"/>
      <c r="S390" s="2455"/>
      <c r="T390" s="2455"/>
      <c r="U390" s="2455"/>
      <c r="V390" s="2455"/>
      <c r="W390" s="2455"/>
      <c r="X390" s="2455"/>
      <c r="Y390" s="2455"/>
      <c r="Z390" s="2455"/>
    </row>
    <row r="391" spans="1:26" ht="12" x14ac:dyDescent="0.2">
      <c r="A391" s="2455"/>
      <c r="B391" s="2455"/>
      <c r="C391" s="2455"/>
      <c r="D391" s="2455"/>
      <c r="E391" s="2455"/>
      <c r="F391" s="2455"/>
      <c r="G391" s="2456"/>
      <c r="H391" s="2455"/>
      <c r="I391" s="2455"/>
      <c r="J391" s="2455"/>
      <c r="K391" s="2455"/>
      <c r="L391" s="2455"/>
      <c r="M391" s="2455"/>
      <c r="N391" s="2455"/>
      <c r="O391" s="2455"/>
      <c r="P391" s="2455"/>
      <c r="Q391" s="2455"/>
      <c r="R391" s="2455"/>
      <c r="S391" s="2455"/>
      <c r="T391" s="2455"/>
      <c r="U391" s="2455"/>
      <c r="V391" s="2455"/>
      <c r="W391" s="2455"/>
      <c r="X391" s="2455"/>
      <c r="Y391" s="2455"/>
      <c r="Z391" s="2455"/>
    </row>
    <row r="392" spans="1:26" ht="12" x14ac:dyDescent="0.2">
      <c r="A392" s="2455"/>
      <c r="B392" s="2455"/>
      <c r="C392" s="2455"/>
      <c r="D392" s="2455"/>
      <c r="E392" s="2455"/>
      <c r="F392" s="2455"/>
      <c r="G392" s="2456"/>
      <c r="H392" s="2455"/>
      <c r="I392" s="2455"/>
      <c r="J392" s="2455"/>
      <c r="K392" s="2455"/>
      <c r="L392" s="2455"/>
      <c r="M392" s="2455"/>
      <c r="N392" s="2455"/>
      <c r="O392" s="2455"/>
      <c r="P392" s="2455"/>
      <c r="Q392" s="2455"/>
      <c r="R392" s="2455"/>
      <c r="S392" s="2455"/>
      <c r="T392" s="2455"/>
      <c r="U392" s="2455"/>
      <c r="V392" s="2455"/>
      <c r="W392" s="2455"/>
      <c r="X392" s="2455"/>
      <c r="Y392" s="2455"/>
      <c r="Z392" s="2455"/>
    </row>
    <row r="393" spans="1:26" ht="12" x14ac:dyDescent="0.2">
      <c r="A393" s="2455"/>
      <c r="B393" s="2455"/>
      <c r="C393" s="2455"/>
      <c r="D393" s="2455"/>
      <c r="E393" s="2455"/>
      <c r="F393" s="2455"/>
      <c r="G393" s="2456"/>
      <c r="H393" s="2455"/>
      <c r="I393" s="2455"/>
      <c r="J393" s="2455"/>
      <c r="K393" s="2455"/>
      <c r="L393" s="2455"/>
      <c r="M393" s="2455"/>
      <c r="N393" s="2455"/>
      <c r="O393" s="2455"/>
      <c r="P393" s="2455"/>
      <c r="Q393" s="2455"/>
      <c r="R393" s="2455"/>
      <c r="S393" s="2455"/>
      <c r="T393" s="2455"/>
      <c r="U393" s="2455"/>
      <c r="V393" s="2455"/>
      <c r="W393" s="2455"/>
      <c r="X393" s="2455"/>
      <c r="Y393" s="2455"/>
      <c r="Z393" s="2455"/>
    </row>
    <row r="394" spans="1:26" ht="12" x14ac:dyDescent="0.2">
      <c r="A394" s="2455"/>
      <c r="B394" s="2455"/>
      <c r="C394" s="2455"/>
      <c r="D394" s="2455"/>
      <c r="E394" s="2455"/>
      <c r="F394" s="2455"/>
      <c r="G394" s="2456"/>
      <c r="H394" s="2455"/>
      <c r="I394" s="2455"/>
      <c r="J394" s="2455"/>
      <c r="K394" s="2455"/>
      <c r="L394" s="2455"/>
      <c r="M394" s="2455"/>
      <c r="N394" s="2455"/>
      <c r="O394" s="2455"/>
      <c r="P394" s="2455"/>
      <c r="Q394" s="2455"/>
      <c r="R394" s="2455"/>
      <c r="S394" s="2455"/>
      <c r="T394" s="2455"/>
      <c r="U394" s="2455"/>
      <c r="V394" s="2455"/>
      <c r="W394" s="2455"/>
      <c r="X394" s="2455"/>
      <c r="Y394" s="2455"/>
      <c r="Z394" s="2455"/>
    </row>
    <row r="395" spans="1:26" ht="12" x14ac:dyDescent="0.2">
      <c r="A395" s="2455"/>
      <c r="B395" s="2455"/>
      <c r="C395" s="2455"/>
      <c r="D395" s="2455"/>
      <c r="E395" s="2455"/>
      <c r="F395" s="2455"/>
      <c r="G395" s="2456"/>
      <c r="H395" s="2455"/>
      <c r="I395" s="2455"/>
      <c r="J395" s="2455"/>
      <c r="K395" s="2455"/>
      <c r="L395" s="2455"/>
      <c r="M395" s="2455"/>
      <c r="N395" s="2455"/>
      <c r="O395" s="2455"/>
      <c r="P395" s="2455"/>
      <c r="Q395" s="2455"/>
      <c r="R395" s="2455"/>
      <c r="S395" s="2455"/>
      <c r="T395" s="2455"/>
      <c r="U395" s="2455"/>
      <c r="V395" s="2455"/>
      <c r="W395" s="2455"/>
      <c r="X395" s="2455"/>
      <c r="Y395" s="2455"/>
      <c r="Z395" s="2455"/>
    </row>
    <row r="396" spans="1:26" ht="12" x14ac:dyDescent="0.2">
      <c r="A396" s="2455"/>
      <c r="B396" s="2455"/>
      <c r="C396" s="2455"/>
      <c r="D396" s="2455"/>
      <c r="E396" s="2455"/>
      <c r="F396" s="2455"/>
      <c r="G396" s="2456"/>
      <c r="H396" s="2455"/>
      <c r="I396" s="2455"/>
      <c r="J396" s="2455"/>
      <c r="K396" s="2455"/>
      <c r="L396" s="2455"/>
      <c r="M396" s="2455"/>
      <c r="N396" s="2455"/>
      <c r="O396" s="2455"/>
      <c r="P396" s="2455"/>
      <c r="Q396" s="2455"/>
      <c r="R396" s="2455"/>
      <c r="S396" s="2455"/>
      <c r="T396" s="2455"/>
      <c r="U396" s="2455"/>
      <c r="V396" s="2455"/>
      <c r="W396" s="2455"/>
      <c r="X396" s="2455"/>
      <c r="Y396" s="2455"/>
      <c r="Z396" s="2455"/>
    </row>
    <row r="397" spans="1:26" ht="12" x14ac:dyDescent="0.2">
      <c r="A397" s="2455"/>
      <c r="B397" s="2455"/>
      <c r="C397" s="2455"/>
      <c r="D397" s="2455"/>
      <c r="E397" s="2455"/>
      <c r="F397" s="2455"/>
      <c r="G397" s="2456"/>
      <c r="H397" s="2455"/>
      <c r="I397" s="2455"/>
      <c r="J397" s="2455"/>
      <c r="K397" s="2455"/>
      <c r="L397" s="2455"/>
      <c r="M397" s="2455"/>
      <c r="N397" s="2455"/>
      <c r="O397" s="2455"/>
      <c r="P397" s="2455"/>
      <c r="Q397" s="2455"/>
      <c r="R397" s="2455"/>
      <c r="S397" s="2455"/>
      <c r="T397" s="2455"/>
      <c r="U397" s="2455"/>
      <c r="V397" s="2455"/>
      <c r="W397" s="2455"/>
      <c r="X397" s="2455"/>
      <c r="Y397" s="2455"/>
      <c r="Z397" s="2455"/>
    </row>
    <row r="398" spans="1:26" ht="12" x14ac:dyDescent="0.2">
      <c r="A398" s="2455"/>
      <c r="B398" s="2455"/>
      <c r="C398" s="2455"/>
      <c r="D398" s="2455"/>
      <c r="E398" s="2455"/>
      <c r="F398" s="2455"/>
      <c r="G398" s="2456"/>
      <c r="H398" s="2455"/>
      <c r="I398" s="2455"/>
      <c r="J398" s="2455"/>
      <c r="K398" s="2455"/>
      <c r="L398" s="2455"/>
      <c r="M398" s="2455"/>
      <c r="N398" s="2455"/>
      <c r="O398" s="2455"/>
      <c r="P398" s="2455"/>
      <c r="Q398" s="2455"/>
      <c r="R398" s="2455"/>
      <c r="S398" s="2455"/>
      <c r="T398" s="2455"/>
      <c r="U398" s="2455"/>
      <c r="V398" s="2455"/>
      <c r="W398" s="2455"/>
      <c r="X398" s="2455"/>
      <c r="Y398" s="2455"/>
      <c r="Z398" s="2455"/>
    </row>
    <row r="399" spans="1:26" ht="12" x14ac:dyDescent="0.2">
      <c r="A399" s="2455"/>
      <c r="B399" s="2455"/>
      <c r="C399" s="2455"/>
      <c r="D399" s="2455"/>
      <c r="E399" s="2455"/>
      <c r="F399" s="2455"/>
      <c r="G399" s="2456"/>
      <c r="H399" s="2455"/>
      <c r="I399" s="2455"/>
      <c r="J399" s="2455"/>
      <c r="K399" s="2455"/>
      <c r="L399" s="2455"/>
      <c r="M399" s="2455"/>
      <c r="N399" s="2455"/>
      <c r="O399" s="2455"/>
      <c r="P399" s="2455"/>
      <c r="Q399" s="2455"/>
      <c r="R399" s="2455"/>
      <c r="S399" s="2455"/>
      <c r="T399" s="2455"/>
      <c r="U399" s="2455"/>
      <c r="V399" s="2455"/>
      <c r="W399" s="2455"/>
      <c r="X399" s="2455"/>
      <c r="Y399" s="2455"/>
      <c r="Z399" s="2455"/>
    </row>
    <row r="400" spans="1:26" ht="12" x14ac:dyDescent="0.2">
      <c r="A400" s="2455"/>
      <c r="B400" s="2455"/>
      <c r="C400" s="2455"/>
      <c r="D400" s="2455"/>
      <c r="E400" s="2455"/>
      <c r="F400" s="2455"/>
      <c r="G400" s="2456"/>
      <c r="H400" s="2455"/>
      <c r="I400" s="2455"/>
      <c r="J400" s="2455"/>
      <c r="K400" s="2455"/>
      <c r="L400" s="2455"/>
      <c r="M400" s="2455"/>
      <c r="N400" s="2455"/>
      <c r="O400" s="2455"/>
      <c r="P400" s="2455"/>
      <c r="Q400" s="2455"/>
      <c r="R400" s="2455"/>
      <c r="S400" s="2455"/>
      <c r="T400" s="2455"/>
      <c r="U400" s="2455"/>
      <c r="V400" s="2455"/>
      <c r="W400" s="2455"/>
      <c r="X400" s="2455"/>
      <c r="Y400" s="2455"/>
      <c r="Z400" s="2455"/>
    </row>
    <row r="401" spans="1:26" ht="12" x14ac:dyDescent="0.2">
      <c r="A401" s="2455"/>
      <c r="B401" s="2455"/>
      <c r="C401" s="2455"/>
      <c r="D401" s="2455"/>
      <c r="E401" s="2455"/>
      <c r="F401" s="2455"/>
      <c r="G401" s="2456"/>
      <c r="H401" s="2455"/>
      <c r="I401" s="2455"/>
      <c r="J401" s="2455"/>
      <c r="K401" s="2455"/>
      <c r="L401" s="2455"/>
      <c r="M401" s="2455"/>
      <c r="N401" s="2455"/>
      <c r="O401" s="2455"/>
      <c r="P401" s="2455"/>
      <c r="Q401" s="2455"/>
      <c r="R401" s="2455"/>
      <c r="S401" s="2455"/>
      <c r="T401" s="2455"/>
      <c r="U401" s="2455"/>
      <c r="V401" s="2455"/>
      <c r="W401" s="2455"/>
      <c r="X401" s="2455"/>
      <c r="Y401" s="2455"/>
      <c r="Z401" s="2455"/>
    </row>
    <row r="402" spans="1:26" ht="12" x14ac:dyDescent="0.2">
      <c r="A402" s="2455"/>
      <c r="B402" s="2455"/>
      <c r="C402" s="2455"/>
      <c r="D402" s="2455"/>
      <c r="E402" s="2455"/>
      <c r="F402" s="2455"/>
      <c r="G402" s="2456"/>
      <c r="H402" s="2455"/>
      <c r="I402" s="2455"/>
      <c r="J402" s="2455"/>
      <c r="K402" s="2455"/>
      <c r="L402" s="2455"/>
      <c r="M402" s="2455"/>
      <c r="N402" s="2455"/>
      <c r="O402" s="2455"/>
      <c r="P402" s="2455"/>
      <c r="Q402" s="2455"/>
      <c r="R402" s="2455"/>
      <c r="S402" s="2455"/>
      <c r="T402" s="2455"/>
      <c r="U402" s="2455"/>
      <c r="V402" s="2455"/>
      <c r="W402" s="2455"/>
      <c r="X402" s="2455"/>
      <c r="Y402" s="2455"/>
      <c r="Z402" s="2455"/>
    </row>
    <row r="403" spans="1:26" ht="12" x14ac:dyDescent="0.2">
      <c r="A403" s="2455"/>
      <c r="B403" s="2455"/>
      <c r="C403" s="2455"/>
      <c r="D403" s="2455"/>
      <c r="E403" s="2455"/>
      <c r="F403" s="2455"/>
      <c r="G403" s="2456"/>
      <c r="H403" s="2455"/>
      <c r="I403" s="2455"/>
      <c r="J403" s="2455"/>
      <c r="K403" s="2455"/>
      <c r="L403" s="2455"/>
      <c r="M403" s="2455"/>
      <c r="N403" s="2455"/>
      <c r="O403" s="2455"/>
      <c r="P403" s="2455"/>
      <c r="Q403" s="2455"/>
      <c r="R403" s="2455"/>
      <c r="S403" s="2455"/>
      <c r="T403" s="2455"/>
      <c r="U403" s="2455"/>
      <c r="V403" s="2455"/>
      <c r="W403" s="2455"/>
      <c r="X403" s="2455"/>
      <c r="Y403" s="2455"/>
      <c r="Z403" s="2455"/>
    </row>
    <row r="404" spans="1:26" ht="12" x14ac:dyDescent="0.2">
      <c r="A404" s="2455"/>
      <c r="B404" s="2455"/>
      <c r="C404" s="2455"/>
      <c r="D404" s="2455"/>
      <c r="E404" s="2455"/>
      <c r="F404" s="2455"/>
      <c r="G404" s="2456"/>
      <c r="H404" s="2455"/>
      <c r="I404" s="2455"/>
      <c r="J404" s="2455"/>
      <c r="K404" s="2455"/>
      <c r="L404" s="2455"/>
      <c r="M404" s="2455"/>
      <c r="N404" s="2455"/>
      <c r="O404" s="2455"/>
      <c r="P404" s="2455"/>
      <c r="Q404" s="2455"/>
      <c r="R404" s="2455"/>
      <c r="S404" s="2455"/>
      <c r="T404" s="2455"/>
      <c r="U404" s="2455"/>
      <c r="V404" s="2455"/>
      <c r="W404" s="2455"/>
      <c r="X404" s="2455"/>
      <c r="Y404" s="2455"/>
      <c r="Z404" s="2455"/>
    </row>
    <row r="405" spans="1:26" ht="12" x14ac:dyDescent="0.2">
      <c r="A405" s="2455"/>
      <c r="B405" s="2455"/>
      <c r="C405" s="2455"/>
      <c r="D405" s="2455"/>
      <c r="E405" s="2455"/>
      <c r="F405" s="2455"/>
      <c r="G405" s="2456"/>
      <c r="H405" s="2455"/>
      <c r="I405" s="2455"/>
      <c r="J405" s="2455"/>
      <c r="K405" s="2455"/>
      <c r="L405" s="2455"/>
      <c r="M405" s="2455"/>
      <c r="N405" s="2455"/>
      <c r="O405" s="2455"/>
      <c r="P405" s="2455"/>
      <c r="Q405" s="2455"/>
      <c r="R405" s="2455"/>
      <c r="S405" s="2455"/>
      <c r="T405" s="2455"/>
      <c r="U405" s="2455"/>
      <c r="V405" s="2455"/>
      <c r="W405" s="2455"/>
      <c r="X405" s="2455"/>
      <c r="Y405" s="2455"/>
      <c r="Z405" s="2455"/>
    </row>
    <row r="406" spans="1:26" ht="12" x14ac:dyDescent="0.2">
      <c r="A406" s="2455"/>
      <c r="B406" s="2455"/>
      <c r="C406" s="2455"/>
      <c r="D406" s="2455"/>
      <c r="E406" s="2455"/>
      <c r="F406" s="2455"/>
      <c r="G406" s="2456"/>
      <c r="H406" s="2455"/>
      <c r="I406" s="2455"/>
      <c r="J406" s="2455"/>
      <c r="K406" s="2455"/>
      <c r="L406" s="2455"/>
      <c r="M406" s="2455"/>
      <c r="N406" s="2455"/>
      <c r="O406" s="2455"/>
      <c r="P406" s="2455"/>
      <c r="Q406" s="2455"/>
      <c r="R406" s="2455"/>
      <c r="S406" s="2455"/>
      <c r="T406" s="2455"/>
      <c r="U406" s="2455"/>
      <c r="V406" s="2455"/>
      <c r="W406" s="2455"/>
      <c r="X406" s="2455"/>
      <c r="Y406" s="2455"/>
      <c r="Z406" s="2455"/>
    </row>
    <row r="407" spans="1:26" ht="12" x14ac:dyDescent="0.2">
      <c r="A407" s="2455"/>
      <c r="B407" s="2455"/>
      <c r="C407" s="2455"/>
      <c r="D407" s="2455"/>
      <c r="E407" s="2455"/>
      <c r="F407" s="2455"/>
      <c r="G407" s="2456"/>
      <c r="H407" s="2455"/>
      <c r="I407" s="2455"/>
      <c r="J407" s="2455"/>
      <c r="K407" s="2455"/>
      <c r="L407" s="2455"/>
      <c r="M407" s="2455"/>
      <c r="N407" s="2455"/>
      <c r="O407" s="2455"/>
      <c r="P407" s="2455"/>
      <c r="Q407" s="2455"/>
      <c r="R407" s="2455"/>
      <c r="S407" s="2455"/>
      <c r="T407" s="2455"/>
      <c r="U407" s="2455"/>
      <c r="V407" s="2455"/>
      <c r="W407" s="2455"/>
      <c r="X407" s="2455"/>
      <c r="Y407" s="2455"/>
      <c r="Z407" s="2455"/>
    </row>
    <row r="408" spans="1:26" ht="12" x14ac:dyDescent="0.2">
      <c r="A408" s="2455"/>
      <c r="B408" s="2455"/>
      <c r="C408" s="2455"/>
      <c r="D408" s="2455"/>
      <c r="E408" s="2455"/>
      <c r="F408" s="2455"/>
      <c r="G408" s="2456"/>
      <c r="H408" s="2455"/>
      <c r="I408" s="2455"/>
      <c r="J408" s="2455"/>
      <c r="K408" s="2455"/>
      <c r="L408" s="2455"/>
      <c r="M408" s="2455"/>
      <c r="N408" s="2455"/>
      <c r="O408" s="2455"/>
      <c r="P408" s="2455"/>
      <c r="Q408" s="2455"/>
      <c r="R408" s="2455"/>
      <c r="S408" s="2455"/>
      <c r="T408" s="2455"/>
      <c r="U408" s="2455"/>
      <c r="V408" s="2455"/>
      <c r="W408" s="2455"/>
      <c r="X408" s="2455"/>
      <c r="Y408" s="2455"/>
      <c r="Z408" s="2455"/>
    </row>
    <row r="409" spans="1:26" ht="12" x14ac:dyDescent="0.2">
      <c r="A409" s="2455"/>
      <c r="B409" s="2455"/>
      <c r="C409" s="2455"/>
      <c r="D409" s="2455"/>
      <c r="E409" s="2455"/>
      <c r="F409" s="2455"/>
      <c r="G409" s="2456"/>
      <c r="H409" s="2455"/>
      <c r="I409" s="2455"/>
      <c r="J409" s="2455"/>
      <c r="K409" s="2455"/>
      <c r="L409" s="2455"/>
      <c r="M409" s="2455"/>
      <c r="N409" s="2455"/>
      <c r="O409" s="2455"/>
      <c r="P409" s="2455"/>
      <c r="Q409" s="2455"/>
      <c r="R409" s="2455"/>
      <c r="S409" s="2455"/>
      <c r="T409" s="2455"/>
      <c r="U409" s="2455"/>
      <c r="V409" s="2455"/>
      <c r="W409" s="2455"/>
      <c r="X409" s="2455"/>
      <c r="Y409" s="2455"/>
      <c r="Z409" s="2455"/>
    </row>
    <row r="410" spans="1:26" ht="12" x14ac:dyDescent="0.2">
      <c r="A410" s="2455"/>
      <c r="B410" s="2455"/>
      <c r="C410" s="2455"/>
      <c r="D410" s="2455"/>
      <c r="E410" s="2455"/>
      <c r="F410" s="2455"/>
      <c r="G410" s="2456"/>
      <c r="H410" s="2455"/>
      <c r="I410" s="2455"/>
      <c r="J410" s="2455"/>
      <c r="K410" s="2455"/>
      <c r="L410" s="2455"/>
      <c r="M410" s="2455"/>
      <c r="N410" s="2455"/>
      <c r="O410" s="2455"/>
      <c r="P410" s="2455"/>
      <c r="Q410" s="2455"/>
      <c r="R410" s="2455"/>
      <c r="S410" s="2455"/>
      <c r="T410" s="2455"/>
      <c r="U410" s="2455"/>
      <c r="V410" s="2455"/>
      <c r="W410" s="2455"/>
      <c r="X410" s="2455"/>
      <c r="Y410" s="2455"/>
      <c r="Z410" s="2455"/>
    </row>
    <row r="411" spans="1:26" ht="12" x14ac:dyDescent="0.2">
      <c r="A411" s="2455"/>
      <c r="B411" s="2455"/>
      <c r="C411" s="2455"/>
      <c r="D411" s="2455"/>
      <c r="E411" s="2455"/>
      <c r="F411" s="2455"/>
      <c r="G411" s="2456"/>
      <c r="H411" s="2455"/>
      <c r="I411" s="2455"/>
      <c r="J411" s="2455"/>
      <c r="K411" s="2455"/>
      <c r="L411" s="2455"/>
      <c r="M411" s="2455"/>
      <c r="N411" s="2455"/>
      <c r="O411" s="2455"/>
      <c r="P411" s="2455"/>
      <c r="Q411" s="2455"/>
      <c r="R411" s="2455"/>
      <c r="S411" s="2455"/>
      <c r="T411" s="2455"/>
      <c r="U411" s="2455"/>
      <c r="V411" s="2455"/>
      <c r="W411" s="2455"/>
      <c r="X411" s="2455"/>
      <c r="Y411" s="2455"/>
      <c r="Z411" s="2455"/>
    </row>
    <row r="412" spans="1:26" ht="12" x14ac:dyDescent="0.2">
      <c r="A412" s="2455"/>
      <c r="B412" s="2455"/>
      <c r="C412" s="2455"/>
      <c r="D412" s="2455"/>
      <c r="E412" s="2455"/>
      <c r="F412" s="2455"/>
      <c r="G412" s="2456"/>
      <c r="H412" s="2455"/>
      <c r="I412" s="2455"/>
      <c r="J412" s="2455"/>
      <c r="K412" s="2455"/>
      <c r="L412" s="2455"/>
      <c r="M412" s="2455"/>
      <c r="N412" s="2455"/>
      <c r="O412" s="2455"/>
      <c r="P412" s="2455"/>
      <c r="Q412" s="2455"/>
      <c r="R412" s="2455"/>
      <c r="S412" s="2455"/>
      <c r="T412" s="2455"/>
      <c r="U412" s="2455"/>
      <c r="V412" s="2455"/>
      <c r="W412" s="2455"/>
      <c r="X412" s="2455"/>
      <c r="Y412" s="2455"/>
      <c r="Z412" s="2455"/>
    </row>
    <row r="413" spans="1:26" ht="12" x14ac:dyDescent="0.2">
      <c r="A413" s="2455"/>
      <c r="B413" s="2455"/>
      <c r="C413" s="2455"/>
      <c r="D413" s="2455"/>
      <c r="E413" s="2455"/>
      <c r="F413" s="2455"/>
      <c r="G413" s="2456"/>
      <c r="H413" s="2455"/>
      <c r="I413" s="2455"/>
      <c r="J413" s="2455"/>
      <c r="K413" s="2455"/>
      <c r="L413" s="2455"/>
      <c r="M413" s="2455"/>
      <c r="N413" s="2455"/>
      <c r="O413" s="2455"/>
      <c r="P413" s="2455"/>
      <c r="Q413" s="2455"/>
      <c r="R413" s="2455"/>
      <c r="S413" s="2455"/>
      <c r="T413" s="2455"/>
      <c r="U413" s="2455"/>
      <c r="V413" s="2455"/>
      <c r="W413" s="2455"/>
      <c r="X413" s="2455"/>
      <c r="Y413" s="2455"/>
      <c r="Z413" s="2455"/>
    </row>
    <row r="414" spans="1:26" ht="12" x14ac:dyDescent="0.2">
      <c r="A414" s="2455"/>
      <c r="B414" s="2455"/>
      <c r="C414" s="2455"/>
      <c r="D414" s="2455"/>
      <c r="E414" s="2455"/>
      <c r="F414" s="2455"/>
      <c r="G414" s="2456"/>
      <c r="H414" s="2455"/>
      <c r="I414" s="2455"/>
      <c r="J414" s="2455"/>
      <c r="K414" s="2455"/>
      <c r="L414" s="2455"/>
      <c r="M414" s="2455"/>
      <c r="N414" s="2455"/>
      <c r="O414" s="2455"/>
      <c r="P414" s="2455"/>
      <c r="Q414" s="2455"/>
      <c r="R414" s="2455"/>
      <c r="S414" s="2455"/>
      <c r="T414" s="2455"/>
      <c r="U414" s="2455"/>
      <c r="V414" s="2455"/>
      <c r="W414" s="2455"/>
      <c r="X414" s="2455"/>
      <c r="Y414" s="2455"/>
      <c r="Z414" s="2455"/>
    </row>
    <row r="415" spans="1:26" ht="12" x14ac:dyDescent="0.2">
      <c r="A415" s="2455"/>
      <c r="B415" s="2455"/>
      <c r="C415" s="2455"/>
      <c r="D415" s="2455"/>
      <c r="E415" s="2455"/>
      <c r="F415" s="2455"/>
      <c r="G415" s="2456"/>
      <c r="H415" s="2455"/>
      <c r="I415" s="2455"/>
      <c r="J415" s="2455"/>
      <c r="K415" s="2455"/>
      <c r="L415" s="2455"/>
      <c r="M415" s="2455"/>
      <c r="N415" s="2455"/>
      <c r="O415" s="2455"/>
      <c r="P415" s="2455"/>
      <c r="Q415" s="2455"/>
      <c r="R415" s="2455"/>
      <c r="S415" s="2455"/>
      <c r="T415" s="2455"/>
      <c r="U415" s="2455"/>
      <c r="V415" s="2455"/>
      <c r="W415" s="2455"/>
      <c r="X415" s="2455"/>
      <c r="Y415" s="2455"/>
      <c r="Z415" s="2455"/>
    </row>
    <row r="416" spans="1:26" ht="12" x14ac:dyDescent="0.2">
      <c r="A416" s="2455"/>
      <c r="B416" s="2455"/>
      <c r="C416" s="2455"/>
      <c r="D416" s="2455"/>
      <c r="E416" s="2455"/>
      <c r="F416" s="2455"/>
      <c r="G416" s="2456"/>
      <c r="H416" s="2455"/>
      <c r="I416" s="2455"/>
      <c r="J416" s="2455"/>
      <c r="K416" s="2455"/>
      <c r="L416" s="2455"/>
      <c r="M416" s="2455"/>
      <c r="N416" s="2455"/>
      <c r="O416" s="2455"/>
      <c r="P416" s="2455"/>
      <c r="Q416" s="2455"/>
      <c r="R416" s="2455"/>
      <c r="S416" s="2455"/>
      <c r="T416" s="2455"/>
      <c r="U416" s="2455"/>
      <c r="V416" s="2455"/>
      <c r="W416" s="2455"/>
      <c r="X416" s="2455"/>
      <c r="Y416" s="2455"/>
      <c r="Z416" s="2455"/>
    </row>
    <row r="417" spans="1:26" ht="12" x14ac:dyDescent="0.2">
      <c r="A417" s="2455"/>
      <c r="B417" s="2455"/>
      <c r="C417" s="2455"/>
      <c r="D417" s="2455"/>
      <c r="E417" s="2455"/>
      <c r="F417" s="2455"/>
      <c r="G417" s="2456"/>
      <c r="H417" s="2455"/>
      <c r="I417" s="2455"/>
      <c r="J417" s="2455"/>
      <c r="K417" s="2455"/>
      <c r="L417" s="2455"/>
      <c r="M417" s="2455"/>
      <c r="N417" s="2455"/>
      <c r="O417" s="2455"/>
      <c r="P417" s="2455"/>
      <c r="Q417" s="2455"/>
      <c r="R417" s="2455"/>
      <c r="S417" s="2455"/>
      <c r="T417" s="2455"/>
      <c r="U417" s="2455"/>
      <c r="V417" s="2455"/>
      <c r="W417" s="2455"/>
      <c r="X417" s="2455"/>
      <c r="Y417" s="2455"/>
      <c r="Z417" s="2455"/>
    </row>
    <row r="418" spans="1:26" ht="12" x14ac:dyDescent="0.2">
      <c r="A418" s="2455"/>
      <c r="B418" s="2455"/>
      <c r="C418" s="2455"/>
      <c r="D418" s="2455"/>
      <c r="E418" s="2455"/>
      <c r="F418" s="2455"/>
      <c r="G418" s="2456"/>
      <c r="H418" s="2455"/>
      <c r="I418" s="2455"/>
      <c r="J418" s="2455"/>
      <c r="K418" s="2455"/>
      <c r="L418" s="2455"/>
      <c r="M418" s="2455"/>
      <c r="N418" s="2455"/>
      <c r="O418" s="2455"/>
      <c r="P418" s="2455"/>
      <c r="Q418" s="2455"/>
      <c r="R418" s="2455"/>
      <c r="S418" s="2455"/>
      <c r="T418" s="2455"/>
      <c r="U418" s="2455"/>
      <c r="V418" s="2455"/>
      <c r="W418" s="2455"/>
      <c r="X418" s="2455"/>
      <c r="Y418" s="2455"/>
      <c r="Z418" s="2455"/>
    </row>
    <row r="419" spans="1:26" ht="12" x14ac:dyDescent="0.2">
      <c r="A419" s="2455"/>
      <c r="B419" s="2455"/>
      <c r="C419" s="2455"/>
      <c r="D419" s="2455"/>
      <c r="E419" s="2455"/>
      <c r="F419" s="2455"/>
      <c r="G419" s="2456"/>
      <c r="H419" s="2455"/>
      <c r="I419" s="2455"/>
      <c r="J419" s="2455"/>
      <c r="K419" s="2455"/>
      <c r="L419" s="2455"/>
      <c r="M419" s="2455"/>
      <c r="N419" s="2455"/>
      <c r="O419" s="2455"/>
      <c r="P419" s="2455"/>
      <c r="Q419" s="2455"/>
      <c r="R419" s="2455"/>
      <c r="S419" s="2455"/>
      <c r="T419" s="2455"/>
      <c r="U419" s="2455"/>
      <c r="V419" s="2455"/>
      <c r="W419" s="2455"/>
      <c r="X419" s="2455"/>
      <c r="Y419" s="2455"/>
      <c r="Z419" s="2455"/>
    </row>
    <row r="420" spans="1:26" ht="12" x14ac:dyDescent="0.2">
      <c r="A420" s="2455"/>
      <c r="B420" s="2455"/>
      <c r="C420" s="2455"/>
      <c r="D420" s="2455"/>
      <c r="E420" s="2455"/>
      <c r="F420" s="2455"/>
      <c r="G420" s="2456"/>
      <c r="H420" s="2455"/>
      <c r="I420" s="2455"/>
      <c r="J420" s="2455"/>
      <c r="K420" s="2455"/>
      <c r="L420" s="2455"/>
      <c r="M420" s="2455"/>
      <c r="N420" s="2455"/>
      <c r="O420" s="2455"/>
      <c r="P420" s="2455"/>
      <c r="Q420" s="2455"/>
      <c r="R420" s="2455"/>
      <c r="S420" s="2455"/>
      <c r="T420" s="2455"/>
      <c r="U420" s="2455"/>
      <c r="V420" s="2455"/>
      <c r="W420" s="2455"/>
      <c r="X420" s="2455"/>
      <c r="Y420" s="2455"/>
      <c r="Z420" s="2455"/>
    </row>
    <row r="421" spans="1:26" ht="12" x14ac:dyDescent="0.2">
      <c r="A421" s="2455"/>
      <c r="B421" s="2455"/>
      <c r="C421" s="2455"/>
      <c r="D421" s="2455"/>
      <c r="E421" s="2455"/>
      <c r="F421" s="2455"/>
      <c r="G421" s="2456"/>
      <c r="H421" s="2455"/>
      <c r="I421" s="2455"/>
      <c r="J421" s="2455"/>
      <c r="K421" s="2455"/>
      <c r="L421" s="2455"/>
      <c r="M421" s="2455"/>
      <c r="N421" s="2455"/>
      <c r="O421" s="2455"/>
      <c r="P421" s="2455"/>
      <c r="Q421" s="2455"/>
      <c r="R421" s="2455"/>
      <c r="S421" s="2455"/>
      <c r="T421" s="2455"/>
      <c r="U421" s="2455"/>
      <c r="V421" s="2455"/>
      <c r="W421" s="2455"/>
      <c r="X421" s="2455"/>
      <c r="Y421" s="2455"/>
      <c r="Z421" s="2455"/>
    </row>
    <row r="422" spans="1:26" ht="12" x14ac:dyDescent="0.2">
      <c r="A422" s="2455"/>
      <c r="B422" s="2455"/>
      <c r="C422" s="2455"/>
      <c r="D422" s="2455"/>
      <c r="E422" s="2455"/>
      <c r="F422" s="2455"/>
      <c r="G422" s="2456"/>
      <c r="H422" s="2455"/>
      <c r="I422" s="2455"/>
      <c r="J422" s="2455"/>
      <c r="K422" s="2455"/>
      <c r="L422" s="2455"/>
      <c r="M422" s="2455"/>
      <c r="N422" s="2455"/>
      <c r="O422" s="2455"/>
      <c r="P422" s="2455"/>
      <c r="Q422" s="2455"/>
      <c r="R422" s="2455"/>
      <c r="S422" s="2455"/>
      <c r="T422" s="2455"/>
      <c r="U422" s="2455"/>
      <c r="V422" s="2455"/>
      <c r="W422" s="2455"/>
      <c r="X422" s="2455"/>
      <c r="Y422" s="2455"/>
      <c r="Z422" s="2455"/>
    </row>
    <row r="423" spans="1:26" ht="12" x14ac:dyDescent="0.2">
      <c r="A423" s="2455"/>
      <c r="B423" s="2455"/>
      <c r="C423" s="2455"/>
      <c r="D423" s="2455"/>
      <c r="E423" s="2455"/>
      <c r="F423" s="2455"/>
      <c r="G423" s="2456"/>
      <c r="H423" s="2455"/>
      <c r="I423" s="2455"/>
      <c r="J423" s="2455"/>
      <c r="K423" s="2455"/>
      <c r="L423" s="2455"/>
      <c r="M423" s="2455"/>
      <c r="N423" s="2455"/>
      <c r="O423" s="2455"/>
      <c r="P423" s="2455"/>
      <c r="Q423" s="2455"/>
      <c r="R423" s="2455"/>
      <c r="S423" s="2455"/>
      <c r="T423" s="2455"/>
      <c r="U423" s="2455"/>
      <c r="V423" s="2455"/>
      <c r="W423" s="2455"/>
      <c r="X423" s="2455"/>
      <c r="Y423" s="2455"/>
      <c r="Z423" s="2455"/>
    </row>
    <row r="424" spans="1:26" ht="12" x14ac:dyDescent="0.2">
      <c r="A424" s="2455"/>
      <c r="B424" s="2455"/>
      <c r="C424" s="2455"/>
      <c r="D424" s="2455"/>
      <c r="E424" s="2455"/>
      <c r="F424" s="2455"/>
      <c r="G424" s="2456"/>
      <c r="H424" s="2455"/>
      <c r="I424" s="2455"/>
      <c r="J424" s="2455"/>
      <c r="K424" s="2455"/>
      <c r="L424" s="2455"/>
      <c r="M424" s="2455"/>
      <c r="N424" s="2455"/>
      <c r="O424" s="2455"/>
      <c r="P424" s="2455"/>
      <c r="Q424" s="2455"/>
      <c r="R424" s="2455"/>
      <c r="S424" s="2455"/>
      <c r="T424" s="2455"/>
      <c r="U424" s="2455"/>
      <c r="V424" s="2455"/>
      <c r="W424" s="2455"/>
      <c r="X424" s="2455"/>
      <c r="Y424" s="2455"/>
      <c r="Z424" s="2455"/>
    </row>
    <row r="425" spans="1:26" ht="12" x14ac:dyDescent="0.2">
      <c r="A425" s="2455"/>
      <c r="B425" s="2455"/>
      <c r="C425" s="2455"/>
      <c r="D425" s="2455"/>
      <c r="E425" s="2455"/>
      <c r="F425" s="2455"/>
      <c r="G425" s="2456"/>
      <c r="H425" s="2455"/>
      <c r="I425" s="2455"/>
      <c r="J425" s="2455"/>
      <c r="K425" s="2455"/>
      <c r="L425" s="2455"/>
      <c r="M425" s="2455"/>
      <c r="N425" s="2455"/>
      <c r="O425" s="2455"/>
      <c r="P425" s="2455"/>
      <c r="Q425" s="2455"/>
      <c r="R425" s="2455"/>
      <c r="S425" s="2455"/>
      <c r="T425" s="2455"/>
      <c r="U425" s="2455"/>
      <c r="V425" s="2455"/>
      <c r="W425" s="2455"/>
      <c r="X425" s="2455"/>
      <c r="Y425" s="2455"/>
      <c r="Z425" s="2455"/>
    </row>
    <row r="426" spans="1:26" ht="12" x14ac:dyDescent="0.2">
      <c r="A426" s="2455"/>
      <c r="B426" s="2455"/>
      <c r="C426" s="2455"/>
      <c r="D426" s="2455"/>
      <c r="E426" s="2455"/>
      <c r="F426" s="2455"/>
      <c r="G426" s="2456"/>
      <c r="H426" s="2455"/>
      <c r="I426" s="2455"/>
      <c r="J426" s="2455"/>
      <c r="K426" s="2455"/>
      <c r="L426" s="2455"/>
      <c r="M426" s="2455"/>
      <c r="N426" s="2455"/>
      <c r="O426" s="2455"/>
      <c r="P426" s="2455"/>
      <c r="Q426" s="2455"/>
      <c r="R426" s="2455"/>
      <c r="S426" s="2455"/>
      <c r="T426" s="2455"/>
      <c r="U426" s="2455"/>
      <c r="V426" s="2455"/>
      <c r="W426" s="2455"/>
      <c r="X426" s="2455"/>
      <c r="Y426" s="2455"/>
      <c r="Z426" s="2455"/>
    </row>
    <row r="427" spans="1:26" ht="12" x14ac:dyDescent="0.2">
      <c r="A427" s="2455"/>
      <c r="B427" s="2455"/>
      <c r="C427" s="2455"/>
      <c r="D427" s="2455"/>
      <c r="E427" s="2455"/>
      <c r="F427" s="2455"/>
      <c r="G427" s="2456"/>
      <c r="H427" s="2455"/>
      <c r="I427" s="2455"/>
      <c r="J427" s="2455"/>
      <c r="K427" s="2455"/>
      <c r="L427" s="2455"/>
      <c r="M427" s="2455"/>
      <c r="N427" s="2455"/>
      <c r="O427" s="2455"/>
      <c r="P427" s="2455"/>
      <c r="Q427" s="2455"/>
      <c r="R427" s="2455"/>
      <c r="S427" s="2455"/>
      <c r="T427" s="2455"/>
      <c r="U427" s="2455"/>
      <c r="V427" s="2455"/>
      <c r="W427" s="2455"/>
      <c r="X427" s="2455"/>
      <c r="Y427" s="2455"/>
      <c r="Z427" s="2455"/>
    </row>
    <row r="428" spans="1:26" ht="12" x14ac:dyDescent="0.2">
      <c r="A428" s="2455"/>
      <c r="B428" s="2455"/>
      <c r="C428" s="2455"/>
      <c r="D428" s="2455"/>
      <c r="E428" s="2455"/>
      <c r="F428" s="2455"/>
      <c r="G428" s="2456"/>
      <c r="H428" s="2455"/>
      <c r="I428" s="2455"/>
      <c r="J428" s="2455"/>
      <c r="K428" s="2455"/>
      <c r="L428" s="2455"/>
      <c r="M428" s="2455"/>
      <c r="N428" s="2455"/>
      <c r="O428" s="2455"/>
      <c r="P428" s="2455"/>
      <c r="Q428" s="2455"/>
      <c r="R428" s="2455"/>
      <c r="S428" s="2455"/>
      <c r="T428" s="2455"/>
      <c r="U428" s="2455"/>
      <c r="V428" s="2455"/>
      <c r="W428" s="2455"/>
      <c r="X428" s="2455"/>
      <c r="Y428" s="2455"/>
      <c r="Z428" s="2455"/>
    </row>
    <row r="429" spans="1:26" ht="12" x14ac:dyDescent="0.2">
      <c r="A429" s="2455"/>
      <c r="B429" s="2455"/>
      <c r="C429" s="2455"/>
      <c r="D429" s="2455"/>
      <c r="E429" s="2455"/>
      <c r="F429" s="2455"/>
      <c r="G429" s="2456"/>
      <c r="H429" s="2455"/>
      <c r="I429" s="2455"/>
      <c r="J429" s="2455"/>
      <c r="K429" s="2455"/>
      <c r="L429" s="2455"/>
      <c r="M429" s="2455"/>
      <c r="N429" s="2455"/>
      <c r="O429" s="2455"/>
      <c r="P429" s="2455"/>
      <c r="Q429" s="2455"/>
      <c r="R429" s="2455"/>
      <c r="S429" s="2455"/>
      <c r="T429" s="2455"/>
      <c r="U429" s="2455"/>
      <c r="V429" s="2455"/>
      <c r="W429" s="2455"/>
      <c r="X429" s="2455"/>
      <c r="Y429" s="2455"/>
      <c r="Z429" s="2455"/>
    </row>
    <row r="430" spans="1:26" ht="12" x14ac:dyDescent="0.2">
      <c r="A430" s="2455"/>
      <c r="B430" s="2455"/>
      <c r="C430" s="2455"/>
      <c r="D430" s="2455"/>
      <c r="E430" s="2455"/>
      <c r="F430" s="2455"/>
      <c r="G430" s="2456"/>
      <c r="H430" s="2455"/>
      <c r="I430" s="2455"/>
      <c r="J430" s="2455"/>
      <c r="K430" s="2455"/>
      <c r="L430" s="2455"/>
      <c r="M430" s="2455"/>
      <c r="N430" s="2455"/>
      <c r="O430" s="2455"/>
      <c r="P430" s="2455"/>
      <c r="Q430" s="2455"/>
      <c r="R430" s="2455"/>
      <c r="S430" s="2455"/>
      <c r="T430" s="2455"/>
      <c r="U430" s="2455"/>
      <c r="V430" s="2455"/>
      <c r="W430" s="2455"/>
      <c r="X430" s="2455"/>
      <c r="Y430" s="2455"/>
      <c r="Z430" s="2455"/>
    </row>
    <row r="431" spans="1:26" ht="12" x14ac:dyDescent="0.2">
      <c r="A431" s="2455"/>
      <c r="B431" s="2455"/>
      <c r="C431" s="2455"/>
      <c r="D431" s="2455"/>
      <c r="E431" s="2455"/>
      <c r="F431" s="2455"/>
      <c r="G431" s="2456"/>
      <c r="H431" s="2455"/>
      <c r="I431" s="2455"/>
      <c r="J431" s="2455"/>
      <c r="K431" s="2455"/>
      <c r="L431" s="2455"/>
      <c r="M431" s="2455"/>
      <c r="N431" s="2455"/>
      <c r="O431" s="2455"/>
      <c r="P431" s="2455"/>
      <c r="Q431" s="2455"/>
      <c r="R431" s="2455"/>
      <c r="S431" s="2455"/>
      <c r="T431" s="2455"/>
      <c r="U431" s="2455"/>
      <c r="V431" s="2455"/>
      <c r="W431" s="2455"/>
      <c r="X431" s="2455"/>
      <c r="Y431" s="2455"/>
      <c r="Z431" s="2455"/>
    </row>
    <row r="432" spans="1:26" ht="12" x14ac:dyDescent="0.2">
      <c r="A432" s="2455"/>
      <c r="B432" s="2455"/>
      <c r="C432" s="2455"/>
      <c r="D432" s="2455"/>
      <c r="E432" s="2455"/>
      <c r="F432" s="2455"/>
      <c r="G432" s="2456"/>
      <c r="H432" s="2455"/>
      <c r="I432" s="2455"/>
      <c r="J432" s="2455"/>
      <c r="K432" s="2455"/>
      <c r="L432" s="2455"/>
      <c r="M432" s="2455"/>
      <c r="N432" s="2455"/>
      <c r="O432" s="2455"/>
      <c r="P432" s="2455"/>
      <c r="Q432" s="2455"/>
      <c r="R432" s="2455"/>
      <c r="S432" s="2455"/>
      <c r="T432" s="2455"/>
      <c r="U432" s="2455"/>
      <c r="V432" s="2455"/>
      <c r="W432" s="2455"/>
      <c r="X432" s="2455"/>
      <c r="Y432" s="2455"/>
      <c r="Z432" s="2455"/>
    </row>
    <row r="433" spans="1:26" ht="12" x14ac:dyDescent="0.2">
      <c r="A433" s="2455"/>
      <c r="B433" s="2455"/>
      <c r="C433" s="2455"/>
      <c r="D433" s="2455"/>
      <c r="E433" s="2455"/>
      <c r="F433" s="2455"/>
      <c r="G433" s="2456"/>
      <c r="H433" s="2455"/>
      <c r="I433" s="2455"/>
      <c r="J433" s="2455"/>
      <c r="K433" s="2455"/>
      <c r="L433" s="2455"/>
      <c r="M433" s="2455"/>
      <c r="N433" s="2455"/>
      <c r="O433" s="2455"/>
      <c r="P433" s="2455"/>
      <c r="Q433" s="2455"/>
      <c r="R433" s="2455"/>
      <c r="S433" s="2455"/>
      <c r="T433" s="2455"/>
      <c r="U433" s="2455"/>
      <c r="V433" s="2455"/>
      <c r="W433" s="2455"/>
      <c r="X433" s="2455"/>
      <c r="Y433" s="2455"/>
      <c r="Z433" s="2455"/>
    </row>
    <row r="434" spans="1:26" ht="12" x14ac:dyDescent="0.2">
      <c r="A434" s="2455"/>
      <c r="B434" s="2455"/>
      <c r="C434" s="2455"/>
      <c r="D434" s="2455"/>
      <c r="E434" s="2455"/>
      <c r="F434" s="2455"/>
      <c r="G434" s="2456"/>
      <c r="H434" s="2455"/>
      <c r="I434" s="2455"/>
      <c r="J434" s="2455"/>
      <c r="K434" s="2455"/>
      <c r="L434" s="2455"/>
      <c r="M434" s="2455"/>
      <c r="N434" s="2455"/>
      <c r="O434" s="2455"/>
      <c r="P434" s="2455"/>
      <c r="Q434" s="2455"/>
      <c r="R434" s="2455"/>
      <c r="S434" s="2455"/>
      <c r="T434" s="2455"/>
      <c r="U434" s="2455"/>
      <c r="V434" s="2455"/>
      <c r="W434" s="2455"/>
      <c r="X434" s="2455"/>
      <c r="Y434" s="2455"/>
      <c r="Z434" s="2455"/>
    </row>
    <row r="435" spans="1:26" ht="12" x14ac:dyDescent="0.2">
      <c r="A435" s="2455"/>
      <c r="B435" s="2455"/>
      <c r="C435" s="2455"/>
      <c r="D435" s="2455"/>
      <c r="E435" s="2455"/>
      <c r="F435" s="2455"/>
      <c r="G435" s="2456"/>
      <c r="H435" s="2455"/>
      <c r="I435" s="2455"/>
      <c r="J435" s="2455"/>
      <c r="K435" s="2455"/>
      <c r="L435" s="2455"/>
      <c r="M435" s="2455"/>
      <c r="N435" s="2455"/>
      <c r="O435" s="2455"/>
      <c r="P435" s="2455"/>
      <c r="Q435" s="2455"/>
      <c r="R435" s="2455"/>
      <c r="S435" s="2455"/>
      <c r="T435" s="2455"/>
      <c r="U435" s="2455"/>
      <c r="V435" s="2455"/>
      <c r="W435" s="2455"/>
      <c r="X435" s="2455"/>
      <c r="Y435" s="2455"/>
      <c r="Z435" s="2455"/>
    </row>
    <row r="436" spans="1:26" ht="12" x14ac:dyDescent="0.2">
      <c r="A436" s="2455"/>
      <c r="B436" s="2455"/>
      <c r="C436" s="2455"/>
      <c r="D436" s="2455"/>
      <c r="E436" s="2455"/>
      <c r="F436" s="2455"/>
      <c r="G436" s="2456"/>
      <c r="H436" s="2455"/>
      <c r="I436" s="2455"/>
      <c r="J436" s="2455"/>
      <c r="K436" s="2455"/>
      <c r="L436" s="2455"/>
      <c r="M436" s="2455"/>
      <c r="N436" s="2455"/>
      <c r="O436" s="2455"/>
      <c r="P436" s="2455"/>
      <c r="Q436" s="2455"/>
      <c r="R436" s="2455"/>
      <c r="S436" s="2455"/>
      <c r="T436" s="2455"/>
      <c r="U436" s="2455"/>
      <c r="V436" s="2455"/>
      <c r="W436" s="2455"/>
      <c r="X436" s="2455"/>
      <c r="Y436" s="2455"/>
      <c r="Z436" s="2455"/>
    </row>
    <row r="437" spans="1:26" ht="12" x14ac:dyDescent="0.2">
      <c r="A437" s="2455"/>
      <c r="B437" s="2455"/>
      <c r="C437" s="2455"/>
      <c r="D437" s="2455"/>
      <c r="E437" s="2455"/>
      <c r="F437" s="2455"/>
      <c r="G437" s="2456"/>
      <c r="H437" s="2455"/>
      <c r="I437" s="2455"/>
      <c r="J437" s="2455"/>
      <c r="K437" s="2455"/>
      <c r="L437" s="2455"/>
      <c r="M437" s="2455"/>
      <c r="N437" s="2455"/>
      <c r="O437" s="2455"/>
      <c r="P437" s="2455"/>
      <c r="Q437" s="2455"/>
      <c r="R437" s="2455"/>
      <c r="S437" s="2455"/>
      <c r="T437" s="2455"/>
      <c r="U437" s="2455"/>
      <c r="V437" s="2455"/>
      <c r="W437" s="2455"/>
      <c r="X437" s="2455"/>
      <c r="Y437" s="2455"/>
      <c r="Z437" s="2455"/>
    </row>
    <row r="438" spans="1:26" ht="12" x14ac:dyDescent="0.2">
      <c r="A438" s="2455"/>
      <c r="B438" s="2455"/>
      <c r="C438" s="2455"/>
      <c r="D438" s="2455"/>
      <c r="E438" s="2455"/>
      <c r="F438" s="2455"/>
      <c r="G438" s="2456"/>
      <c r="H438" s="2455"/>
      <c r="I438" s="2455"/>
      <c r="J438" s="2455"/>
      <c r="K438" s="2455"/>
      <c r="L438" s="2455"/>
      <c r="M438" s="2455"/>
      <c r="N438" s="2455"/>
      <c r="O438" s="2455"/>
      <c r="P438" s="2455"/>
      <c r="Q438" s="2455"/>
      <c r="R438" s="2455"/>
      <c r="S438" s="2455"/>
      <c r="T438" s="2455"/>
      <c r="U438" s="2455"/>
      <c r="V438" s="2455"/>
      <c r="W438" s="2455"/>
      <c r="X438" s="2455"/>
      <c r="Y438" s="2455"/>
      <c r="Z438" s="2455"/>
    </row>
    <row r="439" spans="1:26" ht="12" x14ac:dyDescent="0.2">
      <c r="A439" s="2455"/>
      <c r="B439" s="2455"/>
      <c r="C439" s="2455"/>
      <c r="D439" s="2455"/>
      <c r="E439" s="2455"/>
      <c r="F439" s="2455"/>
      <c r="G439" s="2456"/>
      <c r="H439" s="2455"/>
      <c r="I439" s="2455"/>
      <c r="J439" s="2455"/>
      <c r="K439" s="2455"/>
      <c r="L439" s="2455"/>
      <c r="M439" s="2455"/>
      <c r="N439" s="2455"/>
      <c r="O439" s="2455"/>
      <c r="P439" s="2455"/>
      <c r="Q439" s="2455"/>
      <c r="R439" s="2455"/>
      <c r="S439" s="2455"/>
      <c r="T439" s="2455"/>
      <c r="U439" s="2455"/>
      <c r="V439" s="2455"/>
      <c r="W439" s="2455"/>
      <c r="X439" s="2455"/>
      <c r="Y439" s="2455"/>
      <c r="Z439" s="2455"/>
    </row>
    <row r="440" spans="1:26" ht="12" x14ac:dyDescent="0.2">
      <c r="A440" s="2455"/>
      <c r="B440" s="2455"/>
      <c r="C440" s="2455"/>
      <c r="D440" s="2455"/>
      <c r="E440" s="2455"/>
      <c r="F440" s="2455"/>
      <c r="G440" s="2456"/>
      <c r="H440" s="2455"/>
      <c r="I440" s="2455"/>
      <c r="J440" s="2455"/>
      <c r="K440" s="2455"/>
      <c r="L440" s="2455"/>
      <c r="M440" s="2455"/>
      <c r="N440" s="2455"/>
      <c r="O440" s="2455"/>
      <c r="P440" s="2455"/>
      <c r="Q440" s="2455"/>
      <c r="R440" s="2455"/>
      <c r="S440" s="2455"/>
      <c r="T440" s="2455"/>
      <c r="U440" s="2455"/>
      <c r="V440" s="2455"/>
      <c r="W440" s="2455"/>
      <c r="X440" s="2455"/>
      <c r="Y440" s="2455"/>
      <c r="Z440" s="2455"/>
    </row>
    <row r="441" spans="1:26" ht="12" x14ac:dyDescent="0.2">
      <c r="A441" s="2455"/>
      <c r="B441" s="2455"/>
      <c r="C441" s="2455"/>
      <c r="D441" s="2455"/>
      <c r="E441" s="2455"/>
      <c r="F441" s="2455"/>
      <c r="G441" s="2456"/>
      <c r="H441" s="2455"/>
      <c r="I441" s="2455"/>
      <c r="J441" s="2455"/>
      <c r="K441" s="2455"/>
      <c r="L441" s="2455"/>
      <c r="M441" s="2455"/>
      <c r="N441" s="2455"/>
      <c r="O441" s="2455"/>
      <c r="P441" s="2455"/>
      <c r="Q441" s="2455"/>
      <c r="R441" s="2455"/>
      <c r="S441" s="2455"/>
      <c r="T441" s="2455"/>
      <c r="U441" s="2455"/>
      <c r="V441" s="2455"/>
      <c r="W441" s="2455"/>
      <c r="X441" s="2455"/>
      <c r="Y441" s="2455"/>
      <c r="Z441" s="2455"/>
    </row>
    <row r="442" spans="1:26" ht="12" x14ac:dyDescent="0.2">
      <c r="A442" s="2455"/>
      <c r="B442" s="2455"/>
      <c r="C442" s="2455"/>
      <c r="D442" s="2455"/>
      <c r="E442" s="2455"/>
      <c r="F442" s="2455"/>
      <c r="G442" s="2456"/>
      <c r="H442" s="2455"/>
      <c r="I442" s="2455"/>
      <c r="J442" s="2455"/>
      <c r="K442" s="2455"/>
      <c r="L442" s="2455"/>
      <c r="M442" s="2455"/>
      <c r="N442" s="2455"/>
      <c r="O442" s="2455"/>
      <c r="P442" s="2455"/>
      <c r="Q442" s="2455"/>
      <c r="R442" s="2455"/>
      <c r="S442" s="2455"/>
      <c r="T442" s="2455"/>
      <c r="U442" s="2455"/>
      <c r="V442" s="2455"/>
      <c r="W442" s="2455"/>
      <c r="X442" s="2455"/>
      <c r="Y442" s="2455"/>
      <c r="Z442" s="2455"/>
    </row>
    <row r="443" spans="1:26" ht="12" x14ac:dyDescent="0.2">
      <c r="A443" s="2455"/>
      <c r="B443" s="2455"/>
      <c r="C443" s="2455"/>
      <c r="D443" s="2455"/>
      <c r="E443" s="2455"/>
      <c r="F443" s="2455"/>
      <c r="G443" s="2456"/>
      <c r="H443" s="2455"/>
      <c r="I443" s="2455"/>
      <c r="J443" s="2455"/>
      <c r="K443" s="2455"/>
      <c r="L443" s="2455"/>
      <c r="M443" s="2455"/>
      <c r="N443" s="2455"/>
      <c r="O443" s="2455"/>
      <c r="P443" s="2455"/>
      <c r="Q443" s="2455"/>
      <c r="R443" s="2455"/>
      <c r="S443" s="2455"/>
      <c r="T443" s="2455"/>
      <c r="U443" s="2455"/>
      <c r="V443" s="2455"/>
      <c r="W443" s="2455"/>
      <c r="X443" s="2455"/>
      <c r="Y443" s="2455"/>
      <c r="Z443" s="2455"/>
    </row>
    <row r="444" spans="1:26" ht="12" x14ac:dyDescent="0.2">
      <c r="A444" s="2455"/>
      <c r="B444" s="2455"/>
      <c r="C444" s="2455"/>
      <c r="D444" s="2455"/>
      <c r="E444" s="2455"/>
      <c r="F444" s="2455"/>
      <c r="G444" s="2456"/>
      <c r="H444" s="2455"/>
      <c r="I444" s="2455"/>
      <c r="J444" s="2455"/>
      <c r="K444" s="2455"/>
      <c r="L444" s="2455"/>
      <c r="M444" s="2455"/>
      <c r="N444" s="2455"/>
      <c r="O444" s="2455"/>
      <c r="P444" s="2455"/>
      <c r="Q444" s="2455"/>
      <c r="R444" s="2455"/>
      <c r="S444" s="2455"/>
      <c r="T444" s="2455"/>
      <c r="U444" s="2455"/>
      <c r="V444" s="2455"/>
      <c r="W444" s="2455"/>
      <c r="X444" s="2455"/>
      <c r="Y444" s="2455"/>
      <c r="Z444" s="2455"/>
    </row>
    <row r="445" spans="1:26" ht="12" x14ac:dyDescent="0.2">
      <c r="A445" s="2455"/>
      <c r="B445" s="2455"/>
      <c r="C445" s="2455"/>
      <c r="D445" s="2455"/>
      <c r="E445" s="2455"/>
      <c r="F445" s="2455"/>
      <c r="G445" s="2456"/>
      <c r="H445" s="2455"/>
      <c r="I445" s="2455"/>
      <c r="J445" s="2455"/>
      <c r="K445" s="2455"/>
      <c r="L445" s="2455"/>
      <c r="M445" s="2455"/>
      <c r="N445" s="2455"/>
      <c r="O445" s="2455"/>
      <c r="P445" s="2455"/>
      <c r="Q445" s="2455"/>
      <c r="R445" s="2455"/>
      <c r="S445" s="2455"/>
      <c r="T445" s="2455"/>
      <c r="U445" s="2455"/>
      <c r="V445" s="2455"/>
      <c r="W445" s="2455"/>
      <c r="X445" s="2455"/>
      <c r="Y445" s="2455"/>
      <c r="Z445" s="2455"/>
    </row>
    <row r="446" spans="1:26" ht="12" x14ac:dyDescent="0.2">
      <c r="A446" s="2455"/>
      <c r="B446" s="2455"/>
      <c r="C446" s="2455"/>
      <c r="D446" s="2455"/>
      <c r="E446" s="2455"/>
      <c r="F446" s="2455"/>
      <c r="G446" s="2456"/>
      <c r="H446" s="2455"/>
      <c r="I446" s="2455"/>
      <c r="J446" s="2455"/>
      <c r="K446" s="2455"/>
      <c r="L446" s="2455"/>
      <c r="M446" s="2455"/>
      <c r="N446" s="2455"/>
      <c r="O446" s="2455"/>
      <c r="P446" s="2455"/>
      <c r="Q446" s="2455"/>
      <c r="R446" s="2455"/>
      <c r="S446" s="2455"/>
      <c r="T446" s="2455"/>
      <c r="U446" s="2455"/>
      <c r="V446" s="2455"/>
      <c r="W446" s="2455"/>
      <c r="X446" s="2455"/>
      <c r="Y446" s="2455"/>
      <c r="Z446" s="2455"/>
    </row>
    <row r="447" spans="1:26" ht="12" x14ac:dyDescent="0.2">
      <c r="A447" s="2455"/>
      <c r="B447" s="2455"/>
      <c r="C447" s="2455"/>
      <c r="D447" s="2455"/>
      <c r="E447" s="2455"/>
      <c r="F447" s="2455"/>
      <c r="G447" s="2456"/>
      <c r="H447" s="2455"/>
      <c r="I447" s="2455"/>
      <c r="J447" s="2455"/>
      <c r="K447" s="2455"/>
      <c r="L447" s="2455"/>
      <c r="M447" s="2455"/>
      <c r="N447" s="2455"/>
      <c r="O447" s="2455"/>
      <c r="P447" s="2455"/>
      <c r="Q447" s="2455"/>
      <c r="R447" s="2455"/>
      <c r="S447" s="2455"/>
      <c r="T447" s="2455"/>
      <c r="U447" s="2455"/>
      <c r="V447" s="2455"/>
      <c r="W447" s="2455"/>
      <c r="X447" s="2455"/>
      <c r="Y447" s="2455"/>
      <c r="Z447" s="2455"/>
    </row>
    <row r="448" spans="1:26" ht="12" x14ac:dyDescent="0.2">
      <c r="A448" s="2455"/>
      <c r="B448" s="2455"/>
      <c r="C448" s="2455"/>
      <c r="D448" s="2455"/>
      <c r="E448" s="2455"/>
      <c r="F448" s="2455"/>
      <c r="G448" s="2456"/>
      <c r="H448" s="2455"/>
      <c r="I448" s="2455"/>
      <c r="J448" s="2455"/>
      <c r="K448" s="2455"/>
      <c r="L448" s="2455"/>
      <c r="M448" s="2455"/>
      <c r="N448" s="2455"/>
      <c r="O448" s="2455"/>
      <c r="P448" s="2455"/>
      <c r="Q448" s="2455"/>
      <c r="R448" s="2455"/>
      <c r="S448" s="2455"/>
      <c r="T448" s="2455"/>
      <c r="U448" s="2455"/>
      <c r="V448" s="2455"/>
      <c r="W448" s="2455"/>
      <c r="X448" s="2455"/>
      <c r="Y448" s="2455"/>
      <c r="Z448" s="2455"/>
    </row>
    <row r="449" spans="1:26" ht="12" x14ac:dyDescent="0.2">
      <c r="A449" s="2455"/>
      <c r="B449" s="2455"/>
      <c r="C449" s="2455"/>
      <c r="D449" s="2455"/>
      <c r="E449" s="2455"/>
      <c r="F449" s="2455"/>
      <c r="G449" s="2456"/>
      <c r="H449" s="2455"/>
      <c r="I449" s="2455"/>
      <c r="J449" s="2455"/>
      <c r="K449" s="2455"/>
      <c r="L449" s="2455"/>
      <c r="M449" s="2455"/>
      <c r="N449" s="2455"/>
      <c r="O449" s="2455"/>
      <c r="P449" s="2455"/>
      <c r="Q449" s="2455"/>
      <c r="R449" s="2455"/>
      <c r="S449" s="2455"/>
      <c r="T449" s="2455"/>
      <c r="U449" s="2455"/>
      <c r="V449" s="2455"/>
      <c r="W449" s="2455"/>
      <c r="X449" s="2455"/>
      <c r="Y449" s="2455"/>
      <c r="Z449" s="2455"/>
    </row>
    <row r="450" spans="1:26" ht="12" x14ac:dyDescent="0.2">
      <c r="A450" s="2455"/>
      <c r="B450" s="2455"/>
      <c r="C450" s="2455"/>
      <c r="D450" s="2455"/>
      <c r="E450" s="2455"/>
      <c r="F450" s="2455"/>
      <c r="G450" s="2456"/>
      <c r="H450" s="2455"/>
      <c r="I450" s="2455"/>
      <c r="J450" s="2455"/>
      <c r="K450" s="2455"/>
      <c r="L450" s="2455"/>
      <c r="M450" s="2455"/>
      <c r="N450" s="2455"/>
      <c r="O450" s="2455"/>
      <c r="P450" s="2455"/>
      <c r="Q450" s="2455"/>
      <c r="R450" s="2455"/>
      <c r="S450" s="2455"/>
      <c r="T450" s="2455"/>
      <c r="U450" s="2455"/>
      <c r="V450" s="2455"/>
      <c r="W450" s="2455"/>
      <c r="X450" s="2455"/>
      <c r="Y450" s="2455"/>
      <c r="Z450" s="2455"/>
    </row>
    <row r="451" spans="1:26" ht="12" x14ac:dyDescent="0.2">
      <c r="A451" s="2455"/>
      <c r="B451" s="2455"/>
      <c r="C451" s="2455"/>
      <c r="D451" s="2455"/>
      <c r="E451" s="2455"/>
      <c r="F451" s="2455"/>
      <c r="G451" s="2456"/>
      <c r="H451" s="2455"/>
      <c r="I451" s="2455"/>
      <c r="J451" s="2455"/>
      <c r="K451" s="2455"/>
      <c r="L451" s="2455"/>
      <c r="M451" s="2455"/>
      <c r="N451" s="2455"/>
      <c r="O451" s="2455"/>
      <c r="P451" s="2455"/>
      <c r="Q451" s="2455"/>
      <c r="R451" s="2455"/>
      <c r="S451" s="2455"/>
      <c r="T451" s="2455"/>
      <c r="U451" s="2455"/>
      <c r="V451" s="2455"/>
      <c r="W451" s="2455"/>
      <c r="X451" s="2455"/>
      <c r="Y451" s="2455"/>
      <c r="Z451" s="2455"/>
    </row>
    <row r="452" spans="1:26" ht="12" x14ac:dyDescent="0.2">
      <c r="A452" s="2455"/>
      <c r="B452" s="2455"/>
      <c r="C452" s="2455"/>
      <c r="D452" s="2455"/>
      <c r="E452" s="2455"/>
      <c r="F452" s="2455"/>
      <c r="G452" s="2456"/>
      <c r="H452" s="2455"/>
      <c r="I452" s="2455"/>
      <c r="J452" s="2455"/>
      <c r="K452" s="2455"/>
      <c r="L452" s="2455"/>
      <c r="M452" s="2455"/>
      <c r="N452" s="2455"/>
      <c r="O452" s="2455"/>
      <c r="P452" s="2455"/>
      <c r="Q452" s="2455"/>
      <c r="R452" s="2455"/>
      <c r="S452" s="2455"/>
      <c r="T452" s="2455"/>
      <c r="U452" s="2455"/>
      <c r="V452" s="2455"/>
      <c r="W452" s="2455"/>
      <c r="X452" s="2455"/>
      <c r="Y452" s="2455"/>
      <c r="Z452" s="2455"/>
    </row>
    <row r="453" spans="1:26" ht="12" x14ac:dyDescent="0.2">
      <c r="A453" s="2455"/>
      <c r="B453" s="2455"/>
      <c r="C453" s="2455"/>
      <c r="D453" s="2455"/>
      <c r="E453" s="2455"/>
      <c r="F453" s="2455"/>
      <c r="G453" s="2456"/>
      <c r="H453" s="2455"/>
      <c r="I453" s="2455"/>
      <c r="J453" s="2455"/>
      <c r="K453" s="2455"/>
      <c r="L453" s="2455"/>
      <c r="M453" s="2455"/>
      <c r="N453" s="2455"/>
      <c r="O453" s="2455"/>
      <c r="P453" s="2455"/>
      <c r="Q453" s="2455"/>
      <c r="R453" s="2455"/>
      <c r="S453" s="2455"/>
      <c r="T453" s="2455"/>
      <c r="U453" s="2455"/>
      <c r="V453" s="2455"/>
      <c r="W453" s="2455"/>
      <c r="X453" s="2455"/>
      <c r="Y453" s="2455"/>
      <c r="Z453" s="2455"/>
    </row>
    <row r="454" spans="1:26" ht="12" x14ac:dyDescent="0.2">
      <c r="A454" s="2455"/>
      <c r="B454" s="2455"/>
      <c r="C454" s="2455"/>
      <c r="D454" s="2455"/>
      <c r="E454" s="2455"/>
      <c r="F454" s="2455"/>
      <c r="G454" s="2456"/>
      <c r="H454" s="2455"/>
      <c r="I454" s="2455"/>
      <c r="J454" s="2455"/>
      <c r="K454" s="2455"/>
      <c r="L454" s="2455"/>
      <c r="M454" s="2455"/>
      <c r="N454" s="2455"/>
      <c r="O454" s="2455"/>
      <c r="P454" s="2455"/>
      <c r="Q454" s="2455"/>
      <c r="R454" s="2455"/>
      <c r="S454" s="2455"/>
      <c r="T454" s="2455"/>
      <c r="U454" s="2455"/>
      <c r="V454" s="2455"/>
      <c r="W454" s="2455"/>
      <c r="X454" s="2455"/>
      <c r="Y454" s="2455"/>
      <c r="Z454" s="2455"/>
    </row>
    <row r="455" spans="1:26" ht="12" x14ac:dyDescent="0.2">
      <c r="A455" s="2455"/>
      <c r="B455" s="2455"/>
      <c r="C455" s="2455"/>
      <c r="D455" s="2455"/>
      <c r="E455" s="2455"/>
      <c r="F455" s="2455"/>
      <c r="G455" s="2456"/>
      <c r="H455" s="2455"/>
      <c r="I455" s="2455"/>
      <c r="J455" s="2455"/>
      <c r="K455" s="2455"/>
      <c r="L455" s="2455"/>
      <c r="M455" s="2455"/>
      <c r="N455" s="2455"/>
      <c r="O455" s="2455"/>
      <c r="P455" s="2455"/>
      <c r="Q455" s="2455"/>
      <c r="R455" s="2455"/>
      <c r="S455" s="2455"/>
      <c r="T455" s="2455"/>
      <c r="U455" s="2455"/>
      <c r="V455" s="2455"/>
      <c r="W455" s="2455"/>
      <c r="X455" s="2455"/>
      <c r="Y455" s="2455"/>
      <c r="Z455" s="2455"/>
    </row>
    <row r="456" spans="1:26" ht="12" x14ac:dyDescent="0.2">
      <c r="A456" s="2455"/>
      <c r="B456" s="2455"/>
      <c r="C456" s="2455"/>
      <c r="D456" s="2455"/>
      <c r="E456" s="2455"/>
      <c r="F456" s="2455"/>
      <c r="G456" s="2456"/>
      <c r="H456" s="2455"/>
      <c r="I456" s="2455"/>
      <c r="J456" s="2455"/>
      <c r="K456" s="2455"/>
      <c r="L456" s="2455"/>
      <c r="M456" s="2455"/>
      <c r="N456" s="2455"/>
      <c r="O456" s="2455"/>
      <c r="P456" s="2455"/>
      <c r="Q456" s="2455"/>
      <c r="R456" s="2455"/>
      <c r="S456" s="2455"/>
      <c r="T456" s="2455"/>
      <c r="U456" s="2455"/>
      <c r="V456" s="2455"/>
      <c r="W456" s="2455"/>
      <c r="X456" s="2455"/>
      <c r="Y456" s="2455"/>
      <c r="Z456" s="2455"/>
    </row>
    <row r="457" spans="1:26" ht="12" x14ac:dyDescent="0.2">
      <c r="A457" s="2455"/>
      <c r="B457" s="2455"/>
      <c r="C457" s="2455"/>
      <c r="D457" s="2455"/>
      <c r="E457" s="2455"/>
      <c r="F457" s="2455"/>
      <c r="G457" s="2456"/>
      <c r="H457" s="2455"/>
      <c r="I457" s="2455"/>
      <c r="J457" s="2455"/>
      <c r="K457" s="2455"/>
      <c r="L457" s="2455"/>
      <c r="M457" s="2455"/>
      <c r="N457" s="2455"/>
      <c r="O457" s="2455"/>
      <c r="P457" s="2455"/>
      <c r="Q457" s="2455"/>
      <c r="R457" s="2455"/>
      <c r="S457" s="2455"/>
      <c r="T457" s="2455"/>
      <c r="U457" s="2455"/>
      <c r="V457" s="2455"/>
      <c r="W457" s="2455"/>
      <c r="X457" s="2455"/>
      <c r="Y457" s="2455"/>
      <c r="Z457" s="2455"/>
    </row>
    <row r="458" spans="1:26" ht="12" x14ac:dyDescent="0.2">
      <c r="A458" s="2455"/>
      <c r="B458" s="2455"/>
      <c r="C458" s="2455"/>
      <c r="D458" s="2455"/>
      <c r="E458" s="2455"/>
      <c r="F458" s="2455"/>
      <c r="G458" s="2456"/>
      <c r="H458" s="2455"/>
      <c r="I458" s="2455"/>
      <c r="J458" s="2455"/>
      <c r="K458" s="2455"/>
      <c r="L458" s="2455"/>
      <c r="M458" s="2455"/>
      <c r="N458" s="2455"/>
      <c r="O458" s="2455"/>
      <c r="P458" s="2455"/>
      <c r="Q458" s="2455"/>
      <c r="R458" s="2455"/>
      <c r="S458" s="2455"/>
      <c r="T458" s="2455"/>
      <c r="U458" s="2455"/>
      <c r="V458" s="2455"/>
      <c r="W458" s="2455"/>
      <c r="X458" s="2455"/>
      <c r="Y458" s="2455"/>
      <c r="Z458" s="2455"/>
    </row>
    <row r="459" spans="1:26" ht="12" x14ac:dyDescent="0.2">
      <c r="A459" s="2455"/>
      <c r="B459" s="2455"/>
      <c r="C459" s="2455"/>
      <c r="D459" s="2455"/>
      <c r="E459" s="2455"/>
      <c r="F459" s="2455"/>
      <c r="G459" s="2456"/>
      <c r="H459" s="2455"/>
      <c r="I459" s="2455"/>
      <c r="J459" s="2455"/>
      <c r="K459" s="2455"/>
      <c r="L459" s="2455"/>
      <c r="M459" s="2455"/>
      <c r="N459" s="2455"/>
      <c r="O459" s="2455"/>
      <c r="P459" s="2455"/>
      <c r="Q459" s="2455"/>
      <c r="R459" s="2455"/>
      <c r="S459" s="2455"/>
      <c r="T459" s="2455"/>
      <c r="U459" s="2455"/>
      <c r="V459" s="2455"/>
      <c r="W459" s="2455"/>
      <c r="X459" s="2455"/>
      <c r="Y459" s="2455"/>
      <c r="Z459" s="2455"/>
    </row>
    <row r="460" spans="1:26" ht="12" x14ac:dyDescent="0.2">
      <c r="A460" s="2455"/>
      <c r="B460" s="2455"/>
      <c r="C460" s="2455"/>
      <c r="D460" s="2455"/>
      <c r="E460" s="2455"/>
      <c r="F460" s="2455"/>
      <c r="G460" s="2456"/>
      <c r="H460" s="2455"/>
      <c r="I460" s="2455"/>
      <c r="J460" s="2455"/>
      <c r="K460" s="2455"/>
      <c r="L460" s="2455"/>
      <c r="M460" s="2455"/>
      <c r="N460" s="2455"/>
      <c r="O460" s="2455"/>
      <c r="P460" s="2455"/>
      <c r="Q460" s="2455"/>
      <c r="R460" s="2455"/>
      <c r="S460" s="2455"/>
      <c r="T460" s="2455"/>
      <c r="U460" s="2455"/>
      <c r="V460" s="2455"/>
      <c r="W460" s="2455"/>
      <c r="X460" s="2455"/>
      <c r="Y460" s="2455"/>
      <c r="Z460" s="2455"/>
    </row>
    <row r="461" spans="1:26" ht="12" x14ac:dyDescent="0.2">
      <c r="A461" s="2455"/>
      <c r="B461" s="2455"/>
      <c r="C461" s="2455"/>
      <c r="D461" s="2455"/>
      <c r="E461" s="2455"/>
      <c r="F461" s="2455"/>
      <c r="G461" s="2456"/>
      <c r="H461" s="2455"/>
      <c r="I461" s="2455"/>
      <c r="J461" s="2455"/>
      <c r="K461" s="2455"/>
      <c r="L461" s="2455"/>
      <c r="M461" s="2455"/>
      <c r="N461" s="2455"/>
      <c r="O461" s="2455"/>
      <c r="P461" s="2455"/>
      <c r="Q461" s="2455"/>
      <c r="R461" s="2455"/>
      <c r="S461" s="2455"/>
      <c r="T461" s="2455"/>
      <c r="U461" s="2455"/>
      <c r="V461" s="2455"/>
      <c r="W461" s="2455"/>
      <c r="X461" s="2455"/>
      <c r="Y461" s="2455"/>
      <c r="Z461" s="2455"/>
    </row>
    <row r="462" spans="1:26" ht="12" x14ac:dyDescent="0.2">
      <c r="A462" s="2455"/>
      <c r="B462" s="2455"/>
      <c r="C462" s="2455"/>
      <c r="D462" s="2455"/>
      <c r="E462" s="2455"/>
      <c r="F462" s="2455"/>
      <c r="G462" s="2456"/>
      <c r="H462" s="2455"/>
      <c r="I462" s="2455"/>
      <c r="J462" s="2455"/>
      <c r="K462" s="2455"/>
      <c r="L462" s="2455"/>
      <c r="M462" s="2455"/>
      <c r="N462" s="2455"/>
      <c r="O462" s="2455"/>
      <c r="P462" s="2455"/>
      <c r="Q462" s="2455"/>
      <c r="R462" s="2455"/>
      <c r="S462" s="2455"/>
      <c r="T462" s="2455"/>
      <c r="U462" s="2455"/>
      <c r="V462" s="2455"/>
      <c r="W462" s="2455"/>
      <c r="X462" s="2455"/>
      <c r="Y462" s="2455"/>
      <c r="Z462" s="2455"/>
    </row>
    <row r="463" spans="1:26" ht="12" x14ac:dyDescent="0.2">
      <c r="A463" s="2455"/>
      <c r="B463" s="2455"/>
      <c r="C463" s="2455"/>
      <c r="D463" s="2455"/>
      <c r="E463" s="2455"/>
      <c r="F463" s="2455"/>
      <c r="G463" s="2456"/>
      <c r="H463" s="2455"/>
      <c r="I463" s="2455"/>
      <c r="J463" s="2455"/>
      <c r="K463" s="2455"/>
      <c r="L463" s="2455"/>
      <c r="M463" s="2455"/>
      <c r="N463" s="2455"/>
      <c r="O463" s="2455"/>
      <c r="P463" s="2455"/>
      <c r="Q463" s="2455"/>
      <c r="R463" s="2455"/>
      <c r="S463" s="2455"/>
      <c r="T463" s="2455"/>
      <c r="U463" s="2455"/>
      <c r="V463" s="2455"/>
      <c r="W463" s="2455"/>
      <c r="X463" s="2455"/>
      <c r="Y463" s="2455"/>
      <c r="Z463" s="2455"/>
    </row>
    <row r="464" spans="1:26" ht="12" x14ac:dyDescent="0.2">
      <c r="A464" s="2455"/>
      <c r="B464" s="2455"/>
      <c r="C464" s="2455"/>
      <c r="D464" s="2455"/>
      <c r="E464" s="2455"/>
      <c r="F464" s="2455"/>
      <c r="G464" s="2456"/>
      <c r="H464" s="2455"/>
      <c r="I464" s="2455"/>
      <c r="J464" s="2455"/>
      <c r="K464" s="2455"/>
      <c r="L464" s="2455"/>
      <c r="M464" s="2455"/>
      <c r="N464" s="2455"/>
      <c r="O464" s="2455"/>
      <c r="P464" s="2455"/>
      <c r="Q464" s="2455"/>
      <c r="R464" s="2455"/>
      <c r="S464" s="2455"/>
      <c r="T464" s="2455"/>
      <c r="U464" s="2455"/>
      <c r="V464" s="2455"/>
      <c r="W464" s="2455"/>
      <c r="X464" s="2455"/>
      <c r="Y464" s="2455"/>
      <c r="Z464" s="2455"/>
    </row>
    <row r="465" spans="1:26" ht="12" x14ac:dyDescent="0.2">
      <c r="A465" s="2455"/>
      <c r="B465" s="2455"/>
      <c r="C465" s="2455"/>
      <c r="D465" s="2455"/>
      <c r="E465" s="2455"/>
      <c r="F465" s="2455"/>
      <c r="G465" s="2456"/>
      <c r="H465" s="2455"/>
      <c r="I465" s="2455"/>
      <c r="J465" s="2455"/>
      <c r="K465" s="2455"/>
      <c r="L465" s="2455"/>
      <c r="M465" s="2455"/>
      <c r="N465" s="2455"/>
      <c r="O465" s="2455"/>
      <c r="P465" s="2455"/>
      <c r="Q465" s="2455"/>
      <c r="R465" s="2455"/>
      <c r="S465" s="2455"/>
      <c r="T465" s="2455"/>
      <c r="U465" s="2455"/>
      <c r="V465" s="2455"/>
      <c r="W465" s="2455"/>
      <c r="X465" s="2455"/>
      <c r="Y465" s="2455"/>
      <c r="Z465" s="2455"/>
    </row>
    <row r="466" spans="1:26" ht="12" x14ac:dyDescent="0.2">
      <c r="A466" s="2455"/>
      <c r="B466" s="2455"/>
      <c r="C466" s="2455"/>
      <c r="D466" s="2455"/>
      <c r="E466" s="2455"/>
      <c r="F466" s="2455"/>
      <c r="G466" s="2456"/>
      <c r="H466" s="2455"/>
      <c r="I466" s="2455"/>
      <c r="J466" s="2455"/>
      <c r="K466" s="2455"/>
      <c r="L466" s="2455"/>
      <c r="M466" s="2455"/>
      <c r="N466" s="2455"/>
      <c r="O466" s="2455"/>
      <c r="P466" s="2455"/>
      <c r="Q466" s="2455"/>
      <c r="R466" s="2455"/>
      <c r="S466" s="2455"/>
      <c r="T466" s="2455"/>
      <c r="U466" s="2455"/>
      <c r="V466" s="2455"/>
      <c r="W466" s="2455"/>
      <c r="X466" s="2455"/>
      <c r="Y466" s="2455"/>
      <c r="Z466" s="2455"/>
    </row>
    <row r="467" spans="1:26" ht="12" x14ac:dyDescent="0.2">
      <c r="A467" s="2455"/>
      <c r="B467" s="2455"/>
      <c r="C467" s="2455"/>
      <c r="D467" s="2455"/>
      <c r="E467" s="2455"/>
      <c r="F467" s="2455"/>
      <c r="G467" s="2456"/>
      <c r="H467" s="2455"/>
      <c r="I467" s="2455"/>
      <c r="J467" s="2455"/>
      <c r="K467" s="2455"/>
      <c r="L467" s="2455"/>
      <c r="M467" s="2455"/>
      <c r="N467" s="2455"/>
      <c r="O467" s="2455"/>
      <c r="P467" s="2455"/>
      <c r="Q467" s="2455"/>
      <c r="R467" s="2455"/>
      <c r="S467" s="2455"/>
      <c r="T467" s="2455"/>
      <c r="U467" s="2455"/>
      <c r="V467" s="2455"/>
      <c r="W467" s="2455"/>
      <c r="X467" s="2455"/>
      <c r="Y467" s="2455"/>
      <c r="Z467" s="2455"/>
    </row>
    <row r="468" spans="1:26" ht="12" x14ac:dyDescent="0.2">
      <c r="A468" s="2455"/>
      <c r="B468" s="2455"/>
      <c r="C468" s="2455"/>
      <c r="D468" s="2455"/>
      <c r="E468" s="2455"/>
      <c r="F468" s="2455"/>
      <c r="G468" s="2456"/>
      <c r="H468" s="2455"/>
      <c r="I468" s="2455"/>
      <c r="J468" s="2455"/>
      <c r="K468" s="2455"/>
      <c r="L468" s="2455"/>
      <c r="M468" s="2455"/>
      <c r="N468" s="2455"/>
      <c r="O468" s="2455"/>
      <c r="P468" s="2455"/>
      <c r="Q468" s="2455"/>
      <c r="R468" s="2455"/>
      <c r="S468" s="2455"/>
      <c r="T468" s="2455"/>
      <c r="U468" s="2455"/>
      <c r="V468" s="2455"/>
      <c r="W468" s="2455"/>
      <c r="X468" s="2455"/>
      <c r="Y468" s="2455"/>
      <c r="Z468" s="2455"/>
    </row>
    <row r="469" spans="1:26" ht="12" x14ac:dyDescent="0.2">
      <c r="A469" s="2455"/>
      <c r="B469" s="2455"/>
      <c r="C469" s="2455"/>
      <c r="D469" s="2455"/>
      <c r="E469" s="2455"/>
      <c r="F469" s="2455"/>
      <c r="G469" s="2456"/>
      <c r="H469" s="2455"/>
      <c r="I469" s="2455"/>
      <c r="J469" s="2455"/>
      <c r="K469" s="2455"/>
      <c r="L469" s="2455"/>
      <c r="M469" s="2455"/>
      <c r="N469" s="2455"/>
      <c r="O469" s="2455"/>
      <c r="P469" s="2455"/>
      <c r="Q469" s="2455"/>
      <c r="R469" s="2455"/>
      <c r="S469" s="2455"/>
      <c r="T469" s="2455"/>
      <c r="U469" s="2455"/>
      <c r="V469" s="2455"/>
      <c r="W469" s="2455"/>
      <c r="X469" s="2455"/>
      <c r="Y469" s="2455"/>
      <c r="Z469" s="2455"/>
    </row>
    <row r="470" spans="1:26" ht="12" x14ac:dyDescent="0.2">
      <c r="A470" s="2455"/>
      <c r="B470" s="2455"/>
      <c r="C470" s="2455"/>
      <c r="D470" s="2455"/>
      <c r="E470" s="2455"/>
      <c r="F470" s="2455"/>
      <c r="G470" s="2456"/>
      <c r="H470" s="2455"/>
      <c r="I470" s="2455"/>
      <c r="J470" s="2455"/>
      <c r="K470" s="2455"/>
      <c r="L470" s="2455"/>
      <c r="M470" s="2455"/>
      <c r="N470" s="2455"/>
      <c r="O470" s="2455"/>
      <c r="P470" s="2455"/>
      <c r="Q470" s="2455"/>
      <c r="R470" s="2455"/>
      <c r="S470" s="2455"/>
      <c r="T470" s="2455"/>
      <c r="U470" s="2455"/>
      <c r="V470" s="2455"/>
      <c r="W470" s="2455"/>
      <c r="X470" s="2455"/>
      <c r="Y470" s="2455"/>
      <c r="Z470" s="2455"/>
    </row>
    <row r="471" spans="1:26" ht="12" x14ac:dyDescent="0.2">
      <c r="A471" s="2455"/>
      <c r="B471" s="2455"/>
      <c r="C471" s="2455"/>
      <c r="D471" s="2455"/>
      <c r="E471" s="2455"/>
      <c r="F471" s="2455"/>
      <c r="G471" s="2456"/>
      <c r="H471" s="2455"/>
      <c r="I471" s="2455"/>
      <c r="J471" s="2455"/>
      <c r="K471" s="2455"/>
      <c r="L471" s="2455"/>
      <c r="M471" s="2455"/>
      <c r="N471" s="2455"/>
      <c r="O471" s="2455"/>
      <c r="P471" s="2455"/>
      <c r="Q471" s="2455"/>
      <c r="R471" s="2455"/>
      <c r="S471" s="2455"/>
      <c r="T471" s="2455"/>
      <c r="U471" s="2455"/>
      <c r="V471" s="2455"/>
      <c r="W471" s="2455"/>
      <c r="X471" s="2455"/>
      <c r="Y471" s="2455"/>
      <c r="Z471" s="2455"/>
    </row>
    <row r="472" spans="1:26" ht="12" x14ac:dyDescent="0.2">
      <c r="A472" s="2455"/>
      <c r="B472" s="2455"/>
      <c r="C472" s="2455"/>
      <c r="D472" s="2455"/>
      <c r="E472" s="2455"/>
      <c r="F472" s="2455"/>
      <c r="G472" s="2456"/>
      <c r="H472" s="2455"/>
      <c r="I472" s="2455"/>
      <c r="J472" s="2455"/>
      <c r="K472" s="2455"/>
      <c r="L472" s="2455"/>
      <c r="M472" s="2455"/>
      <c r="N472" s="2455"/>
      <c r="O472" s="2455"/>
      <c r="P472" s="2455"/>
      <c r="Q472" s="2455"/>
      <c r="R472" s="2455"/>
      <c r="S472" s="2455"/>
      <c r="T472" s="2455"/>
      <c r="U472" s="2455"/>
      <c r="V472" s="2455"/>
      <c r="W472" s="2455"/>
      <c r="X472" s="2455"/>
      <c r="Y472" s="2455"/>
      <c r="Z472" s="2455"/>
    </row>
    <row r="473" spans="1:26" ht="12" x14ac:dyDescent="0.2">
      <c r="A473" s="2455"/>
      <c r="B473" s="2455"/>
      <c r="C473" s="2455"/>
      <c r="D473" s="2455"/>
      <c r="E473" s="2455"/>
      <c r="F473" s="2455"/>
      <c r="G473" s="2456"/>
      <c r="H473" s="2455"/>
      <c r="I473" s="2455"/>
      <c r="J473" s="2455"/>
      <c r="K473" s="2455"/>
      <c r="L473" s="2455"/>
      <c r="M473" s="2455"/>
      <c r="N473" s="2455"/>
      <c r="O473" s="2455"/>
      <c r="P473" s="2455"/>
      <c r="Q473" s="2455"/>
      <c r="R473" s="2455"/>
      <c r="S473" s="2455"/>
      <c r="T473" s="2455"/>
      <c r="U473" s="2455"/>
      <c r="V473" s="2455"/>
      <c r="W473" s="2455"/>
      <c r="X473" s="2455"/>
      <c r="Y473" s="2455"/>
      <c r="Z473" s="2455"/>
    </row>
    <row r="474" spans="1:26" ht="12" x14ac:dyDescent="0.2">
      <c r="A474" s="2455"/>
      <c r="B474" s="2455"/>
      <c r="C474" s="2455"/>
      <c r="D474" s="2455"/>
      <c r="E474" s="2455"/>
      <c r="F474" s="2455"/>
      <c r="G474" s="2456"/>
      <c r="H474" s="2455"/>
      <c r="I474" s="2455"/>
      <c r="J474" s="2455"/>
      <c r="K474" s="2455"/>
      <c r="L474" s="2455"/>
      <c r="M474" s="2455"/>
      <c r="N474" s="2455"/>
      <c r="O474" s="2455"/>
      <c r="P474" s="2455"/>
      <c r="Q474" s="2455"/>
      <c r="R474" s="2455"/>
      <c r="S474" s="2455"/>
      <c r="T474" s="2455"/>
      <c r="U474" s="2455"/>
      <c r="V474" s="2455"/>
      <c r="W474" s="2455"/>
      <c r="X474" s="2455"/>
      <c r="Y474" s="2455"/>
      <c r="Z474" s="2455"/>
    </row>
    <row r="475" spans="1:26" ht="12" x14ac:dyDescent="0.2">
      <c r="A475" s="2455"/>
      <c r="B475" s="2455"/>
      <c r="C475" s="2455"/>
      <c r="D475" s="2455"/>
      <c r="E475" s="2455"/>
      <c r="F475" s="2455"/>
      <c r="G475" s="2456"/>
      <c r="H475" s="2455"/>
      <c r="I475" s="2455"/>
      <c r="J475" s="2455"/>
      <c r="K475" s="2455"/>
      <c r="L475" s="2455"/>
      <c r="M475" s="2455"/>
      <c r="N475" s="2455"/>
      <c r="O475" s="2455"/>
      <c r="P475" s="2455"/>
      <c r="Q475" s="2455"/>
      <c r="R475" s="2455"/>
      <c r="S475" s="2455"/>
      <c r="T475" s="2455"/>
      <c r="U475" s="2455"/>
      <c r="V475" s="2455"/>
      <c r="W475" s="2455"/>
      <c r="X475" s="2455"/>
      <c r="Y475" s="2455"/>
      <c r="Z475" s="2455"/>
    </row>
    <row r="476" spans="1:26" ht="12" x14ac:dyDescent="0.2">
      <c r="A476" s="2455"/>
      <c r="B476" s="2455"/>
      <c r="C476" s="2455"/>
      <c r="D476" s="2455"/>
      <c r="E476" s="2455"/>
      <c r="F476" s="2455"/>
      <c r="G476" s="2456"/>
      <c r="H476" s="2455"/>
      <c r="I476" s="2455"/>
      <c r="J476" s="2455"/>
      <c r="K476" s="2455"/>
      <c r="L476" s="2455"/>
      <c r="M476" s="2455"/>
      <c r="N476" s="2455"/>
      <c r="O476" s="2455"/>
      <c r="P476" s="2455"/>
      <c r="Q476" s="2455"/>
      <c r="R476" s="2455"/>
      <c r="S476" s="2455"/>
      <c r="T476" s="2455"/>
      <c r="U476" s="2455"/>
      <c r="V476" s="2455"/>
      <c r="W476" s="2455"/>
      <c r="X476" s="2455"/>
      <c r="Y476" s="2455"/>
      <c r="Z476" s="2455"/>
    </row>
    <row r="477" spans="1:26" ht="12" x14ac:dyDescent="0.2">
      <c r="A477" s="2455"/>
      <c r="B477" s="2455"/>
      <c r="C477" s="2455"/>
      <c r="D477" s="2455"/>
      <c r="E477" s="2455"/>
      <c r="F477" s="2455"/>
      <c r="G477" s="2456"/>
      <c r="H477" s="2455"/>
      <c r="I477" s="2455"/>
      <c r="J477" s="2455"/>
      <c r="K477" s="2455"/>
      <c r="L477" s="2455"/>
      <c r="M477" s="2455"/>
      <c r="N477" s="2455"/>
      <c r="O477" s="2455"/>
      <c r="P477" s="2455"/>
      <c r="Q477" s="2455"/>
      <c r="R477" s="2455"/>
      <c r="S477" s="2455"/>
      <c r="T477" s="2455"/>
      <c r="U477" s="2455"/>
      <c r="V477" s="2455"/>
      <c r="W477" s="2455"/>
      <c r="X477" s="2455"/>
      <c r="Y477" s="2455"/>
      <c r="Z477" s="2455"/>
    </row>
    <row r="478" spans="1:26" ht="12" x14ac:dyDescent="0.2">
      <c r="A478" s="2455"/>
      <c r="B478" s="2455"/>
      <c r="C478" s="2455"/>
      <c r="D478" s="2455"/>
      <c r="E478" s="2455"/>
      <c r="F478" s="2455"/>
      <c r="G478" s="2456"/>
      <c r="H478" s="2455"/>
      <c r="I478" s="2455"/>
      <c r="J478" s="2455"/>
      <c r="K478" s="2455"/>
      <c r="L478" s="2455"/>
      <c r="M478" s="2455"/>
      <c r="N478" s="2455"/>
      <c r="O478" s="2455"/>
      <c r="P478" s="2455"/>
      <c r="Q478" s="2455"/>
      <c r="R478" s="2455"/>
      <c r="S478" s="2455"/>
      <c r="T478" s="2455"/>
      <c r="U478" s="2455"/>
      <c r="V478" s="2455"/>
      <c r="W478" s="2455"/>
      <c r="X478" s="2455"/>
      <c r="Y478" s="2455"/>
      <c r="Z478" s="2455"/>
    </row>
    <row r="479" spans="1:26" ht="12" x14ac:dyDescent="0.2">
      <c r="A479" s="2455"/>
      <c r="B479" s="2455"/>
      <c r="C479" s="2455"/>
      <c r="D479" s="2455"/>
      <c r="E479" s="2455"/>
      <c r="F479" s="2455"/>
      <c r="G479" s="2456"/>
      <c r="H479" s="2455"/>
      <c r="I479" s="2455"/>
      <c r="J479" s="2455"/>
      <c r="K479" s="2455"/>
      <c r="L479" s="2455"/>
      <c r="M479" s="2455"/>
      <c r="N479" s="2455"/>
      <c r="O479" s="2455"/>
      <c r="P479" s="2455"/>
      <c r="Q479" s="2455"/>
      <c r="R479" s="2455"/>
      <c r="S479" s="2455"/>
      <c r="T479" s="2455"/>
      <c r="U479" s="2455"/>
      <c r="V479" s="2455"/>
      <c r="W479" s="2455"/>
      <c r="X479" s="2455"/>
      <c r="Y479" s="2455"/>
      <c r="Z479" s="2455"/>
    </row>
    <row r="480" spans="1:26" ht="12" x14ac:dyDescent="0.2">
      <c r="A480" s="2455"/>
      <c r="B480" s="2455"/>
      <c r="C480" s="2455"/>
      <c r="D480" s="2455"/>
      <c r="E480" s="2455"/>
      <c r="F480" s="2455"/>
      <c r="G480" s="2456"/>
      <c r="H480" s="2455"/>
      <c r="I480" s="2455"/>
      <c r="J480" s="2455"/>
      <c r="K480" s="2455"/>
      <c r="L480" s="2455"/>
      <c r="M480" s="2455"/>
      <c r="N480" s="2455"/>
      <c r="O480" s="2455"/>
      <c r="P480" s="2455"/>
      <c r="Q480" s="2455"/>
      <c r="R480" s="2455"/>
      <c r="S480" s="2455"/>
      <c r="T480" s="2455"/>
      <c r="U480" s="2455"/>
      <c r="V480" s="2455"/>
      <c r="W480" s="2455"/>
      <c r="X480" s="2455"/>
      <c r="Y480" s="2455"/>
      <c r="Z480" s="2455"/>
    </row>
    <row r="481" spans="1:26" ht="12" x14ac:dyDescent="0.2">
      <c r="A481" s="2455"/>
      <c r="B481" s="2455"/>
      <c r="C481" s="2455"/>
      <c r="D481" s="2455"/>
      <c r="E481" s="2455"/>
      <c r="F481" s="2455"/>
      <c r="G481" s="2456"/>
      <c r="H481" s="2455"/>
      <c r="I481" s="2455"/>
      <c r="J481" s="2455"/>
      <c r="K481" s="2455"/>
      <c r="L481" s="2455"/>
      <c r="M481" s="2455"/>
      <c r="N481" s="2455"/>
      <c r="O481" s="2455"/>
      <c r="P481" s="2455"/>
      <c r="Q481" s="2455"/>
      <c r="R481" s="2455"/>
      <c r="S481" s="2455"/>
      <c r="T481" s="2455"/>
      <c r="U481" s="2455"/>
      <c r="V481" s="2455"/>
      <c r="W481" s="2455"/>
      <c r="X481" s="2455"/>
      <c r="Y481" s="2455"/>
      <c r="Z481" s="2455"/>
    </row>
    <row r="482" spans="1:26" ht="12" x14ac:dyDescent="0.2">
      <c r="A482" s="2455"/>
      <c r="B482" s="2455"/>
      <c r="C482" s="2455"/>
      <c r="D482" s="2455"/>
      <c r="E482" s="2455"/>
      <c r="F482" s="2455"/>
      <c r="G482" s="2456"/>
      <c r="H482" s="2455"/>
      <c r="I482" s="2455"/>
      <c r="J482" s="2455"/>
      <c r="K482" s="2455"/>
      <c r="L482" s="2455"/>
      <c r="M482" s="2455"/>
      <c r="N482" s="2455"/>
      <c r="O482" s="2455"/>
      <c r="P482" s="2455"/>
      <c r="Q482" s="2455"/>
      <c r="R482" s="2455"/>
      <c r="S482" s="2455"/>
      <c r="T482" s="2455"/>
      <c r="U482" s="2455"/>
      <c r="V482" s="2455"/>
      <c r="W482" s="2455"/>
      <c r="X482" s="2455"/>
      <c r="Y482" s="2455"/>
      <c r="Z482" s="2455"/>
    </row>
    <row r="483" spans="1:26" ht="12" x14ac:dyDescent="0.2">
      <c r="A483" s="2455"/>
      <c r="B483" s="2455"/>
      <c r="C483" s="2455"/>
      <c r="D483" s="2455"/>
      <c r="E483" s="2455"/>
      <c r="F483" s="2455"/>
      <c r="G483" s="2456"/>
      <c r="H483" s="2455"/>
      <c r="I483" s="2455"/>
      <c r="J483" s="2455"/>
      <c r="K483" s="2455"/>
      <c r="L483" s="2455"/>
      <c r="M483" s="2455"/>
      <c r="N483" s="2455"/>
      <c r="O483" s="2455"/>
      <c r="P483" s="2455"/>
      <c r="Q483" s="2455"/>
      <c r="R483" s="2455"/>
      <c r="S483" s="2455"/>
      <c r="T483" s="2455"/>
      <c r="U483" s="2455"/>
      <c r="V483" s="2455"/>
      <c r="W483" s="2455"/>
      <c r="X483" s="2455"/>
      <c r="Y483" s="2455"/>
      <c r="Z483" s="2455"/>
    </row>
    <row r="484" spans="1:26" ht="12" x14ac:dyDescent="0.2">
      <c r="A484" s="2455"/>
      <c r="B484" s="2455"/>
      <c r="C484" s="2455"/>
      <c r="D484" s="2455"/>
      <c r="E484" s="2455"/>
      <c r="F484" s="2455"/>
      <c r="G484" s="2456"/>
      <c r="H484" s="2455"/>
      <c r="I484" s="2455"/>
      <c r="J484" s="2455"/>
      <c r="K484" s="2455"/>
      <c r="L484" s="2455"/>
      <c r="M484" s="2455"/>
      <c r="N484" s="2455"/>
      <c r="O484" s="2455"/>
      <c r="P484" s="2455"/>
      <c r="Q484" s="2455"/>
      <c r="R484" s="2455"/>
      <c r="S484" s="2455"/>
      <c r="T484" s="2455"/>
      <c r="U484" s="2455"/>
      <c r="V484" s="2455"/>
      <c r="W484" s="2455"/>
      <c r="X484" s="2455"/>
      <c r="Y484" s="2455"/>
      <c r="Z484" s="2455"/>
    </row>
    <row r="485" spans="1:26" ht="12" x14ac:dyDescent="0.2">
      <c r="A485" s="2455"/>
      <c r="B485" s="2455"/>
      <c r="C485" s="2455"/>
      <c r="D485" s="2455"/>
      <c r="E485" s="2455"/>
      <c r="F485" s="2455"/>
      <c r="G485" s="2456"/>
      <c r="H485" s="2455"/>
      <c r="I485" s="2455"/>
      <c r="J485" s="2455"/>
      <c r="K485" s="2455"/>
      <c r="L485" s="2455"/>
      <c r="M485" s="2455"/>
      <c r="N485" s="2455"/>
      <c r="O485" s="2455"/>
      <c r="P485" s="2455"/>
      <c r="Q485" s="2455"/>
      <c r="R485" s="2455"/>
      <c r="S485" s="2455"/>
      <c r="T485" s="2455"/>
      <c r="U485" s="2455"/>
      <c r="V485" s="2455"/>
      <c r="W485" s="2455"/>
      <c r="X485" s="2455"/>
      <c r="Y485" s="2455"/>
      <c r="Z485" s="2455"/>
    </row>
    <row r="486" spans="1:26" ht="12" x14ac:dyDescent="0.2">
      <c r="A486" s="2455"/>
      <c r="B486" s="2455"/>
      <c r="C486" s="2455"/>
      <c r="D486" s="2455"/>
      <c r="E486" s="2455"/>
      <c r="F486" s="2455"/>
      <c r="G486" s="2456"/>
      <c r="H486" s="2455"/>
      <c r="I486" s="2455"/>
      <c r="J486" s="2455"/>
      <c r="K486" s="2455"/>
      <c r="L486" s="2455"/>
      <c r="M486" s="2455"/>
      <c r="N486" s="2455"/>
      <c r="O486" s="2455"/>
      <c r="P486" s="2455"/>
      <c r="Q486" s="2455"/>
      <c r="R486" s="2455"/>
      <c r="S486" s="2455"/>
      <c r="T486" s="2455"/>
      <c r="U486" s="2455"/>
      <c r="V486" s="2455"/>
      <c r="W486" s="2455"/>
      <c r="X486" s="2455"/>
      <c r="Y486" s="2455"/>
      <c r="Z486" s="2455"/>
    </row>
    <row r="487" spans="1:26" ht="12" x14ac:dyDescent="0.2">
      <c r="A487" s="2455"/>
      <c r="B487" s="2455"/>
      <c r="C487" s="2455"/>
      <c r="D487" s="2455"/>
      <c r="E487" s="2455"/>
      <c r="F487" s="2455"/>
      <c r="G487" s="2456"/>
      <c r="H487" s="2455"/>
      <c r="I487" s="2455"/>
      <c r="J487" s="2455"/>
      <c r="K487" s="2455"/>
      <c r="L487" s="2455"/>
      <c r="M487" s="2455"/>
      <c r="N487" s="2455"/>
      <c r="O487" s="2455"/>
      <c r="P487" s="2455"/>
      <c r="Q487" s="2455"/>
      <c r="R487" s="2455"/>
      <c r="S487" s="2455"/>
      <c r="T487" s="2455"/>
      <c r="U487" s="2455"/>
      <c r="V487" s="2455"/>
      <c r="W487" s="2455"/>
      <c r="X487" s="2455"/>
      <c r="Y487" s="2455"/>
      <c r="Z487" s="2455"/>
    </row>
    <row r="488" spans="1:26" ht="12" x14ac:dyDescent="0.2">
      <c r="A488" s="2455"/>
      <c r="B488" s="2455"/>
      <c r="C488" s="2455"/>
      <c r="D488" s="2455"/>
      <c r="E488" s="2455"/>
      <c r="F488" s="2455"/>
      <c r="G488" s="2456"/>
      <c r="H488" s="2455"/>
      <c r="I488" s="2455"/>
      <c r="J488" s="2455"/>
      <c r="K488" s="2455"/>
      <c r="L488" s="2455"/>
      <c r="M488" s="2455"/>
      <c r="N488" s="2455"/>
      <c r="O488" s="2455"/>
      <c r="P488" s="2455"/>
      <c r="Q488" s="2455"/>
      <c r="R488" s="2455"/>
      <c r="S488" s="2455"/>
      <c r="T488" s="2455"/>
      <c r="U488" s="2455"/>
      <c r="V488" s="2455"/>
      <c r="W488" s="2455"/>
      <c r="X488" s="2455"/>
      <c r="Y488" s="2455"/>
      <c r="Z488" s="2455"/>
    </row>
    <row r="489" spans="1:26" ht="12" x14ac:dyDescent="0.2">
      <c r="A489" s="2455"/>
      <c r="B489" s="2455"/>
      <c r="C489" s="2455"/>
      <c r="D489" s="2455"/>
      <c r="E489" s="2455"/>
      <c r="F489" s="2455"/>
      <c r="G489" s="2456"/>
      <c r="H489" s="2455"/>
      <c r="I489" s="2455"/>
      <c r="J489" s="2455"/>
      <c r="K489" s="2455"/>
      <c r="L489" s="2455"/>
      <c r="M489" s="2455"/>
      <c r="N489" s="2455"/>
      <c r="O489" s="2455"/>
      <c r="P489" s="2455"/>
      <c r="Q489" s="2455"/>
      <c r="R489" s="2455"/>
      <c r="S489" s="2455"/>
      <c r="T489" s="2455"/>
      <c r="U489" s="2455"/>
      <c r="V489" s="2455"/>
      <c r="W489" s="2455"/>
      <c r="X489" s="2455"/>
      <c r="Y489" s="2455"/>
      <c r="Z489" s="2455"/>
    </row>
    <row r="490" spans="1:26" ht="12" x14ac:dyDescent="0.2">
      <c r="A490" s="2455"/>
      <c r="B490" s="2455"/>
      <c r="C490" s="2455"/>
      <c r="D490" s="2455"/>
      <c r="E490" s="2455"/>
      <c r="F490" s="2455"/>
      <c r="G490" s="2456"/>
      <c r="H490" s="2455"/>
      <c r="I490" s="2455"/>
      <c r="J490" s="2455"/>
      <c r="K490" s="2455"/>
      <c r="L490" s="2455"/>
      <c r="M490" s="2455"/>
      <c r="N490" s="2455"/>
      <c r="O490" s="2455"/>
      <c r="P490" s="2455"/>
      <c r="Q490" s="2455"/>
      <c r="R490" s="2455"/>
      <c r="S490" s="2455"/>
      <c r="T490" s="2455"/>
      <c r="U490" s="2455"/>
      <c r="V490" s="2455"/>
      <c r="W490" s="2455"/>
      <c r="X490" s="2455"/>
      <c r="Y490" s="2455"/>
      <c r="Z490" s="2455"/>
    </row>
    <row r="491" spans="1:26" ht="12" x14ac:dyDescent="0.2">
      <c r="A491" s="2455"/>
      <c r="B491" s="2455"/>
      <c r="C491" s="2455"/>
      <c r="D491" s="2455"/>
      <c r="E491" s="2455"/>
      <c r="F491" s="2455"/>
      <c r="G491" s="2456"/>
      <c r="H491" s="2455"/>
      <c r="I491" s="2455"/>
      <c r="J491" s="2455"/>
      <c r="K491" s="2455"/>
      <c r="L491" s="2455"/>
      <c r="M491" s="2455"/>
      <c r="N491" s="2455"/>
      <c r="O491" s="2455"/>
      <c r="P491" s="2455"/>
      <c r="Q491" s="2455"/>
      <c r="R491" s="2455"/>
      <c r="S491" s="2455"/>
      <c r="T491" s="2455"/>
      <c r="U491" s="2455"/>
      <c r="V491" s="2455"/>
      <c r="W491" s="2455"/>
      <c r="X491" s="2455"/>
      <c r="Y491" s="2455"/>
      <c r="Z491" s="2455"/>
    </row>
    <row r="492" spans="1:26" ht="12" x14ac:dyDescent="0.2">
      <c r="A492" s="2455"/>
      <c r="B492" s="2455"/>
      <c r="C492" s="2455"/>
      <c r="D492" s="2455"/>
      <c r="E492" s="2455"/>
      <c r="F492" s="2455"/>
      <c r="G492" s="2456"/>
      <c r="H492" s="2455"/>
      <c r="I492" s="2455"/>
      <c r="J492" s="2455"/>
      <c r="K492" s="2455"/>
      <c r="L492" s="2455"/>
      <c r="M492" s="2455"/>
      <c r="N492" s="2455"/>
      <c r="O492" s="2455"/>
      <c r="P492" s="2455"/>
      <c r="Q492" s="2455"/>
      <c r="R492" s="2455"/>
      <c r="S492" s="2455"/>
      <c r="T492" s="2455"/>
      <c r="U492" s="2455"/>
      <c r="V492" s="2455"/>
      <c r="W492" s="2455"/>
      <c r="X492" s="2455"/>
      <c r="Y492" s="2455"/>
      <c r="Z492" s="2455"/>
    </row>
    <row r="493" spans="1:26" ht="12" x14ac:dyDescent="0.2">
      <c r="A493" s="2455"/>
      <c r="B493" s="2455"/>
      <c r="C493" s="2455"/>
      <c r="D493" s="2455"/>
      <c r="E493" s="2455"/>
      <c r="F493" s="2455"/>
      <c r="G493" s="2456"/>
      <c r="H493" s="2455"/>
      <c r="I493" s="2455"/>
      <c r="J493" s="2455"/>
      <c r="K493" s="2455"/>
      <c r="L493" s="2455"/>
      <c r="M493" s="2455"/>
      <c r="N493" s="2455"/>
      <c r="O493" s="2455"/>
      <c r="P493" s="2455"/>
      <c r="Q493" s="2455"/>
      <c r="R493" s="2455"/>
      <c r="S493" s="2455"/>
      <c r="T493" s="2455"/>
      <c r="U493" s="2455"/>
      <c r="V493" s="2455"/>
      <c r="W493" s="2455"/>
      <c r="X493" s="2455"/>
      <c r="Y493" s="2455"/>
      <c r="Z493" s="2455"/>
    </row>
    <row r="494" spans="1:26" ht="12" x14ac:dyDescent="0.2">
      <c r="A494" s="2455"/>
      <c r="B494" s="2455"/>
      <c r="C494" s="2455"/>
      <c r="D494" s="2455"/>
      <c r="E494" s="2455"/>
      <c r="F494" s="2455"/>
      <c r="G494" s="2456"/>
      <c r="H494" s="2455"/>
      <c r="I494" s="2455"/>
      <c r="J494" s="2455"/>
      <c r="K494" s="2455"/>
      <c r="L494" s="2455"/>
      <c r="M494" s="2455"/>
      <c r="N494" s="2455"/>
      <c r="O494" s="2455"/>
      <c r="P494" s="2455"/>
      <c r="Q494" s="2455"/>
      <c r="R494" s="2455"/>
      <c r="S494" s="2455"/>
      <c r="T494" s="2455"/>
      <c r="U494" s="2455"/>
      <c r="V494" s="2455"/>
      <c r="W494" s="2455"/>
      <c r="X494" s="2455"/>
      <c r="Y494" s="2455"/>
      <c r="Z494" s="2455"/>
    </row>
    <row r="495" spans="1:26" ht="12" x14ac:dyDescent="0.2">
      <c r="A495" s="2455"/>
      <c r="B495" s="2455"/>
      <c r="C495" s="2455"/>
      <c r="D495" s="2455"/>
      <c r="E495" s="2455"/>
      <c r="F495" s="2455"/>
      <c r="G495" s="2456"/>
      <c r="H495" s="2455"/>
      <c r="I495" s="2455"/>
      <c r="J495" s="2455"/>
      <c r="K495" s="2455"/>
      <c r="L495" s="2455"/>
      <c r="M495" s="2455"/>
      <c r="N495" s="2455"/>
      <c r="O495" s="2455"/>
      <c r="P495" s="2455"/>
      <c r="Q495" s="2455"/>
      <c r="R495" s="2455"/>
      <c r="S495" s="2455"/>
      <c r="T495" s="2455"/>
      <c r="U495" s="2455"/>
      <c r="V495" s="2455"/>
      <c r="W495" s="2455"/>
      <c r="X495" s="2455"/>
      <c r="Y495" s="2455"/>
      <c r="Z495" s="2455"/>
    </row>
    <row r="496" spans="1:26" ht="12" x14ac:dyDescent="0.2">
      <c r="A496" s="2455"/>
      <c r="B496" s="2455"/>
      <c r="C496" s="2455"/>
      <c r="D496" s="2455"/>
      <c r="E496" s="2455"/>
      <c r="F496" s="2455"/>
      <c r="G496" s="2456"/>
      <c r="H496" s="2455"/>
      <c r="I496" s="2455"/>
      <c r="J496" s="2455"/>
      <c r="K496" s="2455"/>
      <c r="L496" s="2455"/>
      <c r="M496" s="2455"/>
      <c r="N496" s="2455"/>
      <c r="O496" s="2455"/>
      <c r="P496" s="2455"/>
      <c r="Q496" s="2455"/>
      <c r="R496" s="2455"/>
      <c r="S496" s="2455"/>
      <c r="T496" s="2455"/>
      <c r="U496" s="2455"/>
      <c r="V496" s="2455"/>
      <c r="W496" s="2455"/>
      <c r="X496" s="2455"/>
      <c r="Y496" s="2455"/>
      <c r="Z496" s="2455"/>
    </row>
    <row r="497" spans="1:26" ht="12" x14ac:dyDescent="0.2">
      <c r="A497" s="2455"/>
      <c r="B497" s="2455"/>
      <c r="C497" s="2455"/>
      <c r="D497" s="2455"/>
      <c r="E497" s="2455"/>
      <c r="F497" s="2455"/>
      <c r="G497" s="2456"/>
      <c r="H497" s="2455"/>
      <c r="I497" s="2455"/>
      <c r="J497" s="2455"/>
      <c r="K497" s="2455"/>
      <c r="L497" s="2455"/>
      <c r="M497" s="2455"/>
      <c r="N497" s="2455"/>
      <c r="O497" s="2455"/>
      <c r="P497" s="2455"/>
      <c r="Q497" s="2455"/>
      <c r="R497" s="2455"/>
      <c r="S497" s="2455"/>
      <c r="T497" s="2455"/>
      <c r="U497" s="2455"/>
      <c r="V497" s="2455"/>
      <c r="W497" s="2455"/>
      <c r="X497" s="2455"/>
      <c r="Y497" s="2455"/>
      <c r="Z497" s="2455"/>
    </row>
    <row r="498" spans="1:26" ht="12" x14ac:dyDescent="0.2">
      <c r="A498" s="2455"/>
      <c r="B498" s="2455"/>
      <c r="C498" s="2455"/>
      <c r="D498" s="2455"/>
      <c r="E498" s="2455"/>
      <c r="F498" s="2455"/>
      <c r="G498" s="2456"/>
      <c r="H498" s="2455"/>
      <c r="I498" s="2455"/>
      <c r="J498" s="2455"/>
      <c r="K498" s="2455"/>
      <c r="L498" s="2455"/>
      <c r="M498" s="2455"/>
      <c r="N498" s="2455"/>
      <c r="O498" s="2455"/>
      <c r="P498" s="2455"/>
      <c r="Q498" s="2455"/>
      <c r="R498" s="2455"/>
      <c r="S498" s="2455"/>
      <c r="T498" s="2455"/>
      <c r="U498" s="2455"/>
      <c r="V498" s="2455"/>
      <c r="W498" s="2455"/>
      <c r="X498" s="2455"/>
      <c r="Y498" s="2455"/>
      <c r="Z498" s="2455"/>
    </row>
    <row r="499" spans="1:26" ht="12" x14ac:dyDescent="0.2">
      <c r="A499" s="2455"/>
      <c r="B499" s="2455"/>
      <c r="C499" s="2455"/>
      <c r="D499" s="2455"/>
      <c r="E499" s="2455"/>
      <c r="F499" s="2455"/>
      <c r="G499" s="2456"/>
      <c r="H499" s="2455"/>
      <c r="I499" s="2455"/>
      <c r="J499" s="2455"/>
      <c r="K499" s="2455"/>
      <c r="L499" s="2455"/>
      <c r="M499" s="2455"/>
      <c r="N499" s="2455"/>
      <c r="O499" s="2455"/>
      <c r="P499" s="2455"/>
      <c r="Q499" s="2455"/>
      <c r="R499" s="2455"/>
      <c r="S499" s="2455"/>
      <c r="T499" s="2455"/>
      <c r="U499" s="2455"/>
      <c r="V499" s="2455"/>
      <c r="W499" s="2455"/>
      <c r="X499" s="2455"/>
      <c r="Y499" s="2455"/>
      <c r="Z499" s="2455"/>
    </row>
    <row r="500" spans="1:26" ht="12" x14ac:dyDescent="0.2">
      <c r="A500" s="2455"/>
      <c r="B500" s="2455"/>
      <c r="C500" s="2455"/>
      <c r="D500" s="2455"/>
      <c r="E500" s="2455"/>
      <c r="F500" s="2455"/>
      <c r="G500" s="2456"/>
      <c r="H500" s="2455"/>
      <c r="I500" s="2455"/>
      <c r="J500" s="2455"/>
      <c r="K500" s="2455"/>
      <c r="L500" s="2455"/>
      <c r="M500" s="2455"/>
      <c r="N500" s="2455"/>
      <c r="O500" s="2455"/>
      <c r="P500" s="2455"/>
      <c r="Q500" s="2455"/>
      <c r="R500" s="2455"/>
      <c r="S500" s="2455"/>
      <c r="T500" s="2455"/>
      <c r="U500" s="2455"/>
      <c r="V500" s="2455"/>
      <c r="W500" s="2455"/>
      <c r="X500" s="2455"/>
      <c r="Y500" s="2455"/>
      <c r="Z500" s="2455"/>
    </row>
    <row r="501" spans="1:26" ht="12" x14ac:dyDescent="0.2">
      <c r="A501" s="2455"/>
      <c r="B501" s="2455"/>
      <c r="C501" s="2455"/>
      <c r="D501" s="2455"/>
      <c r="E501" s="2455"/>
      <c r="F501" s="2455"/>
      <c r="G501" s="2456"/>
      <c r="H501" s="2455"/>
      <c r="I501" s="2455"/>
      <c r="J501" s="2455"/>
      <c r="K501" s="2455"/>
      <c r="L501" s="2455"/>
      <c r="M501" s="2455"/>
      <c r="N501" s="2455"/>
      <c r="O501" s="2455"/>
      <c r="P501" s="2455"/>
      <c r="Q501" s="2455"/>
      <c r="R501" s="2455"/>
      <c r="S501" s="2455"/>
      <c r="T501" s="2455"/>
      <c r="U501" s="2455"/>
      <c r="V501" s="2455"/>
      <c r="W501" s="2455"/>
      <c r="X501" s="2455"/>
      <c r="Y501" s="2455"/>
      <c r="Z501" s="2455"/>
    </row>
    <row r="502" spans="1:26" ht="12" x14ac:dyDescent="0.2">
      <c r="A502" s="2455"/>
      <c r="B502" s="2455"/>
      <c r="C502" s="2455"/>
      <c r="D502" s="2455"/>
      <c r="E502" s="2455"/>
      <c r="F502" s="2455"/>
      <c r="G502" s="2456"/>
      <c r="H502" s="2455"/>
      <c r="I502" s="2455"/>
      <c r="J502" s="2455"/>
      <c r="K502" s="2455"/>
      <c r="L502" s="2455"/>
      <c r="M502" s="2455"/>
      <c r="N502" s="2455"/>
      <c r="O502" s="2455"/>
      <c r="P502" s="2455"/>
      <c r="Q502" s="2455"/>
      <c r="R502" s="2455"/>
      <c r="S502" s="2455"/>
      <c r="T502" s="2455"/>
      <c r="U502" s="2455"/>
      <c r="V502" s="2455"/>
      <c r="W502" s="2455"/>
      <c r="X502" s="2455"/>
      <c r="Y502" s="2455"/>
      <c r="Z502" s="2455"/>
    </row>
    <row r="503" spans="1:26" ht="12" x14ac:dyDescent="0.2">
      <c r="A503" s="2455"/>
      <c r="B503" s="2455"/>
      <c r="C503" s="2455"/>
      <c r="D503" s="2455"/>
      <c r="E503" s="2455"/>
      <c r="F503" s="2455"/>
      <c r="G503" s="2456"/>
      <c r="H503" s="2455"/>
      <c r="I503" s="2455"/>
      <c r="J503" s="2455"/>
      <c r="K503" s="2455"/>
      <c r="L503" s="2455"/>
      <c r="M503" s="2455"/>
      <c r="N503" s="2455"/>
      <c r="O503" s="2455"/>
      <c r="P503" s="2455"/>
      <c r="Q503" s="2455"/>
      <c r="R503" s="2455"/>
      <c r="S503" s="2455"/>
      <c r="T503" s="2455"/>
      <c r="U503" s="2455"/>
      <c r="V503" s="2455"/>
      <c r="W503" s="2455"/>
      <c r="X503" s="2455"/>
      <c r="Y503" s="2455"/>
      <c r="Z503" s="2455"/>
    </row>
    <row r="504" spans="1:26" ht="12" x14ac:dyDescent="0.2">
      <c r="A504" s="2455"/>
      <c r="B504" s="2455"/>
      <c r="C504" s="2455"/>
      <c r="D504" s="2455"/>
      <c r="E504" s="2455"/>
      <c r="F504" s="2455"/>
      <c r="G504" s="2456"/>
      <c r="H504" s="2455"/>
      <c r="I504" s="2455"/>
      <c r="J504" s="2455"/>
      <c r="K504" s="2455"/>
      <c r="L504" s="2455"/>
      <c r="M504" s="2455"/>
      <c r="N504" s="2455"/>
      <c r="O504" s="2455"/>
      <c r="P504" s="2455"/>
      <c r="Q504" s="2455"/>
      <c r="R504" s="2455"/>
      <c r="S504" s="2455"/>
      <c r="T504" s="2455"/>
      <c r="U504" s="2455"/>
      <c r="V504" s="2455"/>
      <c r="W504" s="2455"/>
      <c r="X504" s="2455"/>
      <c r="Y504" s="2455"/>
      <c r="Z504" s="2455"/>
    </row>
    <row r="505" spans="1:26" ht="12" x14ac:dyDescent="0.2">
      <c r="A505" s="2455"/>
      <c r="B505" s="2455"/>
      <c r="C505" s="2455"/>
      <c r="D505" s="2455"/>
      <c r="E505" s="2455"/>
      <c r="F505" s="2455"/>
      <c r="G505" s="2456"/>
      <c r="H505" s="2455"/>
      <c r="I505" s="2455"/>
      <c r="J505" s="2455"/>
      <c r="K505" s="2455"/>
      <c r="L505" s="2455"/>
      <c r="M505" s="2455"/>
      <c r="N505" s="2455"/>
      <c r="O505" s="2455"/>
      <c r="P505" s="2455"/>
      <c r="Q505" s="2455"/>
      <c r="R505" s="2455"/>
      <c r="S505" s="2455"/>
      <c r="T505" s="2455"/>
      <c r="U505" s="2455"/>
      <c r="V505" s="2455"/>
      <c r="W505" s="2455"/>
      <c r="X505" s="2455"/>
      <c r="Y505" s="2455"/>
      <c r="Z505" s="2455"/>
    </row>
    <row r="506" spans="1:26" ht="12" x14ac:dyDescent="0.2">
      <c r="A506" s="2455"/>
      <c r="B506" s="2455"/>
      <c r="C506" s="2455"/>
      <c r="D506" s="2455"/>
      <c r="E506" s="2455"/>
      <c r="F506" s="2455"/>
      <c r="G506" s="2456"/>
      <c r="H506" s="2455"/>
      <c r="I506" s="2455"/>
      <c r="J506" s="2455"/>
      <c r="K506" s="2455"/>
      <c r="L506" s="2455"/>
      <c r="M506" s="2455"/>
      <c r="N506" s="2455"/>
      <c r="O506" s="2455"/>
      <c r="P506" s="2455"/>
      <c r="Q506" s="2455"/>
      <c r="R506" s="2455"/>
      <c r="S506" s="2455"/>
      <c r="T506" s="2455"/>
      <c r="U506" s="2455"/>
      <c r="V506" s="2455"/>
      <c r="W506" s="2455"/>
      <c r="X506" s="2455"/>
      <c r="Y506" s="2455"/>
      <c r="Z506" s="2455"/>
    </row>
    <row r="507" spans="1:26" ht="12" x14ac:dyDescent="0.2">
      <c r="A507" s="2455"/>
      <c r="B507" s="2455"/>
      <c r="C507" s="2455"/>
      <c r="D507" s="2455"/>
      <c r="E507" s="2455"/>
      <c r="F507" s="2455"/>
      <c r="G507" s="2456"/>
      <c r="H507" s="2455"/>
      <c r="I507" s="2455"/>
      <c r="J507" s="2455"/>
      <c r="K507" s="2455"/>
      <c r="L507" s="2455"/>
      <c r="M507" s="2455"/>
      <c r="N507" s="2455"/>
      <c r="O507" s="2455"/>
      <c r="P507" s="2455"/>
      <c r="Q507" s="2455"/>
      <c r="R507" s="2455"/>
      <c r="S507" s="2455"/>
      <c r="T507" s="2455"/>
      <c r="U507" s="2455"/>
      <c r="V507" s="2455"/>
      <c r="W507" s="2455"/>
      <c r="X507" s="2455"/>
      <c r="Y507" s="2455"/>
      <c r="Z507" s="2455"/>
    </row>
    <row r="508" spans="1:26" ht="12" x14ac:dyDescent="0.2">
      <c r="A508" s="2455"/>
      <c r="B508" s="2455"/>
      <c r="C508" s="2455"/>
      <c r="D508" s="2455"/>
      <c r="E508" s="2455"/>
      <c r="F508" s="2455"/>
      <c r="G508" s="2456"/>
      <c r="H508" s="2455"/>
      <c r="I508" s="2455"/>
      <c r="J508" s="2455"/>
      <c r="K508" s="2455"/>
      <c r="L508" s="2455"/>
      <c r="M508" s="2455"/>
      <c r="N508" s="2455"/>
      <c r="O508" s="2455"/>
      <c r="P508" s="2455"/>
      <c r="Q508" s="2455"/>
      <c r="R508" s="2455"/>
      <c r="S508" s="2455"/>
      <c r="T508" s="2455"/>
      <c r="U508" s="2455"/>
      <c r="V508" s="2455"/>
      <c r="W508" s="2455"/>
      <c r="X508" s="2455"/>
      <c r="Y508" s="2455"/>
      <c r="Z508" s="2455"/>
    </row>
    <row r="509" spans="1:26" ht="12" x14ac:dyDescent="0.2">
      <c r="A509" s="2455"/>
      <c r="B509" s="2455"/>
      <c r="C509" s="2455"/>
      <c r="D509" s="2455"/>
      <c r="E509" s="2455"/>
      <c r="F509" s="2455"/>
      <c r="G509" s="2456"/>
      <c r="H509" s="2455"/>
      <c r="I509" s="2455"/>
      <c r="J509" s="2455"/>
      <c r="K509" s="2455"/>
      <c r="L509" s="2455"/>
      <c r="M509" s="2455"/>
      <c r="N509" s="2455"/>
      <c r="O509" s="2455"/>
      <c r="P509" s="2455"/>
      <c r="Q509" s="2455"/>
      <c r="R509" s="2455"/>
      <c r="S509" s="2455"/>
      <c r="T509" s="2455"/>
      <c r="U509" s="2455"/>
      <c r="V509" s="2455"/>
      <c r="W509" s="2455"/>
      <c r="X509" s="2455"/>
      <c r="Y509" s="2455"/>
      <c r="Z509" s="2455"/>
    </row>
    <row r="510" spans="1:26" ht="12" x14ac:dyDescent="0.2">
      <c r="A510" s="2455"/>
      <c r="B510" s="2455"/>
      <c r="C510" s="2455"/>
      <c r="D510" s="2455"/>
      <c r="E510" s="2455"/>
      <c r="F510" s="2455"/>
      <c r="G510" s="2456"/>
      <c r="H510" s="2455"/>
      <c r="I510" s="2455"/>
      <c r="J510" s="2455"/>
      <c r="K510" s="2455"/>
      <c r="L510" s="2455"/>
      <c r="M510" s="2455"/>
      <c r="N510" s="2455"/>
      <c r="O510" s="2455"/>
      <c r="P510" s="2455"/>
      <c r="Q510" s="2455"/>
      <c r="R510" s="2455"/>
      <c r="S510" s="2455"/>
      <c r="T510" s="2455"/>
      <c r="U510" s="2455"/>
      <c r="V510" s="2455"/>
      <c r="W510" s="2455"/>
      <c r="X510" s="2455"/>
      <c r="Y510" s="2455"/>
      <c r="Z510" s="2455"/>
    </row>
    <row r="511" spans="1:26" ht="12" x14ac:dyDescent="0.2">
      <c r="A511" s="2455"/>
      <c r="B511" s="2455"/>
      <c r="C511" s="2455"/>
      <c r="D511" s="2455"/>
      <c r="E511" s="2455"/>
      <c r="F511" s="2455"/>
      <c r="G511" s="2456"/>
      <c r="H511" s="2455"/>
      <c r="I511" s="2455"/>
      <c r="J511" s="2455"/>
      <c r="K511" s="2455"/>
      <c r="L511" s="2455"/>
      <c r="M511" s="2455"/>
      <c r="N511" s="2455"/>
      <c r="O511" s="2455"/>
      <c r="P511" s="2455"/>
      <c r="Q511" s="2455"/>
      <c r="R511" s="2455"/>
      <c r="S511" s="2455"/>
      <c r="T511" s="2455"/>
      <c r="U511" s="2455"/>
      <c r="V511" s="2455"/>
      <c r="W511" s="2455"/>
      <c r="X511" s="2455"/>
      <c r="Y511" s="2455"/>
      <c r="Z511" s="2455"/>
    </row>
    <row r="512" spans="1:26" ht="12" x14ac:dyDescent="0.2">
      <c r="A512" s="2455"/>
      <c r="B512" s="2455"/>
      <c r="C512" s="2455"/>
      <c r="D512" s="2455"/>
      <c r="E512" s="2455"/>
      <c r="F512" s="2455"/>
      <c r="G512" s="2456"/>
      <c r="H512" s="2455"/>
      <c r="I512" s="2455"/>
      <c r="J512" s="2455"/>
      <c r="K512" s="2455"/>
      <c r="L512" s="2455"/>
      <c r="M512" s="2455"/>
      <c r="N512" s="2455"/>
      <c r="O512" s="2455"/>
      <c r="P512" s="2455"/>
      <c r="Q512" s="2455"/>
      <c r="R512" s="2455"/>
      <c r="S512" s="2455"/>
      <c r="T512" s="2455"/>
      <c r="U512" s="2455"/>
      <c r="V512" s="2455"/>
      <c r="W512" s="2455"/>
      <c r="X512" s="2455"/>
      <c r="Y512" s="2455"/>
      <c r="Z512" s="2455"/>
    </row>
    <row r="513" spans="1:26" ht="12" x14ac:dyDescent="0.2">
      <c r="A513" s="2455"/>
      <c r="B513" s="2455"/>
      <c r="C513" s="2455"/>
      <c r="D513" s="2455"/>
      <c r="E513" s="2455"/>
      <c r="F513" s="2455"/>
      <c r="G513" s="2456"/>
      <c r="H513" s="2455"/>
      <c r="I513" s="2455"/>
      <c r="J513" s="2455"/>
      <c r="K513" s="2455"/>
      <c r="L513" s="2455"/>
      <c r="M513" s="2455"/>
      <c r="N513" s="2455"/>
      <c r="O513" s="2455"/>
      <c r="P513" s="2455"/>
      <c r="Q513" s="2455"/>
      <c r="R513" s="2455"/>
      <c r="S513" s="2455"/>
      <c r="T513" s="2455"/>
      <c r="U513" s="2455"/>
      <c r="V513" s="2455"/>
      <c r="W513" s="2455"/>
      <c r="X513" s="2455"/>
      <c r="Y513" s="2455"/>
      <c r="Z513" s="2455"/>
    </row>
    <row r="514" spans="1:26" ht="12" x14ac:dyDescent="0.2">
      <c r="A514" s="2455"/>
      <c r="B514" s="2455"/>
      <c r="C514" s="2455"/>
      <c r="D514" s="2455"/>
      <c r="E514" s="2455"/>
      <c r="F514" s="2455"/>
      <c r="G514" s="2456"/>
      <c r="H514" s="2455"/>
      <c r="I514" s="2455"/>
      <c r="J514" s="2455"/>
      <c r="K514" s="2455"/>
      <c r="L514" s="2455"/>
      <c r="M514" s="2455"/>
      <c r="N514" s="2455"/>
      <c r="O514" s="2455"/>
      <c r="P514" s="2455"/>
      <c r="Q514" s="2455"/>
      <c r="R514" s="2455"/>
      <c r="S514" s="2455"/>
      <c r="T514" s="2455"/>
      <c r="U514" s="2455"/>
      <c r="V514" s="2455"/>
      <c r="W514" s="2455"/>
      <c r="X514" s="2455"/>
      <c r="Y514" s="2455"/>
      <c r="Z514" s="2455"/>
    </row>
    <row r="515" spans="1:26" ht="12" x14ac:dyDescent="0.2">
      <c r="A515" s="2455"/>
      <c r="B515" s="2455"/>
      <c r="C515" s="2455"/>
      <c r="D515" s="2455"/>
      <c r="E515" s="2455"/>
      <c r="F515" s="2455"/>
      <c r="G515" s="2456"/>
      <c r="H515" s="2455"/>
      <c r="I515" s="2455"/>
      <c r="J515" s="2455"/>
      <c r="K515" s="2455"/>
      <c r="L515" s="2455"/>
      <c r="M515" s="2455"/>
      <c r="N515" s="2455"/>
      <c r="O515" s="2455"/>
      <c r="P515" s="2455"/>
      <c r="Q515" s="2455"/>
      <c r="R515" s="2455"/>
      <c r="S515" s="2455"/>
      <c r="T515" s="2455"/>
      <c r="U515" s="2455"/>
      <c r="V515" s="2455"/>
      <c r="W515" s="2455"/>
      <c r="X515" s="2455"/>
      <c r="Y515" s="2455"/>
      <c r="Z515" s="2455"/>
    </row>
    <row r="516" spans="1:26" ht="12" x14ac:dyDescent="0.2">
      <c r="A516" s="2455"/>
      <c r="B516" s="2455"/>
      <c r="C516" s="2455"/>
      <c r="D516" s="2455"/>
      <c r="E516" s="2455"/>
      <c r="F516" s="2455"/>
      <c r="G516" s="2456"/>
      <c r="H516" s="2455"/>
      <c r="I516" s="2455"/>
      <c r="J516" s="2455"/>
      <c r="K516" s="2455"/>
      <c r="L516" s="2455"/>
      <c r="M516" s="2455"/>
      <c r="N516" s="2455"/>
      <c r="O516" s="2455"/>
      <c r="P516" s="2455"/>
      <c r="Q516" s="2455"/>
      <c r="R516" s="2455"/>
      <c r="S516" s="2455"/>
      <c r="T516" s="2455"/>
      <c r="U516" s="2455"/>
      <c r="V516" s="2455"/>
      <c r="W516" s="2455"/>
      <c r="X516" s="2455"/>
      <c r="Y516" s="2455"/>
      <c r="Z516" s="2455"/>
    </row>
    <row r="517" spans="1:26" ht="12" x14ac:dyDescent="0.2">
      <c r="A517" s="2455"/>
      <c r="B517" s="2455"/>
      <c r="C517" s="2455"/>
      <c r="D517" s="2455"/>
      <c r="E517" s="2455"/>
      <c r="F517" s="2455"/>
      <c r="G517" s="2456"/>
      <c r="H517" s="2455"/>
      <c r="I517" s="2455"/>
      <c r="J517" s="2455"/>
      <c r="K517" s="2455"/>
      <c r="L517" s="2455"/>
      <c r="M517" s="2455"/>
      <c r="N517" s="2455"/>
      <c r="O517" s="2455"/>
      <c r="P517" s="2455"/>
      <c r="Q517" s="2455"/>
      <c r="R517" s="2455"/>
      <c r="S517" s="2455"/>
      <c r="T517" s="2455"/>
      <c r="U517" s="2455"/>
      <c r="V517" s="2455"/>
      <c r="W517" s="2455"/>
      <c r="X517" s="2455"/>
      <c r="Y517" s="2455"/>
      <c r="Z517" s="2455"/>
    </row>
    <row r="518" spans="1:26" ht="12" x14ac:dyDescent="0.2">
      <c r="A518" s="2455"/>
      <c r="B518" s="2455"/>
      <c r="C518" s="2455"/>
      <c r="D518" s="2455"/>
      <c r="E518" s="2455"/>
      <c r="F518" s="2455"/>
      <c r="G518" s="2456"/>
      <c r="H518" s="2455"/>
      <c r="I518" s="2455"/>
      <c r="J518" s="2455"/>
      <c r="K518" s="2455"/>
      <c r="L518" s="2455"/>
      <c r="M518" s="2455"/>
      <c r="N518" s="2455"/>
      <c r="O518" s="2455"/>
      <c r="P518" s="2455"/>
      <c r="Q518" s="2455"/>
      <c r="R518" s="2455"/>
      <c r="S518" s="2455"/>
      <c r="T518" s="2455"/>
      <c r="U518" s="2455"/>
      <c r="V518" s="2455"/>
      <c r="W518" s="2455"/>
      <c r="X518" s="2455"/>
      <c r="Y518" s="2455"/>
      <c r="Z518" s="2455"/>
    </row>
    <row r="519" spans="1:26" ht="12" x14ac:dyDescent="0.2">
      <c r="A519" s="2455"/>
      <c r="B519" s="2455"/>
      <c r="C519" s="2455"/>
      <c r="D519" s="2455"/>
      <c r="E519" s="2455"/>
      <c r="F519" s="2455"/>
      <c r="G519" s="2456"/>
      <c r="H519" s="2455"/>
      <c r="I519" s="2455"/>
      <c r="J519" s="2455"/>
      <c r="K519" s="2455"/>
      <c r="L519" s="2455"/>
      <c r="M519" s="2455"/>
      <c r="N519" s="2455"/>
      <c r="O519" s="2455"/>
      <c r="P519" s="2455"/>
      <c r="Q519" s="2455"/>
      <c r="R519" s="2455"/>
      <c r="S519" s="2455"/>
      <c r="T519" s="2455"/>
      <c r="U519" s="2455"/>
      <c r="V519" s="2455"/>
      <c r="W519" s="2455"/>
      <c r="X519" s="2455"/>
      <c r="Y519" s="2455"/>
      <c r="Z519" s="2455"/>
    </row>
    <row r="520" spans="1:26" ht="12" x14ac:dyDescent="0.2">
      <c r="A520" s="2455"/>
      <c r="B520" s="2455"/>
      <c r="C520" s="2455"/>
      <c r="D520" s="2455"/>
      <c r="E520" s="2455"/>
      <c r="F520" s="2455"/>
      <c r="G520" s="2456"/>
      <c r="H520" s="2455"/>
      <c r="I520" s="2455"/>
      <c r="J520" s="2455"/>
      <c r="K520" s="2455"/>
      <c r="L520" s="2455"/>
      <c r="M520" s="2455"/>
      <c r="N520" s="2455"/>
      <c r="O520" s="2455"/>
      <c r="P520" s="2455"/>
      <c r="Q520" s="2455"/>
      <c r="R520" s="2455"/>
      <c r="S520" s="2455"/>
      <c r="T520" s="2455"/>
      <c r="U520" s="2455"/>
      <c r="V520" s="2455"/>
      <c r="W520" s="2455"/>
      <c r="X520" s="2455"/>
      <c r="Y520" s="2455"/>
      <c r="Z520" s="2455"/>
    </row>
    <row r="521" spans="1:26" ht="12" x14ac:dyDescent="0.2">
      <c r="A521" s="2455"/>
      <c r="B521" s="2455"/>
      <c r="C521" s="2455"/>
      <c r="D521" s="2455"/>
      <c r="E521" s="2455"/>
      <c r="F521" s="2455"/>
      <c r="G521" s="2456"/>
      <c r="H521" s="2455"/>
      <c r="I521" s="2455"/>
      <c r="J521" s="2455"/>
      <c r="K521" s="2455"/>
      <c r="L521" s="2455"/>
      <c r="M521" s="2455"/>
      <c r="N521" s="2455"/>
      <c r="O521" s="2455"/>
      <c r="P521" s="2455"/>
      <c r="Q521" s="2455"/>
      <c r="R521" s="2455"/>
      <c r="S521" s="2455"/>
      <c r="T521" s="2455"/>
      <c r="U521" s="2455"/>
      <c r="V521" s="2455"/>
      <c r="W521" s="2455"/>
      <c r="X521" s="2455"/>
      <c r="Y521" s="2455"/>
      <c r="Z521" s="2455"/>
    </row>
    <row r="522" spans="1:26" ht="12" x14ac:dyDescent="0.2">
      <c r="A522" s="2455"/>
      <c r="B522" s="2455"/>
      <c r="C522" s="2455"/>
      <c r="D522" s="2455"/>
      <c r="E522" s="2455"/>
      <c r="F522" s="2455"/>
      <c r="G522" s="2456"/>
      <c r="H522" s="2455"/>
      <c r="I522" s="2455"/>
      <c r="J522" s="2455"/>
      <c r="K522" s="2455"/>
      <c r="L522" s="2455"/>
      <c r="M522" s="2455"/>
      <c r="N522" s="2455"/>
      <c r="O522" s="2455"/>
      <c r="P522" s="2455"/>
      <c r="Q522" s="2455"/>
      <c r="R522" s="2455"/>
      <c r="S522" s="2455"/>
      <c r="T522" s="2455"/>
      <c r="U522" s="2455"/>
      <c r="V522" s="2455"/>
      <c r="W522" s="2455"/>
      <c r="X522" s="2455"/>
      <c r="Y522" s="2455"/>
      <c r="Z522" s="2455"/>
    </row>
    <row r="523" spans="1:26" ht="12" x14ac:dyDescent="0.2">
      <c r="A523" s="2455"/>
      <c r="B523" s="2455"/>
      <c r="C523" s="2455"/>
      <c r="D523" s="2455"/>
      <c r="E523" s="2455"/>
      <c r="F523" s="2455"/>
      <c r="G523" s="2456"/>
      <c r="H523" s="2455"/>
      <c r="I523" s="2455"/>
      <c r="J523" s="2455"/>
      <c r="K523" s="2455"/>
      <c r="L523" s="2455"/>
      <c r="M523" s="2455"/>
      <c r="N523" s="2455"/>
      <c r="O523" s="2455"/>
      <c r="P523" s="2455"/>
      <c r="Q523" s="2455"/>
      <c r="R523" s="2455"/>
      <c r="S523" s="2455"/>
      <c r="T523" s="2455"/>
      <c r="U523" s="2455"/>
      <c r="V523" s="2455"/>
      <c r="W523" s="2455"/>
      <c r="X523" s="2455"/>
      <c r="Y523" s="2455"/>
      <c r="Z523" s="2455"/>
    </row>
    <row r="524" spans="1:26" ht="12" x14ac:dyDescent="0.2">
      <c r="A524" s="2455"/>
      <c r="B524" s="2455"/>
      <c r="C524" s="2455"/>
      <c r="D524" s="2455"/>
      <c r="E524" s="2455"/>
      <c r="F524" s="2455"/>
      <c r="G524" s="2456"/>
      <c r="H524" s="2455"/>
      <c r="I524" s="2455"/>
      <c r="J524" s="2455"/>
      <c r="K524" s="2455"/>
      <c r="L524" s="2455"/>
      <c r="M524" s="2455"/>
      <c r="N524" s="2455"/>
      <c r="O524" s="2455"/>
      <c r="P524" s="2455"/>
      <c r="Q524" s="2455"/>
      <c r="R524" s="2455"/>
      <c r="S524" s="2455"/>
      <c r="T524" s="2455"/>
      <c r="U524" s="2455"/>
      <c r="V524" s="2455"/>
      <c r="W524" s="2455"/>
      <c r="X524" s="2455"/>
      <c r="Y524" s="2455"/>
      <c r="Z524" s="2455"/>
    </row>
    <row r="525" spans="1:26" ht="12" x14ac:dyDescent="0.2">
      <c r="A525" s="2455"/>
      <c r="B525" s="2455"/>
      <c r="C525" s="2455"/>
      <c r="D525" s="2455"/>
      <c r="E525" s="2455"/>
      <c r="F525" s="2455"/>
      <c r="G525" s="2456"/>
      <c r="H525" s="2455"/>
      <c r="I525" s="2455"/>
      <c r="J525" s="2455"/>
      <c r="K525" s="2455"/>
      <c r="L525" s="2455"/>
      <c r="M525" s="2455"/>
      <c r="N525" s="2455"/>
      <c r="O525" s="2455"/>
      <c r="P525" s="2455"/>
      <c r="Q525" s="2455"/>
      <c r="R525" s="2455"/>
      <c r="S525" s="2455"/>
      <c r="T525" s="2455"/>
      <c r="U525" s="2455"/>
      <c r="V525" s="2455"/>
      <c r="W525" s="2455"/>
      <c r="X525" s="2455"/>
      <c r="Y525" s="2455"/>
      <c r="Z525" s="2455"/>
    </row>
    <row r="526" spans="1:26" ht="12" x14ac:dyDescent="0.2">
      <c r="A526" s="2455"/>
      <c r="B526" s="2455"/>
      <c r="C526" s="2455"/>
      <c r="D526" s="2455"/>
      <c r="E526" s="2455"/>
      <c r="F526" s="2455"/>
      <c r="G526" s="2456"/>
      <c r="H526" s="2455"/>
      <c r="I526" s="2455"/>
      <c r="J526" s="2455"/>
      <c r="K526" s="2455"/>
      <c r="L526" s="2455"/>
      <c r="M526" s="2455"/>
      <c r="N526" s="2455"/>
      <c r="O526" s="2455"/>
      <c r="P526" s="2455"/>
      <c r="Q526" s="2455"/>
      <c r="R526" s="2455"/>
      <c r="S526" s="2455"/>
      <c r="T526" s="2455"/>
      <c r="U526" s="2455"/>
      <c r="V526" s="2455"/>
      <c r="W526" s="2455"/>
      <c r="X526" s="2455"/>
      <c r="Y526" s="2455"/>
      <c r="Z526" s="2455"/>
    </row>
    <row r="527" spans="1:26" ht="12" x14ac:dyDescent="0.2">
      <c r="A527" s="2455"/>
      <c r="B527" s="2455"/>
      <c r="C527" s="2455"/>
      <c r="D527" s="2455"/>
      <c r="E527" s="2455"/>
      <c r="F527" s="2455"/>
      <c r="G527" s="2456"/>
      <c r="H527" s="2455"/>
      <c r="I527" s="2455"/>
      <c r="J527" s="2455"/>
      <c r="K527" s="2455"/>
      <c r="L527" s="2455"/>
      <c r="M527" s="2455"/>
      <c r="N527" s="2455"/>
      <c r="O527" s="2455"/>
      <c r="P527" s="2455"/>
      <c r="Q527" s="2455"/>
      <c r="R527" s="2455"/>
      <c r="S527" s="2455"/>
      <c r="T527" s="2455"/>
      <c r="U527" s="2455"/>
      <c r="V527" s="2455"/>
      <c r="W527" s="2455"/>
      <c r="X527" s="2455"/>
      <c r="Y527" s="2455"/>
      <c r="Z527" s="2455"/>
    </row>
    <row r="528" spans="1:26" ht="12" x14ac:dyDescent="0.2">
      <c r="A528" s="2455"/>
      <c r="B528" s="2455"/>
      <c r="C528" s="2455"/>
      <c r="D528" s="2455"/>
      <c r="E528" s="2455"/>
      <c r="F528" s="2455"/>
      <c r="G528" s="2456"/>
      <c r="H528" s="2455"/>
      <c r="I528" s="2455"/>
      <c r="J528" s="2455"/>
      <c r="K528" s="2455"/>
      <c r="L528" s="2455"/>
      <c r="M528" s="2455"/>
      <c r="N528" s="2455"/>
      <c r="O528" s="2455"/>
      <c r="P528" s="2455"/>
      <c r="Q528" s="2455"/>
      <c r="R528" s="2455"/>
      <c r="S528" s="2455"/>
      <c r="T528" s="2455"/>
      <c r="U528" s="2455"/>
      <c r="V528" s="2455"/>
      <c r="W528" s="2455"/>
      <c r="X528" s="2455"/>
      <c r="Y528" s="2455"/>
      <c r="Z528" s="2455"/>
    </row>
    <row r="529" spans="1:26" ht="12" x14ac:dyDescent="0.2">
      <c r="A529" s="2455"/>
      <c r="B529" s="2455"/>
      <c r="C529" s="2455"/>
      <c r="D529" s="2455"/>
      <c r="E529" s="2455"/>
      <c r="F529" s="2455"/>
      <c r="G529" s="2456"/>
      <c r="H529" s="2455"/>
      <c r="I529" s="2455"/>
      <c r="J529" s="2455"/>
      <c r="K529" s="2455"/>
      <c r="L529" s="2455"/>
      <c r="M529" s="2455"/>
      <c r="N529" s="2455"/>
      <c r="O529" s="2455"/>
      <c r="P529" s="2455"/>
      <c r="Q529" s="2455"/>
      <c r="R529" s="2455"/>
      <c r="S529" s="2455"/>
      <c r="T529" s="2455"/>
      <c r="U529" s="2455"/>
      <c r="V529" s="2455"/>
      <c r="W529" s="2455"/>
      <c r="X529" s="2455"/>
      <c r="Y529" s="2455"/>
      <c r="Z529" s="2455"/>
    </row>
    <row r="530" spans="1:26" ht="12" x14ac:dyDescent="0.2">
      <c r="A530" s="2455"/>
      <c r="B530" s="2455"/>
      <c r="C530" s="2455"/>
      <c r="D530" s="2455"/>
      <c r="E530" s="2455"/>
      <c r="F530" s="2455"/>
      <c r="G530" s="2456"/>
      <c r="H530" s="2455"/>
      <c r="I530" s="2455"/>
      <c r="J530" s="2455"/>
      <c r="K530" s="2455"/>
      <c r="L530" s="2455"/>
      <c r="M530" s="2455"/>
      <c r="N530" s="2455"/>
      <c r="O530" s="2455"/>
      <c r="P530" s="2455"/>
      <c r="Q530" s="2455"/>
      <c r="R530" s="2455"/>
      <c r="S530" s="2455"/>
      <c r="T530" s="2455"/>
      <c r="U530" s="2455"/>
      <c r="V530" s="2455"/>
      <c r="W530" s="2455"/>
      <c r="X530" s="2455"/>
      <c r="Y530" s="2455"/>
      <c r="Z530" s="2455"/>
    </row>
    <row r="531" spans="1:26" ht="12" x14ac:dyDescent="0.2">
      <c r="A531" s="2455"/>
      <c r="B531" s="2455"/>
      <c r="C531" s="2455"/>
      <c r="D531" s="2455"/>
      <c r="E531" s="2455"/>
      <c r="F531" s="2455"/>
      <c r="G531" s="2456"/>
      <c r="H531" s="2455"/>
      <c r="I531" s="2455"/>
      <c r="J531" s="2455"/>
      <c r="K531" s="2455"/>
      <c r="L531" s="2455"/>
      <c r="M531" s="2455"/>
      <c r="N531" s="2455"/>
      <c r="O531" s="2455"/>
      <c r="P531" s="2455"/>
      <c r="Q531" s="2455"/>
      <c r="R531" s="2455"/>
      <c r="S531" s="2455"/>
      <c r="T531" s="2455"/>
      <c r="U531" s="2455"/>
      <c r="V531" s="2455"/>
      <c r="W531" s="2455"/>
      <c r="X531" s="2455"/>
      <c r="Y531" s="2455"/>
      <c r="Z531" s="2455"/>
    </row>
    <row r="532" spans="1:26" ht="12" x14ac:dyDescent="0.2">
      <c r="A532" s="2455"/>
      <c r="B532" s="2455"/>
      <c r="C532" s="2455"/>
      <c r="D532" s="2455"/>
      <c r="E532" s="2455"/>
      <c r="F532" s="2455"/>
      <c r="G532" s="2456"/>
      <c r="H532" s="2455"/>
      <c r="I532" s="2455"/>
      <c r="J532" s="2455"/>
      <c r="K532" s="2455"/>
      <c r="L532" s="2455"/>
      <c r="M532" s="2455"/>
      <c r="N532" s="2455"/>
      <c r="O532" s="2455"/>
      <c r="P532" s="2455"/>
      <c r="Q532" s="2455"/>
      <c r="R532" s="2455"/>
      <c r="S532" s="2455"/>
      <c r="T532" s="2455"/>
      <c r="U532" s="2455"/>
      <c r="V532" s="2455"/>
      <c r="W532" s="2455"/>
      <c r="X532" s="2455"/>
      <c r="Y532" s="2455"/>
      <c r="Z532" s="2455"/>
    </row>
    <row r="533" spans="1:26" ht="12" x14ac:dyDescent="0.2">
      <c r="A533" s="2455"/>
      <c r="B533" s="2455"/>
      <c r="C533" s="2455"/>
      <c r="D533" s="2455"/>
      <c r="E533" s="2455"/>
      <c r="F533" s="2455"/>
      <c r="G533" s="2456"/>
      <c r="H533" s="2455"/>
      <c r="I533" s="2455"/>
      <c r="J533" s="2455"/>
      <c r="K533" s="2455"/>
      <c r="L533" s="2455"/>
      <c r="M533" s="2455"/>
      <c r="N533" s="2455"/>
      <c r="O533" s="2455"/>
      <c r="P533" s="2455"/>
      <c r="Q533" s="2455"/>
      <c r="R533" s="2455"/>
      <c r="S533" s="2455"/>
      <c r="T533" s="2455"/>
      <c r="U533" s="2455"/>
      <c r="V533" s="2455"/>
      <c r="W533" s="2455"/>
      <c r="X533" s="2455"/>
      <c r="Y533" s="2455"/>
      <c r="Z533" s="2455"/>
    </row>
    <row r="534" spans="1:26" ht="12" x14ac:dyDescent="0.2">
      <c r="A534" s="2455"/>
      <c r="B534" s="2455"/>
      <c r="C534" s="2455"/>
      <c r="D534" s="2455"/>
      <c r="E534" s="2455"/>
      <c r="F534" s="2455"/>
      <c r="G534" s="2456"/>
      <c r="H534" s="2455"/>
      <c r="I534" s="2455"/>
      <c r="J534" s="2455"/>
      <c r="K534" s="2455"/>
      <c r="L534" s="2455"/>
      <c r="M534" s="2455"/>
      <c r="N534" s="2455"/>
      <c r="O534" s="2455"/>
      <c r="P534" s="2455"/>
      <c r="Q534" s="2455"/>
      <c r="R534" s="2455"/>
      <c r="S534" s="2455"/>
      <c r="T534" s="2455"/>
      <c r="U534" s="2455"/>
      <c r="V534" s="2455"/>
      <c r="W534" s="2455"/>
      <c r="X534" s="2455"/>
      <c r="Y534" s="2455"/>
      <c r="Z534" s="2455"/>
    </row>
    <row r="535" spans="1:26" ht="12" x14ac:dyDescent="0.2">
      <c r="A535" s="2455"/>
      <c r="B535" s="2455"/>
      <c r="C535" s="2455"/>
      <c r="D535" s="2455"/>
      <c r="E535" s="2455"/>
      <c r="F535" s="2455"/>
      <c r="G535" s="2456"/>
      <c r="H535" s="2455"/>
      <c r="I535" s="2455"/>
      <c r="J535" s="2455"/>
      <c r="K535" s="2455"/>
      <c r="L535" s="2455"/>
      <c r="M535" s="2455"/>
      <c r="N535" s="2455"/>
      <c r="O535" s="2455"/>
      <c r="P535" s="2455"/>
      <c r="Q535" s="2455"/>
      <c r="R535" s="2455"/>
      <c r="S535" s="2455"/>
      <c r="T535" s="2455"/>
      <c r="U535" s="2455"/>
      <c r="V535" s="2455"/>
      <c r="W535" s="2455"/>
      <c r="X535" s="2455"/>
      <c r="Y535" s="2455"/>
      <c r="Z535" s="2455"/>
    </row>
    <row r="536" spans="1:26" ht="12" x14ac:dyDescent="0.2">
      <c r="A536" s="2455"/>
      <c r="B536" s="2455"/>
      <c r="C536" s="2455"/>
      <c r="D536" s="2455"/>
      <c r="E536" s="2455"/>
      <c r="F536" s="2455"/>
      <c r="G536" s="2456"/>
      <c r="H536" s="2455"/>
      <c r="I536" s="2455"/>
      <c r="J536" s="2455"/>
      <c r="K536" s="2455"/>
      <c r="L536" s="2455"/>
      <c r="M536" s="2455"/>
      <c r="N536" s="2455"/>
      <c r="O536" s="2455"/>
      <c r="P536" s="2455"/>
      <c r="Q536" s="2455"/>
      <c r="R536" s="2455"/>
      <c r="S536" s="2455"/>
      <c r="T536" s="2455"/>
      <c r="U536" s="2455"/>
      <c r="V536" s="2455"/>
      <c r="W536" s="2455"/>
      <c r="X536" s="2455"/>
      <c r="Y536" s="2455"/>
      <c r="Z536" s="2455"/>
    </row>
    <row r="537" spans="1:26" ht="12" x14ac:dyDescent="0.2">
      <c r="A537" s="2455"/>
      <c r="B537" s="2455"/>
      <c r="C537" s="2455"/>
      <c r="D537" s="2455"/>
      <c r="E537" s="2455"/>
      <c r="F537" s="2455"/>
      <c r="G537" s="2456"/>
      <c r="H537" s="2455"/>
      <c r="I537" s="2455"/>
      <c r="J537" s="2455"/>
      <c r="K537" s="2455"/>
      <c r="L537" s="2455"/>
      <c r="M537" s="2455"/>
      <c r="N537" s="2455"/>
      <c r="O537" s="2455"/>
      <c r="P537" s="2455"/>
      <c r="Q537" s="2455"/>
      <c r="R537" s="2455"/>
      <c r="S537" s="2455"/>
      <c r="T537" s="2455"/>
      <c r="U537" s="2455"/>
      <c r="V537" s="2455"/>
      <c r="W537" s="2455"/>
      <c r="X537" s="2455"/>
      <c r="Y537" s="2455"/>
      <c r="Z537" s="2455"/>
    </row>
    <row r="538" spans="1:26" ht="12" x14ac:dyDescent="0.2">
      <c r="A538" s="2455"/>
      <c r="B538" s="2455"/>
      <c r="C538" s="2455"/>
      <c r="D538" s="2455"/>
      <c r="E538" s="2455"/>
      <c r="F538" s="2455"/>
      <c r="G538" s="2456"/>
      <c r="H538" s="2455"/>
      <c r="I538" s="2455"/>
      <c r="J538" s="2455"/>
      <c r="K538" s="2455"/>
      <c r="L538" s="2455"/>
      <c r="M538" s="2455"/>
      <c r="N538" s="2455"/>
      <c r="O538" s="2455"/>
      <c r="P538" s="2455"/>
      <c r="Q538" s="2455"/>
      <c r="R538" s="2455"/>
      <c r="S538" s="2455"/>
      <c r="T538" s="2455"/>
      <c r="U538" s="2455"/>
      <c r="V538" s="2455"/>
      <c r="W538" s="2455"/>
      <c r="X538" s="2455"/>
      <c r="Y538" s="2455"/>
      <c r="Z538" s="2455"/>
    </row>
    <row r="539" spans="1:26" ht="12" x14ac:dyDescent="0.2">
      <c r="A539" s="2455"/>
      <c r="B539" s="2455"/>
      <c r="C539" s="2455"/>
      <c r="D539" s="2455"/>
      <c r="E539" s="2455"/>
      <c r="F539" s="2455"/>
      <c r="G539" s="2456"/>
      <c r="H539" s="2455"/>
      <c r="I539" s="2455"/>
      <c r="J539" s="2455"/>
      <c r="K539" s="2455"/>
      <c r="L539" s="2455"/>
      <c r="M539" s="2455"/>
      <c r="N539" s="2455"/>
      <c r="O539" s="2455"/>
      <c r="P539" s="2455"/>
      <c r="Q539" s="2455"/>
      <c r="R539" s="2455"/>
      <c r="S539" s="2455"/>
      <c r="T539" s="2455"/>
      <c r="U539" s="2455"/>
      <c r="V539" s="2455"/>
      <c r="W539" s="2455"/>
      <c r="X539" s="2455"/>
      <c r="Y539" s="2455"/>
      <c r="Z539" s="2455"/>
    </row>
    <row r="540" spans="1:26" ht="12" x14ac:dyDescent="0.2">
      <c r="A540" s="2455"/>
      <c r="B540" s="2455"/>
      <c r="C540" s="2455"/>
      <c r="D540" s="2455"/>
      <c r="E540" s="2455"/>
      <c r="F540" s="2455"/>
      <c r="G540" s="2456"/>
      <c r="H540" s="2455"/>
      <c r="I540" s="2455"/>
      <c r="J540" s="2455"/>
      <c r="K540" s="2455"/>
      <c r="L540" s="2455"/>
      <c r="M540" s="2455"/>
      <c r="N540" s="2455"/>
      <c r="O540" s="2455"/>
      <c r="P540" s="2455"/>
      <c r="Q540" s="2455"/>
      <c r="R540" s="2455"/>
      <c r="S540" s="2455"/>
      <c r="T540" s="2455"/>
      <c r="U540" s="2455"/>
      <c r="V540" s="2455"/>
      <c r="W540" s="2455"/>
      <c r="X540" s="2455"/>
      <c r="Y540" s="2455"/>
      <c r="Z540" s="2455"/>
    </row>
    <row r="541" spans="1:26" ht="12" x14ac:dyDescent="0.2">
      <c r="A541" s="2455"/>
      <c r="B541" s="2455"/>
      <c r="C541" s="2455"/>
      <c r="D541" s="2455"/>
      <c r="E541" s="2455"/>
      <c r="F541" s="2455"/>
      <c r="G541" s="2456"/>
      <c r="H541" s="2455"/>
      <c r="I541" s="2455"/>
      <c r="J541" s="2455"/>
      <c r="K541" s="2455"/>
      <c r="L541" s="2455"/>
      <c r="M541" s="2455"/>
      <c r="N541" s="2455"/>
      <c r="O541" s="2455"/>
      <c r="P541" s="2455"/>
      <c r="Q541" s="2455"/>
      <c r="R541" s="2455"/>
      <c r="S541" s="2455"/>
      <c r="T541" s="2455"/>
      <c r="U541" s="2455"/>
      <c r="V541" s="2455"/>
      <c r="W541" s="2455"/>
      <c r="X541" s="2455"/>
      <c r="Y541" s="2455"/>
      <c r="Z541" s="2455"/>
    </row>
    <row r="542" spans="1:26" ht="12" x14ac:dyDescent="0.2">
      <c r="A542" s="2455"/>
      <c r="B542" s="2455"/>
      <c r="C542" s="2455"/>
      <c r="D542" s="2455"/>
      <c r="E542" s="2455"/>
      <c r="F542" s="2455"/>
      <c r="G542" s="2456"/>
      <c r="H542" s="2455"/>
      <c r="I542" s="2455"/>
      <c r="J542" s="2455"/>
      <c r="K542" s="2455"/>
      <c r="L542" s="2455"/>
      <c r="M542" s="2455"/>
      <c r="N542" s="2455"/>
      <c r="O542" s="2455"/>
      <c r="P542" s="2455"/>
      <c r="Q542" s="2455"/>
      <c r="R542" s="2455"/>
      <c r="S542" s="2455"/>
      <c r="T542" s="2455"/>
      <c r="U542" s="2455"/>
      <c r="V542" s="2455"/>
      <c r="W542" s="2455"/>
      <c r="X542" s="2455"/>
      <c r="Y542" s="2455"/>
      <c r="Z542" s="2455"/>
    </row>
    <row r="543" spans="1:26" ht="12" x14ac:dyDescent="0.2">
      <c r="A543" s="2455"/>
      <c r="B543" s="2455"/>
      <c r="C543" s="2455"/>
      <c r="D543" s="2455"/>
      <c r="E543" s="2455"/>
      <c r="F543" s="2455"/>
      <c r="G543" s="2456"/>
      <c r="H543" s="2455"/>
      <c r="I543" s="2455"/>
      <c r="J543" s="2455"/>
      <c r="K543" s="2455"/>
      <c r="L543" s="2455"/>
      <c r="M543" s="2455"/>
      <c r="N543" s="2455"/>
      <c r="O543" s="2455"/>
      <c r="P543" s="2455"/>
      <c r="Q543" s="2455"/>
      <c r="R543" s="2455"/>
      <c r="S543" s="2455"/>
      <c r="T543" s="2455"/>
      <c r="U543" s="2455"/>
      <c r="V543" s="2455"/>
      <c r="W543" s="2455"/>
      <c r="X543" s="2455"/>
      <c r="Y543" s="2455"/>
      <c r="Z543" s="2455"/>
    </row>
    <row r="544" spans="1:26" ht="12" x14ac:dyDescent="0.2">
      <c r="A544" s="2455"/>
      <c r="B544" s="2455"/>
      <c r="C544" s="2455"/>
      <c r="D544" s="2455"/>
      <c r="E544" s="2455"/>
      <c r="F544" s="2455"/>
      <c r="G544" s="2456"/>
      <c r="H544" s="2455"/>
      <c r="I544" s="2455"/>
      <c r="J544" s="2455"/>
      <c r="K544" s="2455"/>
      <c r="L544" s="2455"/>
      <c r="M544" s="2455"/>
      <c r="N544" s="2455"/>
      <c r="O544" s="2455"/>
      <c r="P544" s="2455"/>
      <c r="Q544" s="2455"/>
      <c r="R544" s="2455"/>
      <c r="S544" s="2455"/>
      <c r="T544" s="2455"/>
      <c r="U544" s="2455"/>
      <c r="V544" s="2455"/>
      <c r="W544" s="2455"/>
      <c r="X544" s="2455"/>
      <c r="Y544" s="2455"/>
      <c r="Z544" s="2455"/>
    </row>
    <row r="545" spans="1:26" ht="12" x14ac:dyDescent="0.2">
      <c r="A545" s="2455"/>
      <c r="B545" s="2455"/>
      <c r="C545" s="2455"/>
      <c r="D545" s="2455"/>
      <c r="E545" s="2455"/>
      <c r="F545" s="2455"/>
      <c r="G545" s="2456"/>
      <c r="H545" s="2455"/>
      <c r="I545" s="2455"/>
      <c r="J545" s="2455"/>
      <c r="K545" s="2455"/>
      <c r="L545" s="2455"/>
      <c r="M545" s="2455"/>
      <c r="N545" s="2455"/>
      <c r="O545" s="2455"/>
      <c r="P545" s="2455"/>
      <c r="Q545" s="2455"/>
      <c r="R545" s="2455"/>
      <c r="S545" s="2455"/>
      <c r="T545" s="2455"/>
      <c r="U545" s="2455"/>
      <c r="V545" s="2455"/>
      <c r="W545" s="2455"/>
      <c r="X545" s="2455"/>
      <c r="Y545" s="2455"/>
      <c r="Z545" s="2455"/>
    </row>
    <row r="546" spans="1:26" ht="12" x14ac:dyDescent="0.2">
      <c r="A546" s="2455"/>
      <c r="B546" s="2455"/>
      <c r="C546" s="2455"/>
      <c r="D546" s="2455"/>
      <c r="E546" s="2455"/>
      <c r="F546" s="2455"/>
      <c r="G546" s="2456"/>
      <c r="H546" s="2455"/>
      <c r="I546" s="2455"/>
      <c r="J546" s="2455"/>
      <c r="K546" s="2455"/>
      <c r="L546" s="2455"/>
      <c r="M546" s="2455"/>
      <c r="N546" s="2455"/>
      <c r="O546" s="2455"/>
      <c r="P546" s="2455"/>
      <c r="Q546" s="2455"/>
      <c r="R546" s="2455"/>
      <c r="S546" s="2455"/>
      <c r="T546" s="2455"/>
      <c r="U546" s="2455"/>
      <c r="V546" s="2455"/>
      <c r="W546" s="2455"/>
      <c r="X546" s="2455"/>
      <c r="Y546" s="2455"/>
      <c r="Z546" s="2455"/>
    </row>
    <row r="547" spans="1:26" ht="12" x14ac:dyDescent="0.2">
      <c r="A547" s="2455"/>
      <c r="B547" s="2455"/>
      <c r="C547" s="2455"/>
      <c r="D547" s="2455"/>
      <c r="E547" s="2455"/>
      <c r="F547" s="2455"/>
      <c r="G547" s="2456"/>
      <c r="H547" s="2455"/>
      <c r="I547" s="2455"/>
      <c r="J547" s="2455"/>
      <c r="K547" s="2455"/>
      <c r="L547" s="2455"/>
      <c r="M547" s="2455"/>
      <c r="N547" s="2455"/>
      <c r="O547" s="2455"/>
      <c r="P547" s="2455"/>
      <c r="Q547" s="2455"/>
      <c r="R547" s="2455"/>
      <c r="S547" s="2455"/>
      <c r="T547" s="2455"/>
      <c r="U547" s="2455"/>
      <c r="V547" s="2455"/>
      <c r="W547" s="2455"/>
      <c r="X547" s="2455"/>
      <c r="Y547" s="2455"/>
      <c r="Z547" s="2455"/>
    </row>
    <row r="548" spans="1:26" ht="12" x14ac:dyDescent="0.2">
      <c r="A548" s="2455"/>
      <c r="B548" s="2455"/>
      <c r="C548" s="2455"/>
      <c r="D548" s="2455"/>
      <c r="E548" s="2455"/>
      <c r="F548" s="2455"/>
      <c r="G548" s="2456"/>
      <c r="H548" s="2455"/>
      <c r="I548" s="2455"/>
      <c r="J548" s="2455"/>
      <c r="K548" s="2455"/>
      <c r="L548" s="2455"/>
      <c r="M548" s="2455"/>
      <c r="N548" s="2455"/>
      <c r="O548" s="2455"/>
      <c r="P548" s="2455"/>
      <c r="Q548" s="2455"/>
      <c r="R548" s="2455"/>
      <c r="S548" s="2455"/>
      <c r="T548" s="2455"/>
      <c r="U548" s="2455"/>
      <c r="V548" s="2455"/>
      <c r="W548" s="2455"/>
      <c r="X548" s="2455"/>
      <c r="Y548" s="2455"/>
      <c r="Z548" s="2455"/>
    </row>
    <row r="549" spans="1:26" ht="12" x14ac:dyDescent="0.2">
      <c r="A549" s="2455"/>
      <c r="B549" s="2455"/>
      <c r="C549" s="2455"/>
      <c r="D549" s="2455"/>
      <c r="E549" s="2455"/>
      <c r="F549" s="2455"/>
      <c r="G549" s="2456"/>
      <c r="H549" s="2455"/>
      <c r="I549" s="2455"/>
      <c r="J549" s="2455"/>
      <c r="K549" s="2455"/>
      <c r="L549" s="2455"/>
      <c r="M549" s="2455"/>
      <c r="N549" s="2455"/>
      <c r="O549" s="2455"/>
      <c r="P549" s="2455"/>
      <c r="Q549" s="2455"/>
      <c r="R549" s="2455"/>
      <c r="S549" s="2455"/>
      <c r="T549" s="2455"/>
      <c r="U549" s="2455"/>
      <c r="V549" s="2455"/>
      <c r="W549" s="2455"/>
      <c r="X549" s="2455"/>
      <c r="Y549" s="2455"/>
      <c r="Z549" s="2455"/>
    </row>
    <row r="550" spans="1:26" ht="12" x14ac:dyDescent="0.2">
      <c r="A550" s="2455"/>
      <c r="B550" s="2455"/>
      <c r="C550" s="2455"/>
      <c r="D550" s="2455"/>
      <c r="E550" s="2455"/>
      <c r="F550" s="2455"/>
      <c r="G550" s="2456"/>
      <c r="H550" s="2455"/>
      <c r="I550" s="2455"/>
      <c r="J550" s="2455"/>
      <c r="K550" s="2455"/>
      <c r="L550" s="2455"/>
      <c r="M550" s="2455"/>
      <c r="N550" s="2455"/>
      <c r="O550" s="2455"/>
      <c r="P550" s="2455"/>
      <c r="Q550" s="2455"/>
      <c r="R550" s="2455"/>
      <c r="S550" s="2455"/>
      <c r="T550" s="2455"/>
      <c r="U550" s="2455"/>
      <c r="V550" s="2455"/>
      <c r="W550" s="2455"/>
      <c r="X550" s="2455"/>
      <c r="Y550" s="2455"/>
      <c r="Z550" s="2455"/>
    </row>
    <row r="551" spans="1:26" ht="12" x14ac:dyDescent="0.2">
      <c r="A551" s="2455"/>
      <c r="B551" s="2455"/>
      <c r="C551" s="2455"/>
      <c r="D551" s="2455"/>
      <c r="E551" s="2455"/>
      <c r="F551" s="2455"/>
      <c r="G551" s="2456"/>
      <c r="H551" s="2455"/>
      <c r="I551" s="2455"/>
      <c r="J551" s="2455"/>
      <c r="K551" s="2455"/>
      <c r="L551" s="2455"/>
      <c r="M551" s="2455"/>
      <c r="N551" s="2455"/>
      <c r="O551" s="2455"/>
      <c r="P551" s="2455"/>
      <c r="Q551" s="2455"/>
      <c r="R551" s="2455"/>
      <c r="S551" s="2455"/>
      <c r="T551" s="2455"/>
      <c r="U551" s="2455"/>
      <c r="V551" s="2455"/>
      <c r="W551" s="2455"/>
      <c r="X551" s="2455"/>
      <c r="Y551" s="2455"/>
      <c r="Z551" s="2455"/>
    </row>
    <row r="552" spans="1:26" ht="12" x14ac:dyDescent="0.2">
      <c r="A552" s="2455"/>
      <c r="B552" s="2455"/>
      <c r="C552" s="2455"/>
      <c r="D552" s="2455"/>
      <c r="E552" s="2455"/>
      <c r="F552" s="2455"/>
      <c r="G552" s="2456"/>
      <c r="H552" s="2455"/>
      <c r="I552" s="2455"/>
      <c r="J552" s="2455"/>
      <c r="K552" s="2455"/>
      <c r="L552" s="2455"/>
      <c r="M552" s="2455"/>
      <c r="N552" s="2455"/>
      <c r="O552" s="2455"/>
      <c r="P552" s="2455"/>
      <c r="Q552" s="2455"/>
      <c r="R552" s="2455"/>
      <c r="S552" s="2455"/>
      <c r="T552" s="2455"/>
      <c r="U552" s="2455"/>
      <c r="V552" s="2455"/>
      <c r="W552" s="2455"/>
      <c r="X552" s="2455"/>
      <c r="Y552" s="2455"/>
      <c r="Z552" s="2455"/>
    </row>
    <row r="553" spans="1:26" ht="12" x14ac:dyDescent="0.2">
      <c r="A553" s="2455"/>
      <c r="B553" s="2455"/>
      <c r="C553" s="2455"/>
      <c r="D553" s="2455"/>
      <c r="E553" s="2455"/>
      <c r="F553" s="2455"/>
      <c r="G553" s="2456"/>
      <c r="H553" s="2455"/>
      <c r="I553" s="2455"/>
      <c r="J553" s="2455"/>
      <c r="K553" s="2455"/>
      <c r="L553" s="2455"/>
      <c r="M553" s="2455"/>
      <c r="N553" s="2455"/>
      <c r="O553" s="2455"/>
      <c r="P553" s="2455"/>
      <c r="Q553" s="2455"/>
      <c r="R553" s="2455"/>
      <c r="S553" s="2455"/>
      <c r="T553" s="2455"/>
      <c r="U553" s="2455"/>
      <c r="V553" s="2455"/>
      <c r="W553" s="2455"/>
      <c r="X553" s="2455"/>
      <c r="Y553" s="2455"/>
      <c r="Z553" s="2455"/>
    </row>
    <row r="554" spans="1:26" ht="12" x14ac:dyDescent="0.2">
      <c r="A554" s="2455"/>
      <c r="B554" s="2455"/>
      <c r="C554" s="2455"/>
      <c r="D554" s="2455"/>
      <c r="E554" s="2455"/>
      <c r="F554" s="2455"/>
      <c r="G554" s="2456"/>
      <c r="H554" s="2455"/>
      <c r="I554" s="2455"/>
      <c r="J554" s="2455"/>
      <c r="K554" s="2455"/>
      <c r="L554" s="2455"/>
      <c r="M554" s="2455"/>
      <c r="N554" s="2455"/>
      <c r="O554" s="2455"/>
      <c r="P554" s="2455"/>
      <c r="Q554" s="2455"/>
      <c r="R554" s="2455"/>
      <c r="S554" s="2455"/>
      <c r="T554" s="2455"/>
      <c r="U554" s="2455"/>
      <c r="V554" s="2455"/>
      <c r="W554" s="2455"/>
      <c r="X554" s="2455"/>
      <c r="Y554" s="2455"/>
      <c r="Z554" s="2455"/>
    </row>
    <row r="555" spans="1:26" ht="12" x14ac:dyDescent="0.2">
      <c r="A555" s="2455"/>
      <c r="B555" s="2455"/>
      <c r="C555" s="2455"/>
      <c r="D555" s="2455"/>
      <c r="E555" s="2455"/>
      <c r="F555" s="2455"/>
      <c r="G555" s="2456"/>
      <c r="H555" s="2455"/>
      <c r="I555" s="2455"/>
      <c r="J555" s="2455"/>
      <c r="K555" s="2455"/>
      <c r="L555" s="2455"/>
      <c r="M555" s="2455"/>
      <c r="N555" s="2455"/>
      <c r="O555" s="2455"/>
      <c r="P555" s="2455"/>
      <c r="Q555" s="2455"/>
      <c r="R555" s="2455"/>
      <c r="S555" s="2455"/>
      <c r="T555" s="2455"/>
      <c r="U555" s="2455"/>
      <c r="V555" s="2455"/>
      <c r="W555" s="2455"/>
      <c r="X555" s="2455"/>
      <c r="Y555" s="2455"/>
      <c r="Z555" s="2455"/>
    </row>
    <row r="556" spans="1:26" ht="12" x14ac:dyDescent="0.2">
      <c r="A556" s="2455"/>
      <c r="B556" s="2455"/>
      <c r="C556" s="2455"/>
      <c r="D556" s="2455"/>
      <c r="E556" s="2455"/>
      <c r="F556" s="2455"/>
      <c r="G556" s="2456"/>
      <c r="H556" s="2455"/>
      <c r="I556" s="2455"/>
      <c r="J556" s="2455"/>
      <c r="K556" s="2455"/>
      <c r="L556" s="2455"/>
      <c r="M556" s="2455"/>
      <c r="N556" s="2455"/>
      <c r="O556" s="2455"/>
      <c r="P556" s="2455"/>
      <c r="Q556" s="2455"/>
      <c r="R556" s="2455"/>
      <c r="S556" s="2455"/>
      <c r="T556" s="2455"/>
      <c r="U556" s="2455"/>
      <c r="V556" s="2455"/>
      <c r="W556" s="2455"/>
      <c r="X556" s="2455"/>
      <c r="Y556" s="2455"/>
      <c r="Z556" s="2455"/>
    </row>
    <row r="557" spans="1:26" ht="12" x14ac:dyDescent="0.2">
      <c r="A557" s="2455"/>
      <c r="B557" s="2455"/>
      <c r="C557" s="2455"/>
      <c r="D557" s="2455"/>
      <c r="E557" s="2455"/>
      <c r="F557" s="2455"/>
      <c r="G557" s="2456"/>
      <c r="H557" s="2455"/>
      <c r="I557" s="2455"/>
      <c r="J557" s="2455"/>
      <c r="K557" s="2455"/>
      <c r="L557" s="2455"/>
      <c r="M557" s="2455"/>
      <c r="N557" s="2455"/>
      <c r="O557" s="2455"/>
      <c r="P557" s="2455"/>
      <c r="Q557" s="2455"/>
      <c r="R557" s="2455"/>
      <c r="S557" s="2455"/>
      <c r="T557" s="2455"/>
      <c r="U557" s="2455"/>
      <c r="V557" s="2455"/>
      <c r="W557" s="2455"/>
      <c r="X557" s="2455"/>
      <c r="Y557" s="2455"/>
      <c r="Z557" s="2455"/>
    </row>
    <row r="558" spans="1:26" ht="12" x14ac:dyDescent="0.2">
      <c r="A558" s="2455"/>
      <c r="B558" s="2455"/>
      <c r="C558" s="2455"/>
      <c r="D558" s="2455"/>
      <c r="E558" s="2455"/>
      <c r="F558" s="2455"/>
      <c r="G558" s="2456"/>
      <c r="H558" s="2455"/>
      <c r="I558" s="2455"/>
      <c r="J558" s="2455"/>
      <c r="K558" s="2455"/>
      <c r="L558" s="2455"/>
      <c r="M558" s="2455"/>
      <c r="N558" s="2455"/>
      <c r="O558" s="2455"/>
      <c r="P558" s="2455"/>
      <c r="Q558" s="2455"/>
      <c r="R558" s="2455"/>
      <c r="S558" s="2455"/>
      <c r="T558" s="2455"/>
      <c r="U558" s="2455"/>
      <c r="V558" s="2455"/>
      <c r="W558" s="2455"/>
      <c r="X558" s="2455"/>
      <c r="Y558" s="2455"/>
      <c r="Z558" s="2455"/>
    </row>
    <row r="559" spans="1:26" ht="12" x14ac:dyDescent="0.2">
      <c r="A559" s="2455"/>
      <c r="B559" s="2455"/>
      <c r="C559" s="2455"/>
      <c r="D559" s="2455"/>
      <c r="E559" s="2455"/>
      <c r="F559" s="2455"/>
      <c r="G559" s="2456"/>
      <c r="H559" s="2455"/>
      <c r="I559" s="2455"/>
      <c r="J559" s="2455"/>
      <c r="K559" s="2455"/>
      <c r="L559" s="2455"/>
      <c r="M559" s="2455"/>
      <c r="N559" s="2455"/>
      <c r="O559" s="2455"/>
      <c r="P559" s="2455"/>
      <c r="Q559" s="2455"/>
      <c r="R559" s="2455"/>
      <c r="S559" s="2455"/>
      <c r="T559" s="2455"/>
      <c r="U559" s="2455"/>
      <c r="V559" s="2455"/>
      <c r="W559" s="2455"/>
      <c r="X559" s="2455"/>
      <c r="Y559" s="2455"/>
      <c r="Z559" s="2455"/>
    </row>
    <row r="560" spans="1:26" ht="12" x14ac:dyDescent="0.2">
      <c r="A560" s="2455"/>
      <c r="B560" s="2455"/>
      <c r="C560" s="2455"/>
      <c r="D560" s="2455"/>
      <c r="E560" s="2455"/>
      <c r="F560" s="2455"/>
      <c r="G560" s="2456"/>
      <c r="H560" s="2455"/>
      <c r="I560" s="2455"/>
      <c r="J560" s="2455"/>
      <c r="K560" s="2455"/>
      <c r="L560" s="2455"/>
      <c r="M560" s="2455"/>
      <c r="N560" s="2455"/>
      <c r="O560" s="2455"/>
      <c r="P560" s="2455"/>
      <c r="Q560" s="2455"/>
      <c r="R560" s="2455"/>
      <c r="S560" s="2455"/>
      <c r="T560" s="2455"/>
      <c r="U560" s="2455"/>
      <c r="V560" s="2455"/>
      <c r="W560" s="2455"/>
      <c r="X560" s="2455"/>
      <c r="Y560" s="2455"/>
      <c r="Z560" s="2455"/>
    </row>
    <row r="561" spans="1:26" ht="12" x14ac:dyDescent="0.2">
      <c r="A561" s="2455"/>
      <c r="B561" s="2455"/>
      <c r="C561" s="2455"/>
      <c r="D561" s="2455"/>
      <c r="E561" s="2455"/>
      <c r="F561" s="2455"/>
      <c r="G561" s="2456"/>
      <c r="H561" s="2455"/>
      <c r="I561" s="2455"/>
      <c r="J561" s="2455"/>
      <c r="K561" s="2455"/>
      <c r="L561" s="2455"/>
      <c r="M561" s="2455"/>
      <c r="N561" s="2455"/>
      <c r="O561" s="2455"/>
      <c r="P561" s="2455"/>
      <c r="Q561" s="2455"/>
      <c r="R561" s="2455"/>
      <c r="S561" s="2455"/>
      <c r="T561" s="2455"/>
      <c r="U561" s="2455"/>
      <c r="V561" s="2455"/>
      <c r="W561" s="2455"/>
      <c r="X561" s="2455"/>
      <c r="Y561" s="2455"/>
      <c r="Z561" s="2455"/>
    </row>
    <row r="562" spans="1:26" ht="12" x14ac:dyDescent="0.2">
      <c r="A562" s="2455"/>
      <c r="B562" s="2455"/>
      <c r="C562" s="2455"/>
      <c r="D562" s="2455"/>
      <c r="E562" s="2455"/>
      <c r="F562" s="2455"/>
      <c r="G562" s="2456"/>
      <c r="H562" s="2455"/>
      <c r="I562" s="2455"/>
      <c r="J562" s="2455"/>
      <c r="K562" s="2455"/>
      <c r="L562" s="2455"/>
      <c r="M562" s="2455"/>
      <c r="N562" s="2455"/>
      <c r="O562" s="2455"/>
      <c r="P562" s="2455"/>
      <c r="Q562" s="2455"/>
      <c r="R562" s="2455"/>
      <c r="S562" s="2455"/>
      <c r="T562" s="2455"/>
      <c r="U562" s="2455"/>
      <c r="V562" s="2455"/>
      <c r="W562" s="2455"/>
      <c r="X562" s="2455"/>
      <c r="Y562" s="2455"/>
      <c r="Z562" s="2455"/>
    </row>
    <row r="563" spans="1:26" ht="12" x14ac:dyDescent="0.2">
      <c r="A563" s="2455"/>
      <c r="B563" s="2455"/>
      <c r="C563" s="2455"/>
      <c r="D563" s="2455"/>
      <c r="E563" s="2455"/>
      <c r="F563" s="2455"/>
      <c r="G563" s="2456"/>
      <c r="H563" s="2455"/>
      <c r="I563" s="2455"/>
      <c r="J563" s="2455"/>
      <c r="K563" s="2455"/>
      <c r="L563" s="2455"/>
      <c r="M563" s="2455"/>
      <c r="N563" s="2455"/>
      <c r="O563" s="2455"/>
      <c r="P563" s="2455"/>
      <c r="Q563" s="2455"/>
      <c r="R563" s="2455"/>
      <c r="S563" s="2455"/>
      <c r="T563" s="2455"/>
      <c r="U563" s="2455"/>
      <c r="V563" s="2455"/>
      <c r="W563" s="2455"/>
      <c r="X563" s="2455"/>
      <c r="Y563" s="2455"/>
      <c r="Z563" s="2455"/>
    </row>
    <row r="564" spans="1:26" ht="12" x14ac:dyDescent="0.2">
      <c r="A564" s="2455"/>
      <c r="B564" s="2455"/>
      <c r="C564" s="2455"/>
      <c r="D564" s="2455"/>
      <c r="E564" s="2455"/>
      <c r="F564" s="2455"/>
      <c r="G564" s="2456"/>
      <c r="H564" s="2455"/>
      <c r="I564" s="2455"/>
      <c r="J564" s="2455"/>
      <c r="K564" s="2455"/>
      <c r="L564" s="2455"/>
      <c r="M564" s="2455"/>
      <c r="N564" s="2455"/>
      <c r="O564" s="2455"/>
      <c r="P564" s="2455"/>
      <c r="Q564" s="2455"/>
      <c r="R564" s="2455"/>
      <c r="S564" s="2455"/>
      <c r="T564" s="2455"/>
      <c r="U564" s="2455"/>
      <c r="V564" s="2455"/>
      <c r="W564" s="2455"/>
      <c r="X564" s="2455"/>
      <c r="Y564" s="2455"/>
      <c r="Z564" s="2455"/>
    </row>
    <row r="565" spans="1:26" ht="12" x14ac:dyDescent="0.2">
      <c r="A565" s="2455"/>
      <c r="B565" s="2455"/>
      <c r="C565" s="2455"/>
      <c r="D565" s="2455"/>
      <c r="E565" s="2455"/>
      <c r="F565" s="2455"/>
      <c r="G565" s="2456"/>
      <c r="H565" s="2455"/>
      <c r="I565" s="2455"/>
      <c r="J565" s="2455"/>
      <c r="K565" s="2455"/>
      <c r="L565" s="2455"/>
      <c r="M565" s="2455"/>
      <c r="N565" s="2455"/>
      <c r="O565" s="2455"/>
      <c r="P565" s="2455"/>
      <c r="Q565" s="2455"/>
      <c r="R565" s="2455"/>
      <c r="S565" s="2455"/>
      <c r="T565" s="2455"/>
      <c r="U565" s="2455"/>
      <c r="V565" s="2455"/>
      <c r="W565" s="2455"/>
      <c r="X565" s="2455"/>
      <c r="Y565" s="2455"/>
      <c r="Z565" s="2455"/>
    </row>
    <row r="566" spans="1:26" ht="12" x14ac:dyDescent="0.2">
      <c r="A566" s="2455"/>
      <c r="B566" s="2455"/>
      <c r="C566" s="2455"/>
      <c r="D566" s="2455"/>
      <c r="E566" s="2455"/>
      <c r="F566" s="2455"/>
      <c r="G566" s="2456"/>
      <c r="H566" s="2455"/>
      <c r="I566" s="2455"/>
      <c r="J566" s="2455"/>
      <c r="K566" s="2455"/>
      <c r="L566" s="2455"/>
      <c r="M566" s="2455"/>
      <c r="N566" s="2455"/>
      <c r="O566" s="2455"/>
      <c r="P566" s="2455"/>
      <c r="Q566" s="2455"/>
      <c r="R566" s="2455"/>
      <c r="S566" s="2455"/>
      <c r="T566" s="2455"/>
      <c r="U566" s="2455"/>
      <c r="V566" s="2455"/>
      <c r="W566" s="2455"/>
      <c r="X566" s="2455"/>
      <c r="Y566" s="2455"/>
      <c r="Z566" s="2455"/>
    </row>
    <row r="567" spans="1:26" ht="12" x14ac:dyDescent="0.2">
      <c r="A567" s="2455"/>
      <c r="B567" s="2455"/>
      <c r="C567" s="2455"/>
      <c r="D567" s="2455"/>
      <c r="E567" s="2455"/>
      <c r="F567" s="2455"/>
      <c r="G567" s="2456"/>
      <c r="H567" s="2455"/>
      <c r="I567" s="2455"/>
      <c r="J567" s="2455"/>
      <c r="K567" s="2455"/>
      <c r="L567" s="2455"/>
      <c r="M567" s="2455"/>
      <c r="N567" s="2455"/>
      <c r="O567" s="2455"/>
      <c r="P567" s="2455"/>
      <c r="Q567" s="2455"/>
      <c r="R567" s="2455"/>
      <c r="S567" s="2455"/>
      <c r="T567" s="2455"/>
      <c r="U567" s="2455"/>
      <c r="V567" s="2455"/>
      <c r="W567" s="2455"/>
      <c r="X567" s="2455"/>
      <c r="Y567" s="2455"/>
      <c r="Z567" s="2455"/>
    </row>
    <row r="568" spans="1:26" ht="12" x14ac:dyDescent="0.2">
      <c r="A568" s="2455"/>
      <c r="B568" s="2455"/>
      <c r="C568" s="2455"/>
      <c r="D568" s="2455"/>
      <c r="E568" s="2455"/>
      <c r="F568" s="2455"/>
      <c r="G568" s="2456"/>
      <c r="H568" s="2455"/>
      <c r="I568" s="2455"/>
      <c r="J568" s="2455"/>
      <c r="K568" s="2455"/>
      <c r="L568" s="2455"/>
      <c r="M568" s="2455"/>
      <c r="N568" s="2455"/>
      <c r="O568" s="2455"/>
      <c r="P568" s="2455"/>
      <c r="Q568" s="2455"/>
      <c r="R568" s="2455"/>
      <c r="S568" s="2455"/>
      <c r="T568" s="2455"/>
      <c r="U568" s="2455"/>
      <c r="V568" s="2455"/>
      <c r="W568" s="2455"/>
      <c r="X568" s="2455"/>
      <c r="Y568" s="2455"/>
      <c r="Z568" s="2455"/>
    </row>
    <row r="569" spans="1:26" ht="12" x14ac:dyDescent="0.2">
      <c r="A569" s="2455"/>
      <c r="B569" s="2455"/>
      <c r="C569" s="2455"/>
      <c r="D569" s="2455"/>
      <c r="E569" s="2455"/>
      <c r="F569" s="2455"/>
      <c r="G569" s="2456"/>
      <c r="H569" s="2455"/>
      <c r="I569" s="2455"/>
      <c r="J569" s="2455"/>
      <c r="K569" s="2455"/>
      <c r="L569" s="2455"/>
      <c r="M569" s="2455"/>
      <c r="N569" s="2455"/>
      <c r="O569" s="2455"/>
      <c r="P569" s="2455"/>
      <c r="Q569" s="2455"/>
      <c r="R569" s="2455"/>
      <c r="S569" s="2455"/>
      <c r="T569" s="2455"/>
      <c r="U569" s="2455"/>
      <c r="V569" s="2455"/>
      <c r="W569" s="2455"/>
      <c r="X569" s="2455"/>
      <c r="Y569" s="2455"/>
      <c r="Z569" s="2455"/>
    </row>
    <row r="570" spans="1:26" ht="12" x14ac:dyDescent="0.2">
      <c r="A570" s="2455"/>
      <c r="B570" s="2455"/>
      <c r="C570" s="2455"/>
      <c r="D570" s="2455"/>
      <c r="E570" s="2455"/>
      <c r="F570" s="2455"/>
      <c r="G570" s="2456"/>
      <c r="H570" s="2455"/>
      <c r="I570" s="2455"/>
      <c r="J570" s="2455"/>
      <c r="K570" s="2455"/>
      <c r="L570" s="2455"/>
      <c r="M570" s="2455"/>
      <c r="N570" s="2455"/>
      <c r="O570" s="2455"/>
      <c r="P570" s="2455"/>
      <c r="Q570" s="2455"/>
      <c r="R570" s="2455"/>
      <c r="S570" s="2455"/>
      <c r="T570" s="2455"/>
      <c r="U570" s="2455"/>
      <c r="V570" s="2455"/>
      <c r="W570" s="2455"/>
      <c r="X570" s="2455"/>
      <c r="Y570" s="2455"/>
      <c r="Z570" s="2455"/>
    </row>
    <row r="571" spans="1:26" ht="12" x14ac:dyDescent="0.2">
      <c r="A571" s="2455"/>
      <c r="B571" s="2455"/>
      <c r="C571" s="2455"/>
      <c r="D571" s="2455"/>
      <c r="E571" s="2455"/>
      <c r="F571" s="2455"/>
      <c r="G571" s="2456"/>
      <c r="H571" s="2455"/>
      <c r="I571" s="2455"/>
      <c r="J571" s="2455"/>
      <c r="K571" s="2455"/>
      <c r="L571" s="2455"/>
      <c r="M571" s="2455"/>
      <c r="N571" s="2455"/>
      <c r="O571" s="2455"/>
      <c r="P571" s="2455"/>
      <c r="Q571" s="2455"/>
      <c r="R571" s="2455"/>
      <c r="S571" s="2455"/>
      <c r="T571" s="2455"/>
      <c r="U571" s="2455"/>
      <c r="V571" s="2455"/>
      <c r="W571" s="2455"/>
      <c r="X571" s="2455"/>
      <c r="Y571" s="2455"/>
      <c r="Z571" s="2455"/>
    </row>
    <row r="572" spans="1:26" ht="12" x14ac:dyDescent="0.2">
      <c r="A572" s="2455"/>
      <c r="B572" s="2455"/>
      <c r="C572" s="2455"/>
      <c r="D572" s="2455"/>
      <c r="E572" s="2455"/>
      <c r="F572" s="2455"/>
      <c r="G572" s="2456"/>
      <c r="H572" s="2455"/>
      <c r="I572" s="2455"/>
      <c r="J572" s="2455"/>
      <c r="K572" s="2455"/>
      <c r="L572" s="2455"/>
      <c r="M572" s="2455"/>
      <c r="N572" s="2455"/>
      <c r="O572" s="2455"/>
      <c r="P572" s="2455"/>
      <c r="Q572" s="2455"/>
      <c r="R572" s="2455"/>
      <c r="S572" s="2455"/>
      <c r="T572" s="2455"/>
      <c r="U572" s="2455"/>
      <c r="V572" s="2455"/>
      <c r="W572" s="2455"/>
      <c r="X572" s="2455"/>
      <c r="Y572" s="2455"/>
      <c r="Z572" s="2455"/>
    </row>
    <row r="573" spans="1:26" ht="12" x14ac:dyDescent="0.2">
      <c r="A573" s="2455"/>
      <c r="B573" s="2455"/>
      <c r="C573" s="2455"/>
      <c r="D573" s="2455"/>
      <c r="E573" s="2455"/>
      <c r="F573" s="2455"/>
      <c r="G573" s="2456"/>
      <c r="H573" s="2455"/>
      <c r="I573" s="2455"/>
      <c r="J573" s="2455"/>
      <c r="K573" s="2455"/>
      <c r="L573" s="2455"/>
      <c r="M573" s="2455"/>
      <c r="N573" s="2455"/>
      <c r="O573" s="2455"/>
      <c r="P573" s="2455"/>
      <c r="Q573" s="2455"/>
      <c r="R573" s="2455"/>
      <c r="S573" s="2455"/>
      <c r="T573" s="2455"/>
      <c r="U573" s="2455"/>
      <c r="V573" s="2455"/>
      <c r="W573" s="2455"/>
      <c r="X573" s="2455"/>
      <c r="Y573" s="2455"/>
      <c r="Z573" s="2455"/>
    </row>
    <row r="574" spans="1:26" ht="12" x14ac:dyDescent="0.2">
      <c r="A574" s="2455"/>
      <c r="B574" s="2455"/>
      <c r="C574" s="2455"/>
      <c r="D574" s="2455"/>
      <c r="E574" s="2455"/>
      <c r="F574" s="2455"/>
      <c r="G574" s="2456"/>
      <c r="H574" s="2455"/>
      <c r="I574" s="2455"/>
      <c r="J574" s="2455"/>
      <c r="K574" s="2455"/>
      <c r="L574" s="2455"/>
      <c r="M574" s="2455"/>
      <c r="N574" s="2455"/>
      <c r="O574" s="2455"/>
      <c r="P574" s="2455"/>
      <c r="Q574" s="2455"/>
      <c r="R574" s="2455"/>
      <c r="S574" s="2455"/>
      <c r="T574" s="2455"/>
      <c r="U574" s="2455"/>
      <c r="V574" s="2455"/>
      <c r="W574" s="2455"/>
      <c r="X574" s="2455"/>
      <c r="Y574" s="2455"/>
      <c r="Z574" s="2455"/>
    </row>
    <row r="575" spans="1:26" ht="12" x14ac:dyDescent="0.2">
      <c r="A575" s="2455"/>
      <c r="B575" s="2455"/>
      <c r="C575" s="2455"/>
      <c r="D575" s="2455"/>
      <c r="E575" s="2455"/>
      <c r="F575" s="2455"/>
      <c r="G575" s="2456"/>
      <c r="H575" s="2455"/>
      <c r="I575" s="2455"/>
      <c r="J575" s="2455"/>
      <c r="K575" s="2455"/>
      <c r="L575" s="2455"/>
      <c r="M575" s="2455"/>
      <c r="N575" s="2455"/>
      <c r="O575" s="2455"/>
      <c r="P575" s="2455"/>
      <c r="Q575" s="2455"/>
      <c r="R575" s="2455"/>
      <c r="S575" s="2455"/>
      <c r="T575" s="2455"/>
      <c r="U575" s="2455"/>
      <c r="V575" s="2455"/>
      <c r="W575" s="2455"/>
      <c r="X575" s="2455"/>
      <c r="Y575" s="2455"/>
      <c r="Z575" s="2455"/>
    </row>
    <row r="576" spans="1:26" ht="12" x14ac:dyDescent="0.2">
      <c r="A576" s="2455"/>
      <c r="B576" s="2455"/>
      <c r="C576" s="2455"/>
      <c r="D576" s="2455"/>
      <c r="E576" s="2455"/>
      <c r="F576" s="2455"/>
      <c r="G576" s="2456"/>
      <c r="H576" s="2455"/>
      <c r="I576" s="2455"/>
      <c r="J576" s="2455"/>
      <c r="K576" s="2455"/>
      <c r="L576" s="2455"/>
      <c r="M576" s="2455"/>
      <c r="N576" s="2455"/>
      <c r="O576" s="2455"/>
      <c r="P576" s="2455"/>
      <c r="Q576" s="2455"/>
      <c r="R576" s="2455"/>
      <c r="S576" s="2455"/>
      <c r="T576" s="2455"/>
      <c r="U576" s="2455"/>
      <c r="V576" s="2455"/>
      <c r="W576" s="2455"/>
      <c r="X576" s="2455"/>
      <c r="Y576" s="2455"/>
      <c r="Z576" s="2455"/>
    </row>
    <row r="577" spans="1:26" ht="12" x14ac:dyDescent="0.2">
      <c r="A577" s="2455"/>
      <c r="B577" s="2455"/>
      <c r="C577" s="2455"/>
      <c r="D577" s="2455"/>
      <c r="E577" s="2455"/>
      <c r="F577" s="2455"/>
      <c r="G577" s="2456"/>
      <c r="H577" s="2455"/>
      <c r="I577" s="2455"/>
      <c r="J577" s="2455"/>
      <c r="K577" s="2455"/>
      <c r="L577" s="2455"/>
      <c r="M577" s="2455"/>
      <c r="N577" s="2455"/>
      <c r="O577" s="2455"/>
      <c r="P577" s="2455"/>
      <c r="Q577" s="2455"/>
      <c r="R577" s="2455"/>
      <c r="S577" s="2455"/>
      <c r="T577" s="2455"/>
      <c r="U577" s="2455"/>
      <c r="V577" s="2455"/>
      <c r="W577" s="2455"/>
      <c r="X577" s="2455"/>
      <c r="Y577" s="2455"/>
      <c r="Z577" s="2455"/>
    </row>
    <row r="578" spans="1:26" ht="12" x14ac:dyDescent="0.2">
      <c r="A578" s="2455"/>
      <c r="B578" s="2455"/>
      <c r="C578" s="2455"/>
      <c r="D578" s="2455"/>
      <c r="E578" s="2455"/>
      <c r="F578" s="2455"/>
      <c r="G578" s="2456"/>
      <c r="H578" s="2455"/>
      <c r="I578" s="2455"/>
      <c r="J578" s="2455"/>
      <c r="K578" s="2455"/>
      <c r="L578" s="2455"/>
      <c r="M578" s="2455"/>
      <c r="N578" s="2455"/>
      <c r="O578" s="2455"/>
      <c r="P578" s="2455"/>
      <c r="Q578" s="2455"/>
      <c r="R578" s="2455"/>
      <c r="S578" s="2455"/>
      <c r="T578" s="2455"/>
      <c r="U578" s="2455"/>
      <c r="V578" s="2455"/>
      <c r="W578" s="2455"/>
      <c r="X578" s="2455"/>
      <c r="Y578" s="2455"/>
      <c r="Z578" s="2455"/>
    </row>
    <row r="579" spans="1:26" ht="12" x14ac:dyDescent="0.2">
      <c r="A579" s="2455"/>
      <c r="B579" s="2455"/>
      <c r="C579" s="2455"/>
      <c r="D579" s="2455"/>
      <c r="E579" s="2455"/>
      <c r="F579" s="2455"/>
      <c r="G579" s="2456"/>
      <c r="H579" s="2455"/>
      <c r="I579" s="2455"/>
      <c r="J579" s="2455"/>
      <c r="K579" s="2455"/>
      <c r="L579" s="2455"/>
      <c r="M579" s="2455"/>
      <c r="N579" s="2455"/>
      <c r="O579" s="2455"/>
      <c r="P579" s="2455"/>
      <c r="Q579" s="2455"/>
      <c r="R579" s="2455"/>
      <c r="S579" s="2455"/>
      <c r="T579" s="2455"/>
      <c r="U579" s="2455"/>
      <c r="V579" s="2455"/>
      <c r="W579" s="2455"/>
      <c r="X579" s="2455"/>
      <c r="Y579" s="2455"/>
      <c r="Z579" s="2455"/>
    </row>
    <row r="580" spans="1:26" ht="12" x14ac:dyDescent="0.2">
      <c r="A580" s="2455"/>
      <c r="B580" s="2455"/>
      <c r="C580" s="2455"/>
      <c r="D580" s="2455"/>
      <c r="E580" s="2455"/>
      <c r="F580" s="2455"/>
      <c r="G580" s="2456"/>
      <c r="H580" s="2455"/>
      <c r="I580" s="2455"/>
      <c r="J580" s="2455"/>
      <c r="K580" s="2455"/>
      <c r="L580" s="2455"/>
      <c r="M580" s="2455"/>
      <c r="N580" s="2455"/>
      <c r="O580" s="2455"/>
      <c r="P580" s="2455"/>
      <c r="Q580" s="2455"/>
      <c r="R580" s="2455"/>
      <c r="S580" s="2455"/>
      <c r="T580" s="2455"/>
      <c r="U580" s="2455"/>
      <c r="V580" s="2455"/>
      <c r="W580" s="2455"/>
      <c r="X580" s="2455"/>
      <c r="Y580" s="2455"/>
      <c r="Z580" s="2455"/>
    </row>
    <row r="581" spans="1:26" ht="12" x14ac:dyDescent="0.2">
      <c r="A581" s="2455"/>
      <c r="B581" s="2455"/>
      <c r="C581" s="2455"/>
      <c r="D581" s="2455"/>
      <c r="E581" s="2455"/>
      <c r="F581" s="2455"/>
      <c r="G581" s="2456"/>
      <c r="H581" s="2455"/>
      <c r="I581" s="2455"/>
      <c r="J581" s="2455"/>
      <c r="K581" s="2455"/>
      <c r="L581" s="2455"/>
      <c r="M581" s="2455"/>
      <c r="N581" s="2455"/>
      <c r="O581" s="2455"/>
      <c r="P581" s="2455"/>
      <c r="Q581" s="2455"/>
      <c r="R581" s="2455"/>
      <c r="S581" s="2455"/>
      <c r="T581" s="2455"/>
      <c r="U581" s="2455"/>
      <c r="V581" s="2455"/>
      <c r="W581" s="2455"/>
      <c r="X581" s="2455"/>
      <c r="Y581" s="2455"/>
      <c r="Z581" s="2455"/>
    </row>
    <row r="582" spans="1:26" ht="12" x14ac:dyDescent="0.2">
      <c r="A582" s="2455"/>
      <c r="B582" s="2455"/>
      <c r="C582" s="2455"/>
      <c r="D582" s="2455"/>
      <c r="E582" s="2455"/>
      <c r="F582" s="2455"/>
      <c r="G582" s="2456"/>
      <c r="H582" s="2455"/>
      <c r="I582" s="2455"/>
      <c r="J582" s="2455"/>
      <c r="K582" s="2455"/>
      <c r="L582" s="2455"/>
      <c r="M582" s="2455"/>
      <c r="N582" s="2455"/>
      <c r="O582" s="2455"/>
      <c r="P582" s="2455"/>
      <c r="Q582" s="2455"/>
      <c r="R582" s="2455"/>
      <c r="S582" s="2455"/>
      <c r="T582" s="2455"/>
      <c r="U582" s="2455"/>
      <c r="V582" s="2455"/>
      <c r="W582" s="2455"/>
      <c r="X582" s="2455"/>
      <c r="Y582" s="2455"/>
      <c r="Z582" s="2455"/>
    </row>
    <row r="583" spans="1:26" ht="12" x14ac:dyDescent="0.2">
      <c r="A583" s="2455"/>
      <c r="B583" s="2455"/>
      <c r="C583" s="2455"/>
      <c r="D583" s="2455"/>
      <c r="E583" s="2455"/>
      <c r="F583" s="2455"/>
      <c r="G583" s="2456"/>
      <c r="H583" s="2455"/>
      <c r="I583" s="2455"/>
      <c r="J583" s="2455"/>
      <c r="K583" s="2455"/>
      <c r="L583" s="2455"/>
      <c r="M583" s="2455"/>
      <c r="N583" s="2455"/>
      <c r="O583" s="2455"/>
      <c r="P583" s="2455"/>
      <c r="Q583" s="2455"/>
      <c r="R583" s="2455"/>
      <c r="S583" s="2455"/>
      <c r="T583" s="2455"/>
      <c r="U583" s="2455"/>
      <c r="V583" s="2455"/>
      <c r="W583" s="2455"/>
      <c r="X583" s="2455"/>
      <c r="Y583" s="2455"/>
      <c r="Z583" s="2455"/>
    </row>
    <row r="584" spans="1:26" ht="12" x14ac:dyDescent="0.2">
      <c r="A584" s="2455"/>
      <c r="B584" s="2455"/>
      <c r="C584" s="2455"/>
      <c r="D584" s="2455"/>
      <c r="E584" s="2455"/>
      <c r="F584" s="2455"/>
      <c r="G584" s="2456"/>
      <c r="H584" s="2455"/>
      <c r="I584" s="2455"/>
      <c r="J584" s="2455"/>
      <c r="K584" s="2455"/>
      <c r="L584" s="2455"/>
      <c r="M584" s="2455"/>
      <c r="N584" s="2455"/>
      <c r="O584" s="2455"/>
      <c r="P584" s="2455"/>
      <c r="Q584" s="2455"/>
      <c r="R584" s="2455"/>
      <c r="S584" s="2455"/>
      <c r="T584" s="2455"/>
      <c r="U584" s="2455"/>
      <c r="V584" s="2455"/>
      <c r="W584" s="2455"/>
      <c r="X584" s="2455"/>
      <c r="Y584" s="2455"/>
      <c r="Z584" s="2455"/>
    </row>
    <row r="585" spans="1:26" ht="12" x14ac:dyDescent="0.2">
      <c r="A585" s="2455"/>
      <c r="B585" s="2455"/>
      <c r="C585" s="2455"/>
      <c r="D585" s="2455"/>
      <c r="E585" s="2455"/>
      <c r="F585" s="2455"/>
      <c r="G585" s="2456"/>
      <c r="H585" s="2455"/>
      <c r="I585" s="2455"/>
      <c r="J585" s="2455"/>
      <c r="K585" s="2455"/>
      <c r="L585" s="2455"/>
      <c r="M585" s="2455"/>
      <c r="N585" s="2455"/>
      <c r="O585" s="2455"/>
      <c r="P585" s="2455"/>
      <c r="Q585" s="2455"/>
      <c r="R585" s="2455"/>
      <c r="S585" s="2455"/>
      <c r="T585" s="2455"/>
      <c r="U585" s="2455"/>
      <c r="V585" s="2455"/>
      <c r="W585" s="2455"/>
      <c r="X585" s="2455"/>
      <c r="Y585" s="2455"/>
      <c r="Z585" s="2455"/>
    </row>
    <row r="586" spans="1:26" ht="12" x14ac:dyDescent="0.2">
      <c r="A586" s="2455"/>
      <c r="B586" s="2455"/>
      <c r="C586" s="2455"/>
      <c r="D586" s="2455"/>
      <c r="E586" s="2455"/>
      <c r="F586" s="2455"/>
      <c r="G586" s="2456"/>
      <c r="H586" s="2455"/>
      <c r="I586" s="2455"/>
      <c r="J586" s="2455"/>
      <c r="K586" s="2455"/>
      <c r="L586" s="2455"/>
      <c r="M586" s="2455"/>
      <c r="N586" s="2455"/>
      <c r="O586" s="2455"/>
      <c r="P586" s="2455"/>
      <c r="Q586" s="2455"/>
      <c r="R586" s="2455"/>
      <c r="S586" s="2455"/>
      <c r="T586" s="2455"/>
      <c r="U586" s="2455"/>
      <c r="V586" s="2455"/>
      <c r="W586" s="2455"/>
      <c r="X586" s="2455"/>
      <c r="Y586" s="2455"/>
      <c r="Z586" s="2455"/>
    </row>
    <row r="587" spans="1:26" ht="12" x14ac:dyDescent="0.2">
      <c r="A587" s="2455"/>
      <c r="B587" s="2455"/>
      <c r="C587" s="2455"/>
      <c r="D587" s="2455"/>
      <c r="E587" s="2455"/>
      <c r="F587" s="2455"/>
      <c r="G587" s="2456"/>
      <c r="H587" s="2455"/>
      <c r="I587" s="2455"/>
      <c r="J587" s="2455"/>
      <c r="K587" s="2455"/>
      <c r="L587" s="2455"/>
      <c r="M587" s="2455"/>
      <c r="N587" s="2455"/>
      <c r="O587" s="2455"/>
      <c r="P587" s="2455"/>
      <c r="Q587" s="2455"/>
      <c r="R587" s="2455"/>
      <c r="S587" s="2455"/>
      <c r="T587" s="2455"/>
      <c r="U587" s="2455"/>
      <c r="V587" s="2455"/>
      <c r="W587" s="2455"/>
      <c r="X587" s="2455"/>
      <c r="Y587" s="2455"/>
      <c r="Z587" s="2455"/>
    </row>
    <row r="588" spans="1:26" ht="12" x14ac:dyDescent="0.2">
      <c r="A588" s="2455"/>
      <c r="B588" s="2455"/>
      <c r="C588" s="2455"/>
      <c r="D588" s="2455"/>
      <c r="E588" s="2455"/>
      <c r="F588" s="2455"/>
      <c r="G588" s="2456"/>
      <c r="H588" s="2455"/>
      <c r="I588" s="2455"/>
      <c r="J588" s="2455"/>
      <c r="K588" s="2455"/>
      <c r="L588" s="2455"/>
      <c r="M588" s="2455"/>
      <c r="N588" s="2455"/>
      <c r="O588" s="2455"/>
      <c r="P588" s="2455"/>
      <c r="Q588" s="2455"/>
      <c r="R588" s="2455"/>
      <c r="S588" s="2455"/>
      <c r="T588" s="2455"/>
      <c r="U588" s="2455"/>
      <c r="V588" s="2455"/>
      <c r="W588" s="2455"/>
      <c r="X588" s="2455"/>
      <c r="Y588" s="2455"/>
      <c r="Z588" s="2455"/>
    </row>
    <row r="589" spans="1:26" ht="12" x14ac:dyDescent="0.2">
      <c r="A589" s="2455"/>
      <c r="B589" s="2455"/>
      <c r="C589" s="2455"/>
      <c r="D589" s="2455"/>
      <c r="E589" s="2455"/>
      <c r="F589" s="2455"/>
      <c r="G589" s="2456"/>
      <c r="H589" s="2455"/>
      <c r="I589" s="2455"/>
      <c r="J589" s="2455"/>
      <c r="K589" s="2455"/>
      <c r="L589" s="2455"/>
      <c r="M589" s="2455"/>
      <c r="N589" s="2455"/>
      <c r="O589" s="2455"/>
      <c r="P589" s="2455"/>
      <c r="Q589" s="2455"/>
      <c r="R589" s="2455"/>
      <c r="S589" s="2455"/>
      <c r="T589" s="2455"/>
      <c r="U589" s="2455"/>
      <c r="V589" s="2455"/>
      <c r="W589" s="2455"/>
      <c r="X589" s="2455"/>
      <c r="Y589" s="2455"/>
      <c r="Z589" s="2455"/>
    </row>
    <row r="590" spans="1:26" ht="12" x14ac:dyDescent="0.2">
      <c r="A590" s="2455"/>
      <c r="B590" s="2455"/>
      <c r="C590" s="2455"/>
      <c r="D590" s="2455"/>
      <c r="E590" s="2455"/>
      <c r="F590" s="2455"/>
      <c r="G590" s="2456"/>
      <c r="H590" s="2455"/>
      <c r="I590" s="2455"/>
      <c r="J590" s="2455"/>
      <c r="K590" s="2455"/>
      <c r="L590" s="2455"/>
      <c r="M590" s="2455"/>
      <c r="N590" s="2455"/>
      <c r="O590" s="2455"/>
      <c r="P590" s="2455"/>
      <c r="Q590" s="2455"/>
      <c r="R590" s="2455"/>
      <c r="S590" s="2455"/>
      <c r="T590" s="2455"/>
      <c r="U590" s="2455"/>
      <c r="V590" s="2455"/>
      <c r="W590" s="2455"/>
      <c r="X590" s="2455"/>
      <c r="Y590" s="2455"/>
      <c r="Z590" s="2455"/>
    </row>
    <row r="591" spans="1:26" ht="12" x14ac:dyDescent="0.2">
      <c r="A591" s="2455"/>
      <c r="B591" s="2455"/>
      <c r="C591" s="2455"/>
      <c r="D591" s="2455"/>
      <c r="E591" s="2455"/>
      <c r="F591" s="2455"/>
      <c r="G591" s="2456"/>
      <c r="H591" s="2455"/>
      <c r="I591" s="2455"/>
      <c r="J591" s="2455"/>
      <c r="K591" s="2455"/>
      <c r="L591" s="2455"/>
      <c r="M591" s="2455"/>
      <c r="N591" s="2455"/>
      <c r="O591" s="2455"/>
      <c r="P591" s="2455"/>
      <c r="Q591" s="2455"/>
      <c r="R591" s="2455"/>
      <c r="S591" s="2455"/>
      <c r="T591" s="2455"/>
      <c r="U591" s="2455"/>
      <c r="V591" s="2455"/>
      <c r="W591" s="2455"/>
      <c r="X591" s="2455"/>
      <c r="Y591" s="2455"/>
      <c r="Z591" s="2455"/>
    </row>
    <row r="592" spans="1:26" ht="12" x14ac:dyDescent="0.2">
      <c r="A592" s="2455"/>
      <c r="B592" s="2455"/>
      <c r="C592" s="2455"/>
      <c r="D592" s="2455"/>
      <c r="E592" s="2455"/>
      <c r="F592" s="2455"/>
      <c r="G592" s="2456"/>
      <c r="H592" s="2455"/>
      <c r="I592" s="2455"/>
      <c r="J592" s="2455"/>
      <c r="K592" s="2455"/>
      <c r="L592" s="2455"/>
      <c r="M592" s="2455"/>
      <c r="N592" s="2455"/>
      <c r="O592" s="2455"/>
      <c r="P592" s="2455"/>
      <c r="Q592" s="2455"/>
      <c r="R592" s="2455"/>
      <c r="S592" s="2455"/>
      <c r="T592" s="2455"/>
      <c r="U592" s="2455"/>
      <c r="V592" s="2455"/>
      <c r="W592" s="2455"/>
      <c r="X592" s="2455"/>
      <c r="Y592" s="2455"/>
      <c r="Z592" s="2455"/>
    </row>
    <row r="593" spans="1:26" ht="12" x14ac:dyDescent="0.2">
      <c r="A593" s="2455"/>
      <c r="B593" s="2455"/>
      <c r="C593" s="2455"/>
      <c r="D593" s="2455"/>
      <c r="E593" s="2455"/>
      <c r="F593" s="2455"/>
      <c r="G593" s="2456"/>
      <c r="H593" s="2455"/>
      <c r="I593" s="2455"/>
      <c r="J593" s="2455"/>
      <c r="K593" s="2455"/>
      <c r="L593" s="2455"/>
      <c r="M593" s="2455"/>
      <c r="N593" s="2455"/>
      <c r="O593" s="2455"/>
      <c r="P593" s="2455"/>
      <c r="Q593" s="2455"/>
      <c r="R593" s="2455"/>
      <c r="S593" s="2455"/>
      <c r="T593" s="2455"/>
      <c r="U593" s="2455"/>
      <c r="V593" s="2455"/>
      <c r="W593" s="2455"/>
      <c r="X593" s="2455"/>
      <c r="Y593" s="2455"/>
      <c r="Z593" s="2455"/>
    </row>
    <row r="594" spans="1:26" ht="12" x14ac:dyDescent="0.2">
      <c r="A594" s="2455"/>
      <c r="B594" s="2455"/>
      <c r="C594" s="2455"/>
      <c r="D594" s="2455"/>
      <c r="E594" s="2455"/>
      <c r="F594" s="2455"/>
      <c r="G594" s="2456"/>
      <c r="H594" s="2455"/>
      <c r="I594" s="2455"/>
      <c r="J594" s="2455"/>
      <c r="K594" s="2455"/>
      <c r="L594" s="2455"/>
      <c r="M594" s="2455"/>
      <c r="N594" s="2455"/>
      <c r="O594" s="2455"/>
      <c r="P594" s="2455"/>
      <c r="Q594" s="2455"/>
      <c r="R594" s="2455"/>
      <c r="S594" s="2455"/>
      <c r="T594" s="2455"/>
      <c r="U594" s="2455"/>
      <c r="V594" s="2455"/>
      <c r="W594" s="2455"/>
      <c r="X594" s="2455"/>
      <c r="Y594" s="2455"/>
      <c r="Z594" s="2455"/>
    </row>
    <row r="595" spans="1:26" ht="12" x14ac:dyDescent="0.2">
      <c r="A595" s="2455"/>
      <c r="B595" s="2455"/>
      <c r="C595" s="2455"/>
      <c r="D595" s="2455"/>
      <c r="E595" s="2455"/>
      <c r="F595" s="2455"/>
      <c r="G595" s="2456"/>
      <c r="H595" s="2455"/>
      <c r="I595" s="2455"/>
      <c r="J595" s="2455"/>
      <c r="K595" s="2455"/>
      <c r="L595" s="2455"/>
      <c r="M595" s="2455"/>
      <c r="N595" s="2455"/>
      <c r="O595" s="2455"/>
      <c r="P595" s="2455"/>
      <c r="Q595" s="2455"/>
      <c r="R595" s="2455"/>
      <c r="S595" s="2455"/>
      <c r="T595" s="2455"/>
      <c r="U595" s="2455"/>
      <c r="V595" s="2455"/>
      <c r="W595" s="2455"/>
      <c r="X595" s="2455"/>
      <c r="Y595" s="2455"/>
      <c r="Z595" s="2455"/>
    </row>
    <row r="596" spans="1:26" ht="12" x14ac:dyDescent="0.2">
      <c r="A596" s="2455"/>
      <c r="B596" s="2455"/>
      <c r="C596" s="2455"/>
      <c r="D596" s="2455"/>
      <c r="E596" s="2455"/>
      <c r="F596" s="2455"/>
      <c r="G596" s="2456"/>
      <c r="H596" s="2455"/>
      <c r="I596" s="2455"/>
      <c r="J596" s="2455"/>
      <c r="K596" s="2455"/>
      <c r="L596" s="2455"/>
      <c r="M596" s="2455"/>
      <c r="N596" s="2455"/>
      <c r="O596" s="2455"/>
      <c r="P596" s="2455"/>
      <c r="Q596" s="2455"/>
      <c r="R596" s="2455"/>
      <c r="S596" s="2455"/>
      <c r="T596" s="2455"/>
      <c r="U596" s="2455"/>
      <c r="V596" s="2455"/>
      <c r="W596" s="2455"/>
      <c r="X596" s="2455"/>
      <c r="Y596" s="2455"/>
      <c r="Z596" s="2455"/>
    </row>
    <row r="597" spans="1:26" ht="12" x14ac:dyDescent="0.2">
      <c r="A597" s="2455"/>
      <c r="B597" s="2455"/>
      <c r="C597" s="2455"/>
      <c r="D597" s="2455"/>
      <c r="E597" s="2455"/>
      <c r="F597" s="2455"/>
      <c r="G597" s="2456"/>
      <c r="H597" s="2455"/>
      <c r="I597" s="2455"/>
      <c r="J597" s="2455"/>
      <c r="K597" s="2455"/>
      <c r="L597" s="2455"/>
      <c r="M597" s="2455"/>
      <c r="N597" s="2455"/>
      <c r="O597" s="2455"/>
      <c r="P597" s="2455"/>
      <c r="Q597" s="2455"/>
      <c r="R597" s="2455"/>
      <c r="S597" s="2455"/>
      <c r="T597" s="2455"/>
      <c r="U597" s="2455"/>
      <c r="V597" s="2455"/>
      <c r="W597" s="2455"/>
      <c r="X597" s="2455"/>
      <c r="Y597" s="2455"/>
      <c r="Z597" s="2455"/>
    </row>
    <row r="598" spans="1:26" ht="12" x14ac:dyDescent="0.2">
      <c r="A598" s="2455"/>
      <c r="B598" s="2455"/>
      <c r="C598" s="2455"/>
      <c r="D598" s="2455"/>
      <c r="E598" s="2455"/>
      <c r="F598" s="2455"/>
      <c r="G598" s="2456"/>
      <c r="H598" s="2455"/>
      <c r="I598" s="2455"/>
      <c r="J598" s="2455"/>
      <c r="K598" s="2455"/>
      <c r="L598" s="2455"/>
      <c r="M598" s="2455"/>
      <c r="N598" s="2455"/>
      <c r="O598" s="2455"/>
      <c r="P598" s="2455"/>
      <c r="Q598" s="2455"/>
      <c r="R598" s="2455"/>
      <c r="S598" s="2455"/>
      <c r="T598" s="2455"/>
      <c r="U598" s="2455"/>
      <c r="V598" s="2455"/>
      <c r="W598" s="2455"/>
      <c r="X598" s="2455"/>
      <c r="Y598" s="2455"/>
      <c r="Z598" s="2455"/>
    </row>
    <row r="599" spans="1:26" ht="12" x14ac:dyDescent="0.2">
      <c r="A599" s="2455"/>
      <c r="B599" s="2455"/>
      <c r="C599" s="2455"/>
      <c r="D599" s="2455"/>
      <c r="E599" s="2455"/>
      <c r="F599" s="2455"/>
      <c r="G599" s="2456"/>
      <c r="H599" s="2455"/>
      <c r="I599" s="2455"/>
      <c r="J599" s="2455"/>
      <c r="K599" s="2455"/>
      <c r="L599" s="2455"/>
      <c r="M599" s="2455"/>
      <c r="N599" s="2455"/>
      <c r="O599" s="2455"/>
      <c r="P599" s="2455"/>
      <c r="Q599" s="2455"/>
      <c r="R599" s="2455"/>
      <c r="S599" s="2455"/>
      <c r="T599" s="2455"/>
      <c r="U599" s="2455"/>
      <c r="V599" s="2455"/>
      <c r="W599" s="2455"/>
      <c r="X599" s="2455"/>
      <c r="Y599" s="2455"/>
      <c r="Z599" s="2455"/>
    </row>
    <row r="600" spans="1:26" ht="12" x14ac:dyDescent="0.2">
      <c r="A600" s="2455"/>
      <c r="B600" s="2455"/>
      <c r="C600" s="2455"/>
      <c r="D600" s="2455"/>
      <c r="E600" s="2455"/>
      <c r="F600" s="2455"/>
      <c r="G600" s="2456"/>
      <c r="H600" s="2455"/>
      <c r="I600" s="2455"/>
      <c r="J600" s="2455"/>
      <c r="K600" s="2455"/>
      <c r="L600" s="2455"/>
      <c r="M600" s="2455"/>
      <c r="N600" s="2455"/>
      <c r="O600" s="2455"/>
      <c r="P600" s="2455"/>
      <c r="Q600" s="2455"/>
      <c r="R600" s="2455"/>
      <c r="S600" s="2455"/>
      <c r="T600" s="2455"/>
      <c r="U600" s="2455"/>
      <c r="V600" s="2455"/>
      <c r="W600" s="2455"/>
      <c r="X600" s="2455"/>
      <c r="Y600" s="2455"/>
      <c r="Z600" s="2455"/>
    </row>
    <row r="601" spans="1:26" ht="12" x14ac:dyDescent="0.2">
      <c r="A601" s="2455"/>
      <c r="B601" s="2455"/>
      <c r="C601" s="2455"/>
      <c r="D601" s="2455"/>
      <c r="E601" s="2455"/>
      <c r="F601" s="2455"/>
      <c r="G601" s="2456"/>
      <c r="H601" s="2455"/>
      <c r="I601" s="2455"/>
      <c r="J601" s="2455"/>
      <c r="K601" s="2455"/>
      <c r="L601" s="2455"/>
      <c r="M601" s="2455"/>
      <c r="N601" s="2455"/>
      <c r="O601" s="2455"/>
      <c r="P601" s="2455"/>
      <c r="Q601" s="2455"/>
      <c r="R601" s="2455"/>
      <c r="S601" s="2455"/>
      <c r="T601" s="2455"/>
      <c r="U601" s="2455"/>
      <c r="V601" s="2455"/>
      <c r="W601" s="2455"/>
      <c r="X601" s="2455"/>
      <c r="Y601" s="2455"/>
      <c r="Z601" s="2455"/>
    </row>
    <row r="602" spans="1:26" ht="12" x14ac:dyDescent="0.2">
      <c r="A602" s="2455"/>
      <c r="B602" s="2455"/>
      <c r="C602" s="2455"/>
      <c r="D602" s="2455"/>
      <c r="E602" s="2455"/>
      <c r="F602" s="2455"/>
      <c r="G602" s="2456"/>
      <c r="H602" s="2455"/>
      <c r="I602" s="2455"/>
      <c r="J602" s="2455"/>
      <c r="K602" s="2455"/>
      <c r="L602" s="2455"/>
      <c r="M602" s="2455"/>
      <c r="N602" s="2455"/>
      <c r="O602" s="2455"/>
      <c r="P602" s="2455"/>
      <c r="Q602" s="2455"/>
      <c r="R602" s="2455"/>
      <c r="S602" s="2455"/>
      <c r="T602" s="2455"/>
      <c r="U602" s="2455"/>
      <c r="V602" s="2455"/>
      <c r="W602" s="2455"/>
      <c r="X602" s="2455"/>
      <c r="Y602" s="2455"/>
      <c r="Z602" s="2455"/>
    </row>
    <row r="603" spans="1:26" ht="12" x14ac:dyDescent="0.2">
      <c r="A603" s="2455"/>
      <c r="B603" s="2455"/>
      <c r="C603" s="2455"/>
      <c r="D603" s="2455"/>
      <c r="E603" s="2455"/>
      <c r="F603" s="2455"/>
      <c r="G603" s="2456"/>
      <c r="H603" s="2455"/>
      <c r="I603" s="2455"/>
      <c r="J603" s="2455"/>
      <c r="K603" s="2455"/>
      <c r="L603" s="2455"/>
      <c r="M603" s="2455"/>
      <c r="N603" s="2455"/>
      <c r="O603" s="2455"/>
      <c r="P603" s="2455"/>
      <c r="Q603" s="2455"/>
      <c r="R603" s="2455"/>
      <c r="S603" s="2455"/>
      <c r="T603" s="2455"/>
      <c r="U603" s="2455"/>
      <c r="V603" s="2455"/>
      <c r="W603" s="2455"/>
      <c r="X603" s="2455"/>
      <c r="Y603" s="2455"/>
      <c r="Z603" s="2455"/>
    </row>
    <row r="604" spans="1:26" ht="12" x14ac:dyDescent="0.2">
      <c r="A604" s="2455"/>
      <c r="B604" s="2455"/>
      <c r="C604" s="2455"/>
      <c r="D604" s="2455"/>
      <c r="E604" s="2455"/>
      <c r="F604" s="2455"/>
      <c r="G604" s="2456"/>
      <c r="H604" s="2455"/>
      <c r="I604" s="2455"/>
      <c r="J604" s="2455"/>
      <c r="K604" s="2455"/>
      <c r="L604" s="2455"/>
      <c r="M604" s="2455"/>
      <c r="N604" s="2455"/>
      <c r="O604" s="2455"/>
      <c r="P604" s="2455"/>
      <c r="Q604" s="2455"/>
      <c r="R604" s="2455"/>
      <c r="S604" s="2455"/>
      <c r="T604" s="2455"/>
      <c r="U604" s="2455"/>
      <c r="V604" s="2455"/>
      <c r="W604" s="2455"/>
      <c r="X604" s="2455"/>
      <c r="Y604" s="2455"/>
      <c r="Z604" s="2455"/>
    </row>
    <row r="605" spans="1:26" ht="12" x14ac:dyDescent="0.2">
      <c r="A605" s="2455"/>
      <c r="B605" s="2455"/>
      <c r="C605" s="2455"/>
      <c r="D605" s="2455"/>
      <c r="E605" s="2455"/>
      <c r="F605" s="2455"/>
      <c r="G605" s="2456"/>
      <c r="H605" s="2455"/>
      <c r="I605" s="2455"/>
      <c r="J605" s="2455"/>
      <c r="K605" s="2455"/>
      <c r="L605" s="2455"/>
      <c r="M605" s="2455"/>
      <c r="N605" s="2455"/>
      <c r="O605" s="2455"/>
      <c r="P605" s="2455"/>
      <c r="Q605" s="2455"/>
      <c r="R605" s="2455"/>
      <c r="S605" s="2455"/>
      <c r="T605" s="2455"/>
      <c r="U605" s="2455"/>
      <c r="V605" s="2455"/>
      <c r="W605" s="2455"/>
      <c r="X605" s="2455"/>
      <c r="Y605" s="2455"/>
      <c r="Z605" s="2455"/>
    </row>
    <row r="606" spans="1:26" ht="12" x14ac:dyDescent="0.2">
      <c r="A606" s="2455"/>
      <c r="B606" s="2455"/>
      <c r="C606" s="2455"/>
      <c r="D606" s="2455"/>
      <c r="E606" s="2455"/>
      <c r="F606" s="2455"/>
      <c r="G606" s="2456"/>
      <c r="H606" s="2455"/>
      <c r="I606" s="2455"/>
      <c r="J606" s="2455"/>
      <c r="K606" s="2455"/>
      <c r="L606" s="2455"/>
      <c r="M606" s="2455"/>
      <c r="N606" s="2455"/>
      <c r="O606" s="2455"/>
      <c r="P606" s="2455"/>
      <c r="Q606" s="2455"/>
      <c r="R606" s="2455"/>
      <c r="S606" s="2455"/>
      <c r="T606" s="2455"/>
      <c r="U606" s="2455"/>
      <c r="V606" s="2455"/>
      <c r="W606" s="2455"/>
      <c r="X606" s="2455"/>
      <c r="Y606" s="2455"/>
      <c r="Z606" s="2455"/>
    </row>
    <row r="607" spans="1:26" ht="12" x14ac:dyDescent="0.2">
      <c r="A607" s="2455"/>
      <c r="B607" s="2455"/>
      <c r="C607" s="2455"/>
      <c r="D607" s="2455"/>
      <c r="E607" s="2455"/>
      <c r="F607" s="2455"/>
      <c r="G607" s="2456"/>
      <c r="H607" s="2455"/>
      <c r="I607" s="2455"/>
      <c r="J607" s="2455"/>
      <c r="K607" s="2455"/>
      <c r="L607" s="2455"/>
      <c r="M607" s="2455"/>
      <c r="N607" s="2455"/>
      <c r="O607" s="2455"/>
      <c r="P607" s="2455"/>
      <c r="Q607" s="2455"/>
      <c r="R607" s="2455"/>
      <c r="S607" s="2455"/>
      <c r="T607" s="2455"/>
      <c r="U607" s="2455"/>
      <c r="V607" s="2455"/>
      <c r="W607" s="2455"/>
      <c r="X607" s="2455"/>
      <c r="Y607" s="2455"/>
      <c r="Z607" s="2455"/>
    </row>
    <row r="608" spans="1:26" ht="12" x14ac:dyDescent="0.2">
      <c r="A608" s="2455"/>
      <c r="B608" s="2455"/>
      <c r="C608" s="2455"/>
      <c r="D608" s="2455"/>
      <c r="E608" s="2455"/>
      <c r="F608" s="2455"/>
      <c r="G608" s="2456"/>
      <c r="H608" s="2455"/>
      <c r="I608" s="2455"/>
      <c r="J608" s="2455"/>
      <c r="K608" s="2455"/>
      <c r="L608" s="2455"/>
      <c r="M608" s="2455"/>
      <c r="N608" s="2455"/>
      <c r="O608" s="2455"/>
      <c r="P608" s="2455"/>
      <c r="Q608" s="2455"/>
      <c r="R608" s="2455"/>
      <c r="S608" s="2455"/>
      <c r="T608" s="2455"/>
      <c r="U608" s="2455"/>
      <c r="V608" s="2455"/>
      <c r="W608" s="2455"/>
      <c r="X608" s="2455"/>
      <c r="Y608" s="2455"/>
      <c r="Z608" s="2455"/>
    </row>
    <row r="609" spans="1:26" ht="12" x14ac:dyDescent="0.2">
      <c r="A609" s="2455"/>
      <c r="B609" s="2455"/>
      <c r="C609" s="2455"/>
      <c r="D609" s="2455"/>
      <c r="E609" s="2455"/>
      <c r="F609" s="2455"/>
      <c r="G609" s="2456"/>
      <c r="H609" s="2455"/>
      <c r="I609" s="2455"/>
      <c r="J609" s="2455"/>
      <c r="K609" s="2455"/>
      <c r="L609" s="2455"/>
      <c r="M609" s="2455"/>
      <c r="N609" s="2455"/>
      <c r="O609" s="2455"/>
      <c r="P609" s="2455"/>
      <c r="Q609" s="2455"/>
      <c r="R609" s="2455"/>
      <c r="S609" s="2455"/>
      <c r="T609" s="2455"/>
      <c r="U609" s="2455"/>
      <c r="V609" s="2455"/>
      <c r="W609" s="2455"/>
      <c r="X609" s="2455"/>
      <c r="Y609" s="2455"/>
      <c r="Z609" s="2455"/>
    </row>
    <row r="610" spans="1:26" ht="12" x14ac:dyDescent="0.2">
      <c r="A610" s="2455"/>
      <c r="B610" s="2455"/>
      <c r="C610" s="2455"/>
      <c r="D610" s="2455"/>
      <c r="E610" s="2455"/>
      <c r="F610" s="2455"/>
      <c r="G610" s="2456"/>
      <c r="H610" s="2455"/>
      <c r="I610" s="2455"/>
      <c r="J610" s="2455"/>
      <c r="K610" s="2455"/>
      <c r="L610" s="2455"/>
      <c r="M610" s="2455"/>
      <c r="N610" s="2455"/>
      <c r="O610" s="2455"/>
      <c r="P610" s="2455"/>
      <c r="Q610" s="2455"/>
      <c r="R610" s="2455"/>
      <c r="S610" s="2455"/>
      <c r="T610" s="2455"/>
      <c r="U610" s="2455"/>
      <c r="V610" s="2455"/>
      <c r="W610" s="2455"/>
      <c r="X610" s="2455"/>
      <c r="Y610" s="2455"/>
      <c r="Z610" s="2455"/>
    </row>
    <row r="611" spans="1:26" ht="12" x14ac:dyDescent="0.2">
      <c r="A611" s="2455"/>
      <c r="B611" s="2455"/>
      <c r="C611" s="2455"/>
      <c r="D611" s="2455"/>
      <c r="E611" s="2455"/>
      <c r="F611" s="2455"/>
      <c r="G611" s="2456"/>
      <c r="H611" s="2455"/>
      <c r="I611" s="2455"/>
      <c r="J611" s="2455"/>
      <c r="K611" s="2455"/>
      <c r="L611" s="2455"/>
      <c r="M611" s="2455"/>
      <c r="N611" s="2455"/>
      <c r="O611" s="2455"/>
      <c r="P611" s="2455"/>
      <c r="Q611" s="2455"/>
      <c r="R611" s="2455"/>
      <c r="S611" s="2455"/>
      <c r="T611" s="2455"/>
      <c r="U611" s="2455"/>
      <c r="V611" s="2455"/>
      <c r="W611" s="2455"/>
      <c r="X611" s="2455"/>
      <c r="Y611" s="2455"/>
      <c r="Z611" s="2455"/>
    </row>
    <row r="612" spans="1:26" ht="12" x14ac:dyDescent="0.2">
      <c r="A612" s="2455"/>
      <c r="B612" s="2455"/>
      <c r="C612" s="2455"/>
      <c r="D612" s="2455"/>
      <c r="E612" s="2455"/>
      <c r="F612" s="2455"/>
      <c r="G612" s="2456"/>
      <c r="H612" s="2455"/>
      <c r="I612" s="2455"/>
      <c r="J612" s="2455"/>
      <c r="K612" s="2455"/>
      <c r="L612" s="2455"/>
      <c r="M612" s="2455"/>
      <c r="N612" s="2455"/>
      <c r="O612" s="2455"/>
      <c r="P612" s="2455"/>
      <c r="Q612" s="2455"/>
      <c r="R612" s="2455"/>
      <c r="S612" s="2455"/>
      <c r="T612" s="2455"/>
      <c r="U612" s="2455"/>
      <c r="V612" s="2455"/>
      <c r="W612" s="2455"/>
      <c r="X612" s="2455"/>
      <c r="Y612" s="2455"/>
      <c r="Z612" s="2455"/>
    </row>
    <row r="613" spans="1:26" ht="12" x14ac:dyDescent="0.2">
      <c r="A613" s="2455"/>
      <c r="B613" s="2455"/>
      <c r="C613" s="2455"/>
      <c r="D613" s="2455"/>
      <c r="E613" s="2455"/>
      <c r="F613" s="2455"/>
      <c r="G613" s="2456"/>
      <c r="H613" s="2455"/>
      <c r="I613" s="2455"/>
      <c r="J613" s="2455"/>
      <c r="K613" s="2455"/>
      <c r="L613" s="2455"/>
      <c r="M613" s="2455"/>
      <c r="N613" s="2455"/>
      <c r="O613" s="2455"/>
      <c r="P613" s="2455"/>
      <c r="Q613" s="2455"/>
      <c r="R613" s="2455"/>
      <c r="S613" s="2455"/>
      <c r="T613" s="2455"/>
      <c r="U613" s="2455"/>
      <c r="V613" s="2455"/>
      <c r="W613" s="2455"/>
      <c r="X613" s="2455"/>
      <c r="Y613" s="2455"/>
      <c r="Z613" s="2455"/>
    </row>
    <row r="614" spans="1:26" ht="12" x14ac:dyDescent="0.2">
      <c r="A614" s="2455"/>
      <c r="B614" s="2455"/>
      <c r="C614" s="2455"/>
      <c r="D614" s="2455"/>
      <c r="E614" s="2455"/>
      <c r="F614" s="2455"/>
      <c r="G614" s="2456"/>
      <c r="H614" s="2455"/>
      <c r="I614" s="2455"/>
      <c r="J614" s="2455"/>
      <c r="K614" s="2455"/>
      <c r="L614" s="2455"/>
      <c r="M614" s="2455"/>
      <c r="N614" s="2455"/>
      <c r="O614" s="2455"/>
      <c r="P614" s="2455"/>
      <c r="Q614" s="2455"/>
      <c r="R614" s="2455"/>
      <c r="S614" s="2455"/>
      <c r="T614" s="2455"/>
      <c r="U614" s="2455"/>
      <c r="V614" s="2455"/>
      <c r="W614" s="2455"/>
      <c r="X614" s="2455"/>
      <c r="Y614" s="2455"/>
      <c r="Z614" s="2455"/>
    </row>
    <row r="615" spans="1:26" ht="12" x14ac:dyDescent="0.2">
      <c r="A615" s="2455"/>
      <c r="B615" s="2455"/>
      <c r="C615" s="2455"/>
      <c r="D615" s="2455"/>
      <c r="E615" s="2455"/>
      <c r="F615" s="2455"/>
      <c r="G615" s="2456"/>
      <c r="H615" s="2455"/>
      <c r="I615" s="2455"/>
      <c r="J615" s="2455"/>
      <c r="K615" s="2455"/>
      <c r="L615" s="2455"/>
      <c r="M615" s="2455"/>
      <c r="N615" s="2455"/>
      <c r="O615" s="2455"/>
      <c r="P615" s="2455"/>
      <c r="Q615" s="2455"/>
      <c r="R615" s="2455"/>
      <c r="S615" s="2455"/>
      <c r="T615" s="2455"/>
      <c r="U615" s="2455"/>
      <c r="V615" s="2455"/>
      <c r="W615" s="2455"/>
      <c r="X615" s="2455"/>
      <c r="Y615" s="2455"/>
      <c r="Z615" s="2455"/>
    </row>
    <row r="616" spans="1:26" ht="12" x14ac:dyDescent="0.2">
      <c r="A616" s="2455"/>
      <c r="B616" s="2455"/>
      <c r="C616" s="2455"/>
      <c r="D616" s="2455"/>
      <c r="E616" s="2455"/>
      <c r="F616" s="2455"/>
      <c r="G616" s="2456"/>
      <c r="H616" s="2455"/>
      <c r="I616" s="2455"/>
      <c r="J616" s="2455"/>
      <c r="K616" s="2455"/>
      <c r="L616" s="2455"/>
      <c r="M616" s="2455"/>
      <c r="N616" s="2455"/>
      <c r="O616" s="2455"/>
      <c r="P616" s="2455"/>
      <c r="Q616" s="2455"/>
      <c r="R616" s="2455"/>
      <c r="S616" s="2455"/>
      <c r="T616" s="2455"/>
      <c r="U616" s="2455"/>
      <c r="V616" s="2455"/>
      <c r="W616" s="2455"/>
      <c r="X616" s="2455"/>
      <c r="Y616" s="2455"/>
      <c r="Z616" s="2455"/>
    </row>
    <row r="617" spans="1:26" ht="12" x14ac:dyDescent="0.2">
      <c r="A617" s="2455"/>
      <c r="B617" s="2455"/>
      <c r="C617" s="2455"/>
      <c r="D617" s="2455"/>
      <c r="E617" s="2455"/>
      <c r="F617" s="2455"/>
      <c r="G617" s="2456"/>
      <c r="H617" s="2455"/>
      <c r="I617" s="2455"/>
      <c r="J617" s="2455"/>
      <c r="K617" s="2455"/>
      <c r="L617" s="2455"/>
      <c r="M617" s="2455"/>
      <c r="N617" s="2455"/>
      <c r="O617" s="2455"/>
      <c r="P617" s="2455"/>
      <c r="Q617" s="2455"/>
      <c r="R617" s="2455"/>
      <c r="S617" s="2455"/>
      <c r="T617" s="2455"/>
      <c r="U617" s="2455"/>
      <c r="V617" s="2455"/>
      <c r="W617" s="2455"/>
      <c r="X617" s="2455"/>
      <c r="Y617" s="2455"/>
      <c r="Z617" s="2455"/>
    </row>
    <row r="618" spans="1:26" ht="12" x14ac:dyDescent="0.2">
      <c r="A618" s="2455"/>
      <c r="B618" s="2455"/>
      <c r="C618" s="2455"/>
      <c r="D618" s="2455"/>
      <c r="E618" s="2455"/>
      <c r="F618" s="2455"/>
      <c r="G618" s="2456"/>
      <c r="H618" s="2455"/>
      <c r="I618" s="2455"/>
      <c r="J618" s="2455"/>
      <c r="K618" s="2455"/>
      <c r="L618" s="2455"/>
      <c r="M618" s="2455"/>
      <c r="N618" s="2455"/>
      <c r="O618" s="2455"/>
      <c r="P618" s="2455"/>
      <c r="Q618" s="2455"/>
      <c r="R618" s="2455"/>
      <c r="S618" s="2455"/>
      <c r="T618" s="2455"/>
      <c r="U618" s="2455"/>
      <c r="V618" s="2455"/>
      <c r="W618" s="2455"/>
      <c r="X618" s="2455"/>
      <c r="Y618" s="2455"/>
      <c r="Z618" s="2455"/>
    </row>
    <row r="619" spans="1:26" ht="12" x14ac:dyDescent="0.2">
      <c r="A619" s="2455"/>
      <c r="B619" s="2455"/>
      <c r="C619" s="2455"/>
      <c r="D619" s="2455"/>
      <c r="E619" s="2455"/>
      <c r="F619" s="2455"/>
      <c r="G619" s="2456"/>
      <c r="H619" s="2455"/>
      <c r="I619" s="2455"/>
      <c r="J619" s="2455"/>
      <c r="K619" s="2455"/>
      <c r="L619" s="2455"/>
      <c r="M619" s="2455"/>
      <c r="N619" s="2455"/>
      <c r="O619" s="2455"/>
      <c r="P619" s="2455"/>
      <c r="Q619" s="2455"/>
      <c r="R619" s="2455"/>
      <c r="S619" s="2455"/>
      <c r="T619" s="2455"/>
      <c r="U619" s="2455"/>
      <c r="V619" s="2455"/>
      <c r="W619" s="2455"/>
      <c r="X619" s="2455"/>
      <c r="Y619" s="2455"/>
      <c r="Z619" s="2455"/>
    </row>
    <row r="620" spans="1:26" ht="12" x14ac:dyDescent="0.2">
      <c r="A620" s="2455"/>
      <c r="B620" s="2455"/>
      <c r="C620" s="2455"/>
      <c r="D620" s="2455"/>
      <c r="E620" s="2455"/>
      <c r="F620" s="2455"/>
      <c r="G620" s="2456"/>
      <c r="H620" s="2455"/>
      <c r="I620" s="2455"/>
      <c r="J620" s="2455"/>
      <c r="K620" s="2455"/>
      <c r="L620" s="2455"/>
      <c r="M620" s="2455"/>
      <c r="N620" s="2455"/>
      <c r="O620" s="2455"/>
      <c r="P620" s="2455"/>
      <c r="Q620" s="2455"/>
      <c r="R620" s="2455"/>
      <c r="S620" s="2455"/>
      <c r="T620" s="2455"/>
      <c r="U620" s="2455"/>
      <c r="V620" s="2455"/>
      <c r="W620" s="2455"/>
      <c r="X620" s="2455"/>
      <c r="Y620" s="2455"/>
      <c r="Z620" s="2455"/>
    </row>
    <row r="621" spans="1:26" ht="12" x14ac:dyDescent="0.2">
      <c r="A621" s="2455"/>
      <c r="B621" s="2455"/>
      <c r="C621" s="2455"/>
      <c r="D621" s="2455"/>
      <c r="E621" s="2455"/>
      <c r="F621" s="2455"/>
      <c r="G621" s="2456"/>
      <c r="H621" s="2455"/>
      <c r="I621" s="2455"/>
      <c r="J621" s="2455"/>
      <c r="K621" s="2455"/>
      <c r="L621" s="2455"/>
      <c r="M621" s="2455"/>
      <c r="N621" s="2455"/>
      <c r="O621" s="2455"/>
      <c r="P621" s="2455"/>
      <c r="Q621" s="2455"/>
      <c r="R621" s="2455"/>
      <c r="S621" s="2455"/>
      <c r="T621" s="2455"/>
      <c r="U621" s="2455"/>
      <c r="V621" s="2455"/>
      <c r="W621" s="2455"/>
      <c r="X621" s="2455"/>
      <c r="Y621" s="2455"/>
      <c r="Z621" s="2455"/>
    </row>
    <row r="622" spans="1:26" ht="12" x14ac:dyDescent="0.2">
      <c r="A622" s="2455"/>
      <c r="B622" s="2455"/>
      <c r="C622" s="2455"/>
      <c r="D622" s="2455"/>
      <c r="E622" s="2455"/>
      <c r="F622" s="2455"/>
      <c r="G622" s="2456"/>
      <c r="H622" s="2455"/>
      <c r="I622" s="2455"/>
      <c r="J622" s="2455"/>
      <c r="K622" s="2455"/>
      <c r="L622" s="2455"/>
      <c r="M622" s="2455"/>
      <c r="N622" s="2455"/>
      <c r="O622" s="2455"/>
      <c r="P622" s="2455"/>
      <c r="Q622" s="2455"/>
      <c r="R622" s="2455"/>
      <c r="S622" s="2455"/>
      <c r="T622" s="2455"/>
      <c r="U622" s="2455"/>
      <c r="V622" s="2455"/>
      <c r="W622" s="2455"/>
      <c r="X622" s="2455"/>
      <c r="Y622" s="2455"/>
      <c r="Z622" s="2455"/>
    </row>
    <row r="623" spans="1:26" ht="12" x14ac:dyDescent="0.2">
      <c r="A623" s="2455"/>
      <c r="B623" s="2455"/>
      <c r="C623" s="2455"/>
      <c r="D623" s="2455"/>
      <c r="E623" s="2455"/>
      <c r="F623" s="2455"/>
      <c r="G623" s="2456"/>
      <c r="H623" s="2455"/>
      <c r="I623" s="2455"/>
      <c r="J623" s="2455"/>
      <c r="K623" s="2455"/>
      <c r="L623" s="2455"/>
      <c r="M623" s="2455"/>
      <c r="N623" s="2455"/>
      <c r="O623" s="2455"/>
      <c r="P623" s="2455"/>
      <c r="Q623" s="2455"/>
      <c r="R623" s="2455"/>
      <c r="S623" s="2455"/>
      <c r="T623" s="2455"/>
      <c r="U623" s="2455"/>
      <c r="V623" s="2455"/>
      <c r="W623" s="2455"/>
      <c r="X623" s="2455"/>
      <c r="Y623" s="2455"/>
      <c r="Z623" s="2455"/>
    </row>
    <row r="624" spans="1:26" ht="12" x14ac:dyDescent="0.2">
      <c r="A624" s="2455"/>
      <c r="B624" s="2455"/>
      <c r="C624" s="2455"/>
      <c r="D624" s="2455"/>
      <c r="E624" s="2455"/>
      <c r="F624" s="2455"/>
      <c r="G624" s="2456"/>
      <c r="H624" s="2455"/>
      <c r="I624" s="2455"/>
      <c r="J624" s="2455"/>
      <c r="K624" s="2455"/>
      <c r="L624" s="2455"/>
      <c r="M624" s="2455"/>
      <c r="N624" s="2455"/>
      <c r="O624" s="2455"/>
      <c r="P624" s="2455"/>
      <c r="Q624" s="2455"/>
      <c r="R624" s="2455"/>
      <c r="S624" s="2455"/>
      <c r="T624" s="2455"/>
      <c r="U624" s="2455"/>
      <c r="V624" s="2455"/>
      <c r="W624" s="2455"/>
      <c r="X624" s="2455"/>
      <c r="Y624" s="2455"/>
      <c r="Z624" s="2455"/>
    </row>
    <row r="625" spans="1:26" ht="12" x14ac:dyDescent="0.2">
      <c r="A625" s="2455"/>
      <c r="B625" s="2455"/>
      <c r="C625" s="2455"/>
      <c r="D625" s="2455"/>
      <c r="E625" s="2455"/>
      <c r="F625" s="2455"/>
      <c r="G625" s="2456"/>
      <c r="H625" s="2455"/>
      <c r="I625" s="2455"/>
      <c r="J625" s="2455"/>
      <c r="K625" s="2455"/>
      <c r="L625" s="2455"/>
      <c r="M625" s="2455"/>
      <c r="N625" s="2455"/>
      <c r="O625" s="2455"/>
      <c r="P625" s="2455"/>
      <c r="Q625" s="2455"/>
      <c r="R625" s="2455"/>
      <c r="S625" s="2455"/>
      <c r="T625" s="2455"/>
      <c r="U625" s="2455"/>
      <c r="V625" s="2455"/>
      <c r="W625" s="2455"/>
      <c r="X625" s="2455"/>
      <c r="Y625" s="2455"/>
      <c r="Z625" s="2455"/>
    </row>
    <row r="626" spans="1:26" ht="12" x14ac:dyDescent="0.2">
      <c r="A626" s="2455"/>
      <c r="B626" s="2455"/>
      <c r="C626" s="2455"/>
      <c r="D626" s="2455"/>
      <c r="E626" s="2455"/>
      <c r="F626" s="2455"/>
      <c r="G626" s="2456"/>
      <c r="H626" s="2455"/>
      <c r="I626" s="2455"/>
      <c r="J626" s="2455"/>
      <c r="K626" s="2455"/>
      <c r="L626" s="2455"/>
      <c r="M626" s="2455"/>
      <c r="N626" s="2455"/>
      <c r="O626" s="2455"/>
      <c r="P626" s="2455"/>
      <c r="Q626" s="2455"/>
      <c r="R626" s="2455"/>
      <c r="S626" s="2455"/>
      <c r="T626" s="2455"/>
      <c r="U626" s="2455"/>
      <c r="V626" s="2455"/>
      <c r="W626" s="2455"/>
      <c r="X626" s="2455"/>
      <c r="Y626" s="2455"/>
      <c r="Z626" s="2455"/>
    </row>
    <row r="627" spans="1:26" ht="12" x14ac:dyDescent="0.2">
      <c r="A627" s="2455"/>
      <c r="B627" s="2455"/>
      <c r="C627" s="2455"/>
      <c r="D627" s="2455"/>
      <c r="E627" s="2455"/>
      <c r="F627" s="2455"/>
      <c r="G627" s="2456"/>
      <c r="H627" s="2455"/>
      <c r="I627" s="2455"/>
      <c r="J627" s="2455"/>
      <c r="K627" s="2455"/>
      <c r="L627" s="2455"/>
      <c r="M627" s="2455"/>
      <c r="N627" s="2455"/>
      <c r="O627" s="2455"/>
      <c r="P627" s="2455"/>
      <c r="Q627" s="2455"/>
      <c r="R627" s="2455"/>
      <c r="S627" s="2455"/>
      <c r="T627" s="2455"/>
      <c r="U627" s="2455"/>
      <c r="V627" s="2455"/>
      <c r="W627" s="2455"/>
      <c r="X627" s="2455"/>
      <c r="Y627" s="2455"/>
      <c r="Z627" s="2455"/>
    </row>
    <row r="628" spans="1:26" ht="12" x14ac:dyDescent="0.2">
      <c r="A628" s="2455"/>
      <c r="B628" s="2455"/>
      <c r="C628" s="2455"/>
      <c r="D628" s="2455"/>
      <c r="E628" s="2455"/>
      <c r="F628" s="2455"/>
      <c r="G628" s="2456"/>
      <c r="H628" s="2455"/>
      <c r="I628" s="2455"/>
      <c r="J628" s="2455"/>
      <c r="K628" s="2455"/>
      <c r="L628" s="2455"/>
      <c r="M628" s="2455"/>
      <c r="N628" s="2455"/>
      <c r="O628" s="2455"/>
      <c r="P628" s="2455"/>
      <c r="Q628" s="2455"/>
      <c r="R628" s="2455"/>
      <c r="S628" s="2455"/>
      <c r="T628" s="2455"/>
      <c r="U628" s="2455"/>
      <c r="V628" s="2455"/>
      <c r="W628" s="2455"/>
      <c r="X628" s="2455"/>
      <c r="Y628" s="2455"/>
      <c r="Z628" s="2455"/>
    </row>
    <row r="629" spans="1:26" ht="12" x14ac:dyDescent="0.2">
      <c r="A629" s="2455"/>
      <c r="B629" s="2455"/>
      <c r="C629" s="2455"/>
      <c r="D629" s="2455"/>
      <c r="E629" s="2455"/>
      <c r="F629" s="2455"/>
      <c r="G629" s="2456"/>
      <c r="H629" s="2455"/>
      <c r="I629" s="2455"/>
      <c r="J629" s="2455"/>
      <c r="K629" s="2455"/>
      <c r="L629" s="2455"/>
      <c r="M629" s="2455"/>
      <c r="N629" s="2455"/>
      <c r="O629" s="2455"/>
      <c r="P629" s="2455"/>
      <c r="Q629" s="2455"/>
      <c r="R629" s="2455"/>
      <c r="S629" s="2455"/>
      <c r="T629" s="2455"/>
      <c r="U629" s="2455"/>
      <c r="V629" s="2455"/>
      <c r="W629" s="2455"/>
      <c r="X629" s="2455"/>
      <c r="Y629" s="2455"/>
      <c r="Z629" s="2455"/>
    </row>
    <row r="630" spans="1:26" ht="12" x14ac:dyDescent="0.2">
      <c r="A630" s="2455"/>
      <c r="B630" s="2455"/>
      <c r="C630" s="2455"/>
      <c r="D630" s="2455"/>
      <c r="E630" s="2455"/>
      <c r="F630" s="2455"/>
      <c r="G630" s="2456"/>
      <c r="H630" s="2455"/>
      <c r="I630" s="2455"/>
      <c r="J630" s="2455"/>
      <c r="K630" s="2455"/>
      <c r="L630" s="2455"/>
      <c r="M630" s="2455"/>
      <c r="N630" s="2455"/>
      <c r="O630" s="2455"/>
      <c r="P630" s="2455"/>
      <c r="Q630" s="2455"/>
      <c r="R630" s="2455"/>
      <c r="S630" s="2455"/>
      <c r="T630" s="2455"/>
      <c r="U630" s="2455"/>
      <c r="V630" s="2455"/>
      <c r="W630" s="2455"/>
      <c r="X630" s="2455"/>
      <c r="Y630" s="2455"/>
      <c r="Z630" s="2455"/>
    </row>
    <row r="631" spans="1:26" ht="12" x14ac:dyDescent="0.2">
      <c r="A631" s="2455"/>
      <c r="B631" s="2455"/>
      <c r="C631" s="2455"/>
      <c r="D631" s="2455"/>
      <c r="E631" s="2455"/>
      <c r="F631" s="2455"/>
      <c r="G631" s="2456"/>
      <c r="H631" s="2455"/>
      <c r="I631" s="2455"/>
      <c r="J631" s="2455"/>
      <c r="K631" s="2455"/>
      <c r="L631" s="2455"/>
      <c r="M631" s="2455"/>
      <c r="N631" s="2455"/>
      <c r="O631" s="2455"/>
      <c r="P631" s="2455"/>
      <c r="Q631" s="2455"/>
      <c r="R631" s="2455"/>
      <c r="S631" s="2455"/>
      <c r="T631" s="2455"/>
      <c r="U631" s="2455"/>
      <c r="V631" s="2455"/>
      <c r="W631" s="2455"/>
      <c r="X631" s="2455"/>
      <c r="Y631" s="2455"/>
      <c r="Z631" s="2455"/>
    </row>
    <row r="632" spans="1:26" ht="12" x14ac:dyDescent="0.2">
      <c r="A632" s="2455"/>
      <c r="B632" s="2455"/>
      <c r="C632" s="2455"/>
      <c r="D632" s="2455"/>
      <c r="E632" s="2455"/>
      <c r="F632" s="2455"/>
      <c r="G632" s="2456"/>
      <c r="H632" s="2455"/>
      <c r="I632" s="2455"/>
      <c r="J632" s="2455"/>
      <c r="K632" s="2455"/>
      <c r="L632" s="2455"/>
      <c r="M632" s="2455"/>
      <c r="N632" s="2455"/>
      <c r="O632" s="2455"/>
      <c r="P632" s="2455"/>
      <c r="Q632" s="2455"/>
      <c r="R632" s="2455"/>
      <c r="S632" s="2455"/>
      <c r="T632" s="2455"/>
      <c r="U632" s="2455"/>
      <c r="V632" s="2455"/>
      <c r="W632" s="2455"/>
      <c r="X632" s="2455"/>
      <c r="Y632" s="2455"/>
      <c r="Z632" s="2455"/>
    </row>
    <row r="633" spans="1:26" ht="12" x14ac:dyDescent="0.2">
      <c r="A633" s="2455"/>
      <c r="B633" s="2455"/>
      <c r="C633" s="2455"/>
      <c r="D633" s="2455"/>
      <c r="E633" s="2455"/>
      <c r="F633" s="2455"/>
      <c r="G633" s="2456"/>
      <c r="H633" s="2455"/>
      <c r="I633" s="2455"/>
      <c r="J633" s="2455"/>
      <c r="K633" s="2455"/>
      <c r="L633" s="2455"/>
      <c r="M633" s="2455"/>
      <c r="N633" s="2455"/>
      <c r="O633" s="2455"/>
      <c r="P633" s="2455"/>
      <c r="Q633" s="2455"/>
      <c r="R633" s="2455"/>
      <c r="S633" s="2455"/>
      <c r="T633" s="2455"/>
      <c r="U633" s="2455"/>
      <c r="V633" s="2455"/>
      <c r="W633" s="2455"/>
      <c r="X633" s="2455"/>
      <c r="Y633" s="2455"/>
      <c r="Z633" s="2455"/>
    </row>
    <row r="634" spans="1:26" ht="12" x14ac:dyDescent="0.2">
      <c r="A634" s="2455"/>
      <c r="B634" s="2455"/>
      <c r="C634" s="2455"/>
      <c r="D634" s="2455"/>
      <c r="E634" s="2455"/>
      <c r="F634" s="2455"/>
      <c r="G634" s="2456"/>
      <c r="H634" s="2455"/>
      <c r="I634" s="2455"/>
      <c r="J634" s="2455"/>
      <c r="K634" s="2455"/>
      <c r="L634" s="2455"/>
      <c r="M634" s="2455"/>
      <c r="N634" s="2455"/>
      <c r="O634" s="2455"/>
      <c r="P634" s="2455"/>
      <c r="Q634" s="2455"/>
      <c r="R634" s="2455"/>
      <c r="S634" s="2455"/>
      <c r="T634" s="2455"/>
      <c r="U634" s="2455"/>
      <c r="V634" s="2455"/>
      <c r="W634" s="2455"/>
      <c r="X634" s="2455"/>
      <c r="Y634" s="2455"/>
      <c r="Z634" s="2455"/>
    </row>
    <row r="635" spans="1:26" ht="12" x14ac:dyDescent="0.2">
      <c r="A635" s="2455"/>
      <c r="B635" s="2455"/>
      <c r="C635" s="2455"/>
      <c r="D635" s="2455"/>
      <c r="E635" s="2455"/>
      <c r="F635" s="2455"/>
      <c r="G635" s="2456"/>
      <c r="H635" s="2455"/>
      <c r="I635" s="2455"/>
      <c r="J635" s="2455"/>
      <c r="K635" s="2455"/>
      <c r="L635" s="2455"/>
      <c r="M635" s="2455"/>
      <c r="N635" s="2455"/>
      <c r="O635" s="2455"/>
      <c r="P635" s="2455"/>
      <c r="Q635" s="2455"/>
      <c r="R635" s="2455"/>
      <c r="S635" s="2455"/>
      <c r="T635" s="2455"/>
      <c r="U635" s="2455"/>
      <c r="V635" s="2455"/>
      <c r="W635" s="2455"/>
      <c r="X635" s="2455"/>
      <c r="Y635" s="2455"/>
      <c r="Z635" s="2455"/>
    </row>
    <row r="636" spans="1:26" ht="12" x14ac:dyDescent="0.2">
      <c r="A636" s="2455"/>
      <c r="B636" s="2455"/>
      <c r="C636" s="2455"/>
      <c r="D636" s="2455"/>
      <c r="E636" s="2455"/>
      <c r="F636" s="2455"/>
      <c r="G636" s="2456"/>
      <c r="H636" s="2455"/>
      <c r="I636" s="2455"/>
      <c r="J636" s="2455"/>
      <c r="K636" s="2455"/>
      <c r="L636" s="2455"/>
      <c r="M636" s="2455"/>
      <c r="N636" s="2455"/>
      <c r="O636" s="2455"/>
      <c r="P636" s="2455"/>
      <c r="Q636" s="2455"/>
      <c r="R636" s="2455"/>
      <c r="S636" s="2455"/>
      <c r="T636" s="2455"/>
      <c r="U636" s="2455"/>
      <c r="V636" s="2455"/>
      <c r="W636" s="2455"/>
      <c r="X636" s="2455"/>
      <c r="Y636" s="2455"/>
      <c r="Z636" s="2455"/>
    </row>
    <row r="637" spans="1:26" ht="12" x14ac:dyDescent="0.2">
      <c r="A637" s="2455"/>
      <c r="B637" s="2455"/>
      <c r="C637" s="2455"/>
      <c r="D637" s="2455"/>
      <c r="E637" s="2455"/>
      <c r="F637" s="2455"/>
      <c r="G637" s="2456"/>
      <c r="H637" s="2455"/>
      <c r="I637" s="2455"/>
      <c r="J637" s="2455"/>
      <c r="K637" s="2455"/>
      <c r="L637" s="2455"/>
      <c r="M637" s="2455"/>
      <c r="N637" s="2455"/>
      <c r="O637" s="2455"/>
      <c r="P637" s="2455"/>
      <c r="Q637" s="2455"/>
      <c r="R637" s="2455"/>
      <c r="S637" s="2455"/>
      <c r="T637" s="2455"/>
      <c r="U637" s="2455"/>
      <c r="V637" s="2455"/>
      <c r="W637" s="2455"/>
      <c r="X637" s="2455"/>
      <c r="Y637" s="2455"/>
      <c r="Z637" s="2455"/>
    </row>
    <row r="638" spans="1:26" ht="12" x14ac:dyDescent="0.2">
      <c r="A638" s="2455"/>
      <c r="B638" s="2455"/>
      <c r="C638" s="2455"/>
      <c r="D638" s="2455"/>
      <c r="E638" s="2455"/>
      <c r="F638" s="2455"/>
      <c r="G638" s="2456"/>
      <c r="H638" s="2455"/>
      <c r="I638" s="2455"/>
      <c r="J638" s="2455"/>
      <c r="K638" s="2455"/>
      <c r="L638" s="2455"/>
      <c r="M638" s="2455"/>
      <c r="N638" s="2455"/>
      <c r="O638" s="2455"/>
      <c r="P638" s="2455"/>
      <c r="Q638" s="2455"/>
      <c r="R638" s="2455"/>
      <c r="S638" s="2455"/>
      <c r="T638" s="2455"/>
      <c r="U638" s="2455"/>
      <c r="V638" s="2455"/>
      <c r="W638" s="2455"/>
      <c r="X638" s="2455"/>
      <c r="Y638" s="2455"/>
      <c r="Z638" s="2455"/>
    </row>
    <row r="639" spans="1:26" ht="12" x14ac:dyDescent="0.2">
      <c r="A639" s="2455"/>
      <c r="B639" s="2455"/>
      <c r="C639" s="2455"/>
      <c r="D639" s="2455"/>
      <c r="E639" s="2455"/>
      <c r="F639" s="2455"/>
      <c r="G639" s="2456"/>
      <c r="H639" s="2455"/>
      <c r="I639" s="2455"/>
      <c r="J639" s="2455"/>
      <c r="K639" s="2455"/>
      <c r="L639" s="2455"/>
      <c r="M639" s="2455"/>
      <c r="N639" s="2455"/>
      <c r="O639" s="2455"/>
      <c r="P639" s="2455"/>
      <c r="Q639" s="2455"/>
      <c r="R639" s="2455"/>
      <c r="S639" s="2455"/>
      <c r="T639" s="2455"/>
      <c r="U639" s="2455"/>
      <c r="V639" s="2455"/>
      <c r="W639" s="2455"/>
      <c r="X639" s="2455"/>
      <c r="Y639" s="2455"/>
      <c r="Z639" s="2455"/>
    </row>
    <row r="640" spans="1:26" ht="12" x14ac:dyDescent="0.2">
      <c r="A640" s="2455"/>
      <c r="B640" s="2455"/>
      <c r="C640" s="2455"/>
      <c r="D640" s="2455"/>
      <c r="E640" s="2455"/>
      <c r="F640" s="2455"/>
      <c r="G640" s="2456"/>
      <c r="H640" s="2455"/>
      <c r="I640" s="2455"/>
      <c r="J640" s="2455"/>
      <c r="K640" s="2455"/>
      <c r="L640" s="2455"/>
      <c r="M640" s="2455"/>
      <c r="N640" s="2455"/>
      <c r="O640" s="2455"/>
      <c r="P640" s="2455"/>
      <c r="Q640" s="2455"/>
      <c r="R640" s="2455"/>
      <c r="S640" s="2455"/>
      <c r="T640" s="2455"/>
      <c r="U640" s="2455"/>
      <c r="V640" s="2455"/>
      <c r="W640" s="2455"/>
      <c r="X640" s="2455"/>
      <c r="Y640" s="2455"/>
      <c r="Z640" s="2455"/>
    </row>
    <row r="641" spans="1:26" ht="12" x14ac:dyDescent="0.2">
      <c r="A641" s="2455"/>
      <c r="B641" s="2455"/>
      <c r="C641" s="2455"/>
      <c r="D641" s="2455"/>
      <c r="E641" s="2455"/>
      <c r="F641" s="2455"/>
      <c r="G641" s="2456"/>
      <c r="H641" s="2455"/>
      <c r="I641" s="2455"/>
      <c r="J641" s="2455"/>
      <c r="K641" s="2455"/>
      <c r="L641" s="2455"/>
      <c r="M641" s="2455"/>
      <c r="N641" s="2455"/>
      <c r="O641" s="2455"/>
      <c r="P641" s="2455"/>
      <c r="Q641" s="2455"/>
      <c r="R641" s="2455"/>
      <c r="S641" s="2455"/>
      <c r="T641" s="2455"/>
      <c r="U641" s="2455"/>
      <c r="V641" s="2455"/>
      <c r="W641" s="2455"/>
      <c r="X641" s="2455"/>
      <c r="Y641" s="2455"/>
      <c r="Z641" s="2455"/>
    </row>
    <row r="642" spans="1:26" ht="12" x14ac:dyDescent="0.2">
      <c r="A642" s="2455"/>
      <c r="B642" s="2455"/>
      <c r="C642" s="2455"/>
      <c r="D642" s="2455"/>
      <c r="E642" s="2455"/>
      <c r="F642" s="2455"/>
      <c r="G642" s="2456"/>
      <c r="H642" s="2455"/>
      <c r="I642" s="2455"/>
      <c r="J642" s="2455"/>
      <c r="K642" s="2455"/>
      <c r="L642" s="2455"/>
      <c r="M642" s="2455"/>
      <c r="N642" s="2455"/>
      <c r="O642" s="2455"/>
      <c r="P642" s="2455"/>
      <c r="Q642" s="2455"/>
      <c r="R642" s="2455"/>
      <c r="S642" s="2455"/>
      <c r="T642" s="2455"/>
      <c r="U642" s="2455"/>
      <c r="V642" s="2455"/>
      <c r="W642" s="2455"/>
      <c r="X642" s="2455"/>
      <c r="Y642" s="2455"/>
      <c r="Z642" s="2455"/>
    </row>
    <row r="643" spans="1:26" ht="12" x14ac:dyDescent="0.2">
      <c r="A643" s="2455"/>
      <c r="B643" s="2455"/>
      <c r="C643" s="2455"/>
      <c r="D643" s="2455"/>
      <c r="E643" s="2455"/>
      <c r="F643" s="2455"/>
      <c r="G643" s="2456"/>
      <c r="H643" s="2455"/>
      <c r="I643" s="2455"/>
      <c r="J643" s="2455"/>
      <c r="K643" s="2455"/>
      <c r="L643" s="2455"/>
      <c r="M643" s="2455"/>
      <c r="N643" s="2455"/>
      <c r="O643" s="2455"/>
      <c r="P643" s="2455"/>
      <c r="Q643" s="2455"/>
      <c r="R643" s="2455"/>
      <c r="S643" s="2455"/>
      <c r="T643" s="2455"/>
      <c r="U643" s="2455"/>
      <c r="V643" s="2455"/>
      <c r="W643" s="2455"/>
      <c r="X643" s="2455"/>
      <c r="Y643" s="2455"/>
      <c r="Z643" s="2455"/>
    </row>
    <row r="644" spans="1:26" ht="12" x14ac:dyDescent="0.2">
      <c r="A644" s="2455"/>
      <c r="B644" s="2455"/>
      <c r="C644" s="2455"/>
      <c r="D644" s="2455"/>
      <c r="E644" s="2455"/>
      <c r="F644" s="2455"/>
      <c r="G644" s="2456"/>
      <c r="H644" s="2455"/>
      <c r="I644" s="2455"/>
      <c r="J644" s="2455"/>
      <c r="K644" s="2455"/>
      <c r="L644" s="2455"/>
      <c r="M644" s="2455"/>
      <c r="N644" s="2455"/>
      <c r="O644" s="2455"/>
      <c r="P644" s="2455"/>
      <c r="Q644" s="2455"/>
      <c r="R644" s="2455"/>
      <c r="S644" s="2455"/>
      <c r="T644" s="2455"/>
      <c r="U644" s="2455"/>
      <c r="V644" s="2455"/>
      <c r="W644" s="2455"/>
      <c r="X644" s="2455"/>
      <c r="Y644" s="2455"/>
      <c r="Z644" s="2455"/>
    </row>
    <row r="645" spans="1:26" ht="12" x14ac:dyDescent="0.2">
      <c r="A645" s="2455"/>
      <c r="B645" s="2455"/>
      <c r="C645" s="2455"/>
      <c r="D645" s="2455"/>
      <c r="E645" s="2455"/>
      <c r="F645" s="2455"/>
      <c r="G645" s="2456"/>
      <c r="H645" s="2455"/>
      <c r="I645" s="2455"/>
      <c r="J645" s="2455"/>
      <c r="K645" s="2455"/>
      <c r="L645" s="2455"/>
      <c r="M645" s="2455"/>
      <c r="N645" s="2455"/>
      <c r="O645" s="2455"/>
      <c r="P645" s="2455"/>
      <c r="Q645" s="2455"/>
      <c r="R645" s="2455"/>
      <c r="S645" s="2455"/>
      <c r="T645" s="2455"/>
      <c r="U645" s="2455"/>
      <c r="V645" s="2455"/>
      <c r="W645" s="2455"/>
      <c r="X645" s="2455"/>
      <c r="Y645" s="2455"/>
      <c r="Z645" s="2455"/>
    </row>
    <row r="646" spans="1:26" ht="12" x14ac:dyDescent="0.2">
      <c r="A646" s="2455"/>
      <c r="B646" s="2455"/>
      <c r="C646" s="2455"/>
      <c r="D646" s="2455"/>
      <c r="E646" s="2455"/>
      <c r="F646" s="2455"/>
      <c r="G646" s="2456"/>
      <c r="H646" s="2455"/>
      <c r="I646" s="2455"/>
      <c r="J646" s="2455"/>
      <c r="K646" s="2455"/>
      <c r="L646" s="2455"/>
      <c r="M646" s="2455"/>
      <c r="N646" s="2455"/>
      <c r="O646" s="2455"/>
      <c r="P646" s="2455"/>
      <c r="Q646" s="2455"/>
      <c r="R646" s="2455"/>
      <c r="S646" s="2455"/>
      <c r="T646" s="2455"/>
      <c r="U646" s="2455"/>
      <c r="V646" s="2455"/>
      <c r="W646" s="2455"/>
      <c r="X646" s="2455"/>
      <c r="Y646" s="2455"/>
      <c r="Z646" s="2455"/>
    </row>
    <row r="647" spans="1:26" ht="12" x14ac:dyDescent="0.2">
      <c r="A647" s="2455"/>
      <c r="B647" s="2455"/>
      <c r="C647" s="2455"/>
      <c r="D647" s="2455"/>
      <c r="E647" s="2455"/>
      <c r="F647" s="2455"/>
      <c r="G647" s="2456"/>
      <c r="H647" s="2455"/>
      <c r="I647" s="2455"/>
      <c r="J647" s="2455"/>
      <c r="K647" s="2455"/>
      <c r="L647" s="2455"/>
      <c r="M647" s="2455"/>
      <c r="N647" s="2455"/>
      <c r="O647" s="2455"/>
      <c r="P647" s="2455"/>
      <c r="Q647" s="2455"/>
      <c r="R647" s="2455"/>
      <c r="S647" s="2455"/>
      <c r="T647" s="2455"/>
      <c r="U647" s="2455"/>
      <c r="V647" s="2455"/>
      <c r="W647" s="2455"/>
      <c r="X647" s="2455"/>
      <c r="Y647" s="2455"/>
      <c r="Z647" s="2455"/>
    </row>
    <row r="648" spans="1:26" ht="12" x14ac:dyDescent="0.2">
      <c r="A648" s="2455"/>
      <c r="B648" s="2455"/>
      <c r="C648" s="2455"/>
      <c r="D648" s="2455"/>
      <c r="E648" s="2455"/>
      <c r="F648" s="2455"/>
      <c r="G648" s="2456"/>
      <c r="H648" s="2455"/>
      <c r="I648" s="2455"/>
      <c r="J648" s="2455"/>
      <c r="K648" s="2455"/>
      <c r="L648" s="2455"/>
      <c r="M648" s="2455"/>
      <c r="N648" s="2455"/>
      <c r="O648" s="2455"/>
      <c r="P648" s="2455"/>
      <c r="Q648" s="2455"/>
      <c r="R648" s="2455"/>
      <c r="S648" s="2455"/>
      <c r="T648" s="2455"/>
      <c r="U648" s="2455"/>
      <c r="V648" s="2455"/>
      <c r="W648" s="2455"/>
      <c r="X648" s="2455"/>
      <c r="Y648" s="2455"/>
      <c r="Z648" s="2455"/>
    </row>
    <row r="649" spans="1:26" ht="12" x14ac:dyDescent="0.2">
      <c r="A649" s="2455"/>
      <c r="B649" s="2455"/>
      <c r="C649" s="2455"/>
      <c r="D649" s="2455"/>
      <c r="E649" s="2455"/>
      <c r="F649" s="2455"/>
      <c r="G649" s="2456"/>
      <c r="H649" s="2455"/>
      <c r="I649" s="2455"/>
      <c r="J649" s="2455"/>
      <c r="K649" s="2455"/>
      <c r="L649" s="2455"/>
      <c r="M649" s="2455"/>
      <c r="N649" s="2455"/>
      <c r="O649" s="2455"/>
      <c r="P649" s="2455"/>
      <c r="Q649" s="2455"/>
      <c r="R649" s="2455"/>
      <c r="S649" s="2455"/>
      <c r="T649" s="2455"/>
      <c r="U649" s="2455"/>
      <c r="V649" s="2455"/>
      <c r="W649" s="2455"/>
      <c r="X649" s="2455"/>
      <c r="Y649" s="2455"/>
      <c r="Z649" s="2455"/>
    </row>
    <row r="650" spans="1:26" ht="12" x14ac:dyDescent="0.2">
      <c r="A650" s="2455"/>
      <c r="B650" s="2455"/>
      <c r="C650" s="2455"/>
      <c r="D650" s="2455"/>
      <c r="E650" s="2455"/>
      <c r="F650" s="2455"/>
      <c r="G650" s="2456"/>
      <c r="H650" s="2455"/>
      <c r="I650" s="2455"/>
      <c r="J650" s="2455"/>
      <c r="K650" s="2455"/>
      <c r="L650" s="2455"/>
      <c r="M650" s="2455"/>
      <c r="N650" s="2455"/>
      <c r="O650" s="2455"/>
      <c r="P650" s="2455"/>
      <c r="Q650" s="2455"/>
      <c r="R650" s="2455"/>
      <c r="S650" s="2455"/>
      <c r="T650" s="2455"/>
      <c r="U650" s="2455"/>
      <c r="V650" s="2455"/>
      <c r="W650" s="2455"/>
      <c r="X650" s="2455"/>
      <c r="Y650" s="2455"/>
      <c r="Z650" s="2455"/>
    </row>
    <row r="651" spans="1:26" ht="12" x14ac:dyDescent="0.2">
      <c r="A651" s="2455"/>
      <c r="B651" s="2455"/>
      <c r="C651" s="2455"/>
      <c r="D651" s="2455"/>
      <c r="E651" s="2455"/>
      <c r="F651" s="2455"/>
      <c r="G651" s="2456"/>
      <c r="H651" s="2455"/>
      <c r="I651" s="2455"/>
      <c r="J651" s="2455"/>
      <c r="K651" s="2455"/>
      <c r="L651" s="2455"/>
      <c r="M651" s="2455"/>
      <c r="N651" s="2455"/>
      <c r="O651" s="2455"/>
      <c r="P651" s="2455"/>
      <c r="Q651" s="2455"/>
      <c r="R651" s="2455"/>
      <c r="S651" s="2455"/>
      <c r="T651" s="2455"/>
      <c r="U651" s="2455"/>
      <c r="V651" s="2455"/>
      <c r="W651" s="2455"/>
      <c r="X651" s="2455"/>
      <c r="Y651" s="2455"/>
      <c r="Z651" s="2455"/>
    </row>
    <row r="652" spans="1:26" ht="12" x14ac:dyDescent="0.2">
      <c r="A652" s="2455"/>
      <c r="B652" s="2455"/>
      <c r="C652" s="2455"/>
      <c r="D652" s="2455"/>
      <c r="E652" s="2455"/>
      <c r="F652" s="2455"/>
      <c r="G652" s="2456"/>
      <c r="H652" s="2455"/>
      <c r="I652" s="2455"/>
      <c r="J652" s="2455"/>
      <c r="K652" s="2455"/>
      <c r="L652" s="2455"/>
      <c r="M652" s="2455"/>
      <c r="N652" s="2455"/>
      <c r="O652" s="2455"/>
      <c r="P652" s="2455"/>
      <c r="Q652" s="2455"/>
      <c r="R652" s="2455"/>
      <c r="S652" s="2455"/>
      <c r="T652" s="2455"/>
      <c r="U652" s="2455"/>
      <c r="V652" s="2455"/>
      <c r="W652" s="2455"/>
      <c r="X652" s="2455"/>
      <c r="Y652" s="2455"/>
      <c r="Z652" s="2455"/>
    </row>
    <row r="653" spans="1:26" ht="12" x14ac:dyDescent="0.2">
      <c r="A653" s="2455"/>
      <c r="B653" s="2455"/>
      <c r="C653" s="2455"/>
      <c r="D653" s="2455"/>
      <c r="E653" s="2455"/>
      <c r="F653" s="2455"/>
      <c r="G653" s="2456"/>
      <c r="H653" s="2455"/>
      <c r="I653" s="2455"/>
      <c r="J653" s="2455"/>
      <c r="K653" s="2455"/>
      <c r="L653" s="2455"/>
      <c r="M653" s="2455"/>
      <c r="N653" s="2455"/>
      <c r="O653" s="2455"/>
      <c r="P653" s="2455"/>
      <c r="Q653" s="2455"/>
      <c r="R653" s="2455"/>
      <c r="S653" s="2455"/>
      <c r="T653" s="2455"/>
      <c r="U653" s="2455"/>
      <c r="V653" s="2455"/>
      <c r="W653" s="2455"/>
      <c r="X653" s="2455"/>
      <c r="Y653" s="2455"/>
      <c r="Z653" s="2455"/>
    </row>
    <row r="654" spans="1:26" ht="12" x14ac:dyDescent="0.2">
      <c r="A654" s="2455"/>
      <c r="B654" s="2455"/>
      <c r="C654" s="2455"/>
      <c r="D654" s="2455"/>
      <c r="E654" s="2455"/>
      <c r="F654" s="2455"/>
      <c r="G654" s="2456"/>
      <c r="H654" s="2455"/>
      <c r="I654" s="2455"/>
      <c r="J654" s="2455"/>
      <c r="K654" s="2455"/>
      <c r="L654" s="2455"/>
      <c r="M654" s="2455"/>
      <c r="N654" s="2455"/>
      <c r="O654" s="2455"/>
      <c r="P654" s="2455"/>
      <c r="Q654" s="2455"/>
      <c r="R654" s="2455"/>
      <c r="S654" s="2455"/>
      <c r="T654" s="2455"/>
      <c r="U654" s="2455"/>
      <c r="V654" s="2455"/>
      <c r="W654" s="2455"/>
      <c r="X654" s="2455"/>
      <c r="Y654" s="2455"/>
      <c r="Z654" s="2455"/>
    </row>
    <row r="655" spans="1:26" ht="12" x14ac:dyDescent="0.2">
      <c r="A655" s="2455"/>
      <c r="B655" s="2455"/>
      <c r="C655" s="2455"/>
      <c r="D655" s="2455"/>
      <c r="E655" s="2455"/>
      <c r="F655" s="2455"/>
      <c r="G655" s="2456"/>
      <c r="H655" s="2455"/>
      <c r="I655" s="2455"/>
      <c r="J655" s="2455"/>
      <c r="K655" s="2455"/>
      <c r="L655" s="2455"/>
      <c r="M655" s="2455"/>
      <c r="N655" s="2455"/>
      <c r="O655" s="2455"/>
      <c r="P655" s="2455"/>
      <c r="Q655" s="2455"/>
      <c r="R655" s="2455"/>
      <c r="S655" s="2455"/>
      <c r="T655" s="2455"/>
      <c r="U655" s="2455"/>
      <c r="V655" s="2455"/>
      <c r="W655" s="2455"/>
      <c r="X655" s="2455"/>
      <c r="Y655" s="2455"/>
      <c r="Z655" s="2455"/>
    </row>
    <row r="656" spans="1:26" ht="12" x14ac:dyDescent="0.2">
      <c r="A656" s="2455"/>
      <c r="B656" s="2455"/>
      <c r="C656" s="2455"/>
      <c r="D656" s="2455"/>
      <c r="E656" s="2455"/>
      <c r="F656" s="2455"/>
      <c r="G656" s="2456"/>
      <c r="H656" s="2455"/>
      <c r="I656" s="2455"/>
      <c r="J656" s="2455"/>
      <c r="K656" s="2455"/>
      <c r="L656" s="2455"/>
      <c r="M656" s="2455"/>
      <c r="N656" s="2455"/>
      <c r="O656" s="2455"/>
      <c r="P656" s="2455"/>
      <c r="Q656" s="2455"/>
      <c r="R656" s="2455"/>
      <c r="S656" s="2455"/>
      <c r="T656" s="2455"/>
      <c r="U656" s="2455"/>
      <c r="V656" s="2455"/>
      <c r="W656" s="2455"/>
      <c r="X656" s="2455"/>
      <c r="Y656" s="2455"/>
      <c r="Z656" s="2455"/>
    </row>
    <row r="657" spans="1:26" ht="12" x14ac:dyDescent="0.2">
      <c r="A657" s="2455"/>
      <c r="B657" s="2455"/>
      <c r="C657" s="2455"/>
      <c r="D657" s="2455"/>
      <c r="E657" s="2455"/>
      <c r="F657" s="2455"/>
      <c r="G657" s="2456"/>
      <c r="H657" s="2455"/>
      <c r="I657" s="2455"/>
      <c r="J657" s="2455"/>
      <c r="K657" s="2455"/>
      <c r="L657" s="2455"/>
      <c r="M657" s="2455"/>
      <c r="N657" s="2455"/>
      <c r="O657" s="2455"/>
      <c r="P657" s="2455"/>
      <c r="Q657" s="2455"/>
      <c r="R657" s="2455"/>
      <c r="S657" s="2455"/>
      <c r="T657" s="2455"/>
      <c r="U657" s="2455"/>
      <c r="V657" s="2455"/>
      <c r="W657" s="2455"/>
      <c r="X657" s="2455"/>
      <c r="Y657" s="2455"/>
      <c r="Z657" s="2455"/>
    </row>
    <row r="658" spans="1:26" ht="12" x14ac:dyDescent="0.2">
      <c r="A658" s="2455"/>
      <c r="B658" s="2455"/>
      <c r="C658" s="2455"/>
      <c r="D658" s="2455"/>
      <c r="E658" s="2455"/>
      <c r="F658" s="2455"/>
      <c r="G658" s="2456"/>
      <c r="H658" s="2455"/>
      <c r="I658" s="2455"/>
      <c r="J658" s="2455"/>
      <c r="K658" s="2455"/>
      <c r="L658" s="2455"/>
      <c r="M658" s="2455"/>
      <c r="N658" s="2455"/>
      <c r="O658" s="2455"/>
      <c r="P658" s="2455"/>
      <c r="Q658" s="2455"/>
      <c r="R658" s="2455"/>
      <c r="S658" s="2455"/>
      <c r="T658" s="2455"/>
      <c r="U658" s="2455"/>
      <c r="V658" s="2455"/>
      <c r="W658" s="2455"/>
      <c r="X658" s="2455"/>
      <c r="Y658" s="2455"/>
      <c r="Z658" s="2455"/>
    </row>
    <row r="659" spans="1:26" ht="12" x14ac:dyDescent="0.2">
      <c r="A659" s="2455"/>
      <c r="B659" s="2455"/>
      <c r="C659" s="2455"/>
      <c r="D659" s="2455"/>
      <c r="E659" s="2455"/>
      <c r="F659" s="2455"/>
      <c r="G659" s="2456"/>
      <c r="H659" s="2455"/>
      <c r="I659" s="2455"/>
      <c r="J659" s="2455"/>
      <c r="K659" s="2455"/>
      <c r="L659" s="2455"/>
      <c r="M659" s="2455"/>
      <c r="N659" s="2455"/>
      <c r="O659" s="2455"/>
      <c r="P659" s="2455"/>
      <c r="Q659" s="2455"/>
      <c r="R659" s="2455"/>
      <c r="S659" s="2455"/>
      <c r="T659" s="2455"/>
      <c r="U659" s="2455"/>
      <c r="V659" s="2455"/>
      <c r="W659" s="2455"/>
      <c r="X659" s="2455"/>
      <c r="Y659" s="2455"/>
      <c r="Z659" s="2455"/>
    </row>
    <row r="660" spans="1:26" ht="12" x14ac:dyDescent="0.2">
      <c r="A660" s="2455"/>
      <c r="B660" s="2455"/>
      <c r="C660" s="2455"/>
      <c r="D660" s="2455"/>
      <c r="E660" s="2455"/>
      <c r="F660" s="2455"/>
      <c r="G660" s="2456"/>
      <c r="H660" s="2455"/>
      <c r="I660" s="2455"/>
      <c r="J660" s="2455"/>
      <c r="K660" s="2455"/>
      <c r="L660" s="2455"/>
      <c r="M660" s="2455"/>
      <c r="N660" s="2455"/>
      <c r="O660" s="2455"/>
      <c r="P660" s="2455"/>
      <c r="Q660" s="2455"/>
      <c r="R660" s="2455"/>
      <c r="S660" s="2455"/>
      <c r="T660" s="2455"/>
      <c r="U660" s="2455"/>
      <c r="V660" s="2455"/>
      <c r="W660" s="2455"/>
      <c r="X660" s="2455"/>
      <c r="Y660" s="2455"/>
      <c r="Z660" s="2455"/>
    </row>
    <row r="661" spans="1:26" ht="12" x14ac:dyDescent="0.2">
      <c r="A661" s="2455"/>
      <c r="B661" s="2455"/>
      <c r="C661" s="2455"/>
      <c r="D661" s="2455"/>
      <c r="E661" s="2455"/>
      <c r="F661" s="2455"/>
      <c r="G661" s="2456"/>
      <c r="H661" s="2455"/>
      <c r="I661" s="2455"/>
      <c r="J661" s="2455"/>
      <c r="K661" s="2455"/>
      <c r="L661" s="2455"/>
      <c r="M661" s="2455"/>
      <c r="N661" s="2455"/>
      <c r="O661" s="2455"/>
      <c r="P661" s="2455"/>
      <c r="Q661" s="2455"/>
      <c r="R661" s="2455"/>
      <c r="S661" s="2455"/>
      <c r="T661" s="2455"/>
      <c r="U661" s="2455"/>
      <c r="V661" s="2455"/>
      <c r="W661" s="2455"/>
      <c r="X661" s="2455"/>
      <c r="Y661" s="2455"/>
      <c r="Z661" s="2455"/>
    </row>
    <row r="662" spans="1:26" ht="12" x14ac:dyDescent="0.2">
      <c r="A662" s="2455"/>
      <c r="B662" s="2455"/>
      <c r="C662" s="2455"/>
      <c r="D662" s="2455"/>
      <c r="E662" s="2455"/>
      <c r="F662" s="2455"/>
      <c r="G662" s="2456"/>
      <c r="H662" s="2455"/>
      <c r="I662" s="2455"/>
      <c r="J662" s="2455"/>
      <c r="K662" s="2455"/>
      <c r="L662" s="2455"/>
      <c r="M662" s="2455"/>
      <c r="N662" s="2455"/>
      <c r="O662" s="2455"/>
      <c r="P662" s="2455"/>
      <c r="Q662" s="2455"/>
      <c r="R662" s="2455"/>
      <c r="S662" s="2455"/>
      <c r="T662" s="2455"/>
      <c r="U662" s="2455"/>
      <c r="V662" s="2455"/>
      <c r="W662" s="2455"/>
      <c r="X662" s="2455"/>
      <c r="Y662" s="2455"/>
      <c r="Z662" s="2455"/>
    </row>
    <row r="663" spans="1:26" ht="12" x14ac:dyDescent="0.2">
      <c r="A663" s="2455"/>
      <c r="B663" s="2455"/>
      <c r="C663" s="2455"/>
      <c r="D663" s="2455"/>
      <c r="E663" s="2455"/>
      <c r="F663" s="2455"/>
      <c r="G663" s="2456"/>
      <c r="H663" s="2455"/>
      <c r="I663" s="2455"/>
      <c r="J663" s="2455"/>
      <c r="K663" s="2455"/>
      <c r="L663" s="2455"/>
      <c r="M663" s="2455"/>
      <c r="N663" s="2455"/>
      <c r="O663" s="2455"/>
      <c r="P663" s="2455"/>
      <c r="Q663" s="2455"/>
      <c r="R663" s="2455"/>
      <c r="S663" s="2455"/>
      <c r="T663" s="2455"/>
      <c r="U663" s="2455"/>
      <c r="V663" s="2455"/>
      <c r="W663" s="2455"/>
      <c r="X663" s="2455"/>
      <c r="Y663" s="2455"/>
      <c r="Z663" s="2455"/>
    </row>
    <row r="664" spans="1:26" ht="12" x14ac:dyDescent="0.2">
      <c r="A664" s="2455"/>
      <c r="B664" s="2455"/>
      <c r="C664" s="2455"/>
      <c r="D664" s="2455"/>
      <c r="E664" s="2455"/>
      <c r="F664" s="2455"/>
      <c r="G664" s="2456"/>
      <c r="H664" s="2455"/>
      <c r="I664" s="2455"/>
      <c r="J664" s="2455"/>
      <c r="K664" s="2455"/>
      <c r="L664" s="2455"/>
      <c r="M664" s="2455"/>
      <c r="N664" s="2455"/>
      <c r="O664" s="2455"/>
      <c r="P664" s="2455"/>
      <c r="Q664" s="2455"/>
      <c r="R664" s="2455"/>
      <c r="S664" s="2455"/>
      <c r="T664" s="2455"/>
      <c r="U664" s="2455"/>
      <c r="V664" s="2455"/>
      <c r="W664" s="2455"/>
      <c r="X664" s="2455"/>
      <c r="Y664" s="2455"/>
      <c r="Z664" s="2455"/>
    </row>
    <row r="665" spans="1:26" ht="12" x14ac:dyDescent="0.2">
      <c r="A665" s="2455"/>
      <c r="B665" s="2455"/>
      <c r="C665" s="2455"/>
      <c r="D665" s="2455"/>
      <c r="E665" s="2455"/>
      <c r="F665" s="2455"/>
      <c r="G665" s="2456"/>
      <c r="H665" s="2455"/>
      <c r="I665" s="2455"/>
      <c r="J665" s="2455"/>
      <c r="K665" s="2455"/>
      <c r="L665" s="2455"/>
      <c r="M665" s="2455"/>
      <c r="N665" s="2455"/>
      <c r="O665" s="2455"/>
      <c r="P665" s="2455"/>
      <c r="Q665" s="2455"/>
      <c r="R665" s="2455"/>
      <c r="S665" s="2455"/>
      <c r="T665" s="2455"/>
      <c r="U665" s="2455"/>
      <c r="V665" s="2455"/>
      <c r="W665" s="2455"/>
      <c r="X665" s="2455"/>
      <c r="Y665" s="2455"/>
      <c r="Z665" s="2455"/>
    </row>
    <row r="666" spans="1:26" ht="12" x14ac:dyDescent="0.2">
      <c r="A666" s="2455"/>
      <c r="B666" s="2455"/>
      <c r="C666" s="2455"/>
      <c r="D666" s="2455"/>
      <c r="E666" s="2455"/>
      <c r="F666" s="2455"/>
      <c r="G666" s="2456"/>
      <c r="H666" s="2455"/>
      <c r="I666" s="2455"/>
      <c r="J666" s="2455"/>
      <c r="K666" s="2455"/>
      <c r="L666" s="2455"/>
      <c r="M666" s="2455"/>
      <c r="N666" s="2455"/>
      <c r="O666" s="2455"/>
      <c r="P666" s="2455"/>
      <c r="Q666" s="2455"/>
      <c r="R666" s="2455"/>
      <c r="S666" s="2455"/>
      <c r="T666" s="2455"/>
      <c r="U666" s="2455"/>
      <c r="V666" s="2455"/>
      <c r="W666" s="2455"/>
      <c r="X666" s="2455"/>
      <c r="Y666" s="2455"/>
      <c r="Z666" s="2455"/>
    </row>
    <row r="667" spans="1:26" ht="12" x14ac:dyDescent="0.2">
      <c r="A667" s="2455"/>
      <c r="B667" s="2455"/>
      <c r="C667" s="2455"/>
      <c r="D667" s="2455"/>
      <c r="E667" s="2455"/>
      <c r="F667" s="2455"/>
      <c r="G667" s="2456"/>
      <c r="H667" s="2455"/>
      <c r="I667" s="2455"/>
      <c r="J667" s="2455"/>
      <c r="K667" s="2455"/>
      <c r="L667" s="2455"/>
      <c r="M667" s="2455"/>
      <c r="N667" s="2455"/>
      <c r="O667" s="2455"/>
      <c r="P667" s="2455"/>
      <c r="Q667" s="2455"/>
      <c r="R667" s="2455"/>
      <c r="S667" s="2455"/>
      <c r="T667" s="2455"/>
      <c r="U667" s="2455"/>
      <c r="V667" s="2455"/>
      <c r="W667" s="2455"/>
      <c r="X667" s="2455"/>
      <c r="Y667" s="2455"/>
      <c r="Z667" s="2455"/>
    </row>
    <row r="668" spans="1:26" ht="12" x14ac:dyDescent="0.2">
      <c r="A668" s="2455"/>
      <c r="B668" s="2455"/>
      <c r="C668" s="2455"/>
      <c r="D668" s="2455"/>
      <c r="E668" s="2455"/>
      <c r="F668" s="2455"/>
      <c r="G668" s="2456"/>
      <c r="H668" s="2455"/>
      <c r="I668" s="2455"/>
      <c r="J668" s="2455"/>
      <c r="K668" s="2455"/>
      <c r="L668" s="2455"/>
      <c r="M668" s="2455"/>
      <c r="N668" s="2455"/>
      <c r="O668" s="2455"/>
      <c r="P668" s="2455"/>
      <c r="Q668" s="2455"/>
      <c r="R668" s="2455"/>
      <c r="S668" s="2455"/>
      <c r="T668" s="2455"/>
      <c r="U668" s="2455"/>
      <c r="V668" s="2455"/>
      <c r="W668" s="2455"/>
      <c r="X668" s="2455"/>
      <c r="Y668" s="2455"/>
      <c r="Z668" s="2455"/>
    </row>
    <row r="669" spans="1:26" ht="12" x14ac:dyDescent="0.2">
      <c r="A669" s="2455"/>
      <c r="B669" s="2455"/>
      <c r="C669" s="2455"/>
      <c r="D669" s="2455"/>
      <c r="E669" s="2455"/>
      <c r="F669" s="2455"/>
      <c r="G669" s="2456"/>
      <c r="H669" s="2455"/>
      <c r="I669" s="2455"/>
      <c r="J669" s="2455"/>
      <c r="K669" s="2455"/>
      <c r="L669" s="2455"/>
      <c r="M669" s="2455"/>
      <c r="N669" s="2455"/>
      <c r="O669" s="2455"/>
      <c r="P669" s="2455"/>
      <c r="Q669" s="2455"/>
      <c r="R669" s="2455"/>
      <c r="S669" s="2455"/>
      <c r="T669" s="2455"/>
      <c r="U669" s="2455"/>
      <c r="V669" s="2455"/>
      <c r="W669" s="2455"/>
      <c r="X669" s="2455"/>
      <c r="Y669" s="2455"/>
      <c r="Z669" s="2455"/>
    </row>
    <row r="670" spans="1:26" ht="12" x14ac:dyDescent="0.2">
      <c r="A670" s="2455"/>
      <c r="B670" s="2455"/>
      <c r="C670" s="2455"/>
      <c r="D670" s="2455"/>
      <c r="E670" s="2455"/>
      <c r="F670" s="2455"/>
      <c r="G670" s="2456"/>
      <c r="H670" s="2455"/>
      <c r="I670" s="2455"/>
      <c r="J670" s="2455"/>
      <c r="K670" s="2455"/>
      <c r="L670" s="2455"/>
      <c r="M670" s="2455"/>
      <c r="N670" s="2455"/>
      <c r="O670" s="2455"/>
      <c r="P670" s="2455"/>
      <c r="Q670" s="2455"/>
      <c r="R670" s="2455"/>
      <c r="S670" s="2455"/>
      <c r="T670" s="2455"/>
      <c r="U670" s="2455"/>
      <c r="V670" s="2455"/>
      <c r="W670" s="2455"/>
      <c r="X670" s="2455"/>
      <c r="Y670" s="2455"/>
      <c r="Z670" s="2455"/>
    </row>
    <row r="671" spans="1:26" ht="12" x14ac:dyDescent="0.2">
      <c r="A671" s="2455"/>
      <c r="B671" s="2455"/>
      <c r="C671" s="2455"/>
      <c r="D671" s="2455"/>
      <c r="E671" s="2455"/>
      <c r="F671" s="2455"/>
      <c r="G671" s="2456"/>
      <c r="H671" s="2455"/>
      <c r="I671" s="2455"/>
      <c r="J671" s="2455"/>
      <c r="K671" s="2455"/>
      <c r="L671" s="2455"/>
      <c r="M671" s="2455"/>
      <c r="N671" s="2455"/>
      <c r="O671" s="2455"/>
      <c r="P671" s="2455"/>
      <c r="Q671" s="2455"/>
      <c r="R671" s="2455"/>
      <c r="S671" s="2455"/>
      <c r="T671" s="2455"/>
      <c r="U671" s="2455"/>
      <c r="V671" s="2455"/>
      <c r="W671" s="2455"/>
      <c r="X671" s="2455"/>
      <c r="Y671" s="2455"/>
      <c r="Z671" s="2455"/>
    </row>
    <row r="672" spans="1:26" ht="12" x14ac:dyDescent="0.2">
      <c r="A672" s="2455"/>
      <c r="B672" s="2455"/>
      <c r="C672" s="2455"/>
      <c r="D672" s="2455"/>
      <c r="E672" s="2455"/>
      <c r="F672" s="2455"/>
      <c r="G672" s="2456"/>
      <c r="H672" s="2455"/>
      <c r="I672" s="2455"/>
      <c r="J672" s="2455"/>
      <c r="K672" s="2455"/>
      <c r="L672" s="2455"/>
      <c r="M672" s="2455"/>
      <c r="N672" s="2455"/>
      <c r="O672" s="2455"/>
      <c r="P672" s="2455"/>
      <c r="Q672" s="2455"/>
      <c r="R672" s="2455"/>
      <c r="S672" s="2455"/>
      <c r="T672" s="2455"/>
      <c r="U672" s="2455"/>
      <c r="V672" s="2455"/>
      <c r="W672" s="2455"/>
      <c r="X672" s="2455"/>
      <c r="Y672" s="2455"/>
      <c r="Z672" s="2455"/>
    </row>
    <row r="673" spans="1:26" ht="12" x14ac:dyDescent="0.2">
      <c r="A673" s="2455"/>
      <c r="B673" s="2455"/>
      <c r="C673" s="2455"/>
      <c r="D673" s="2455"/>
      <c r="E673" s="2455"/>
      <c r="F673" s="2455"/>
      <c r="G673" s="2456"/>
      <c r="H673" s="2455"/>
      <c r="I673" s="2455"/>
      <c r="J673" s="2455"/>
      <c r="K673" s="2455"/>
      <c r="L673" s="2455"/>
      <c r="M673" s="2455"/>
      <c r="N673" s="2455"/>
      <c r="O673" s="2455"/>
      <c r="P673" s="2455"/>
      <c r="Q673" s="2455"/>
      <c r="R673" s="2455"/>
      <c r="S673" s="2455"/>
      <c r="T673" s="2455"/>
      <c r="U673" s="2455"/>
      <c r="V673" s="2455"/>
      <c r="W673" s="2455"/>
      <c r="X673" s="2455"/>
      <c r="Y673" s="2455"/>
      <c r="Z673" s="2455"/>
    </row>
    <row r="674" spans="1:26" ht="12" x14ac:dyDescent="0.2">
      <c r="A674" s="2455"/>
      <c r="B674" s="2455"/>
      <c r="C674" s="2455"/>
      <c r="D674" s="2455"/>
      <c r="E674" s="2455"/>
      <c r="F674" s="2455"/>
      <c r="G674" s="2456"/>
      <c r="H674" s="2455"/>
      <c r="I674" s="2455"/>
      <c r="J674" s="2455"/>
      <c r="K674" s="2455"/>
      <c r="L674" s="2455"/>
      <c r="M674" s="2455"/>
      <c r="N674" s="2455"/>
      <c r="O674" s="2455"/>
      <c r="P674" s="2455"/>
      <c r="Q674" s="2455"/>
      <c r="R674" s="2455"/>
      <c r="S674" s="2455"/>
      <c r="T674" s="2455"/>
      <c r="U674" s="2455"/>
      <c r="V674" s="2455"/>
      <c r="W674" s="2455"/>
      <c r="X674" s="2455"/>
      <c r="Y674" s="2455"/>
      <c r="Z674" s="2455"/>
    </row>
    <row r="675" spans="1:26" ht="12" x14ac:dyDescent="0.2">
      <c r="A675" s="2455"/>
      <c r="B675" s="2455"/>
      <c r="C675" s="2455"/>
      <c r="D675" s="2455"/>
      <c r="E675" s="2455"/>
      <c r="F675" s="2455"/>
      <c r="G675" s="2456"/>
      <c r="H675" s="2455"/>
      <c r="I675" s="2455"/>
      <c r="J675" s="2455"/>
      <c r="K675" s="2455"/>
      <c r="L675" s="2455"/>
      <c r="M675" s="2455"/>
      <c r="N675" s="2455"/>
      <c r="O675" s="2455"/>
      <c r="P675" s="2455"/>
      <c r="Q675" s="2455"/>
      <c r="R675" s="2455"/>
      <c r="S675" s="2455"/>
      <c r="T675" s="2455"/>
      <c r="U675" s="2455"/>
      <c r="V675" s="2455"/>
      <c r="W675" s="2455"/>
      <c r="X675" s="2455"/>
      <c r="Y675" s="2455"/>
      <c r="Z675" s="2455"/>
    </row>
    <row r="676" spans="1:26" ht="12" x14ac:dyDescent="0.2">
      <c r="A676" s="2455"/>
      <c r="B676" s="2455"/>
      <c r="C676" s="2455"/>
      <c r="D676" s="2455"/>
      <c r="E676" s="2455"/>
      <c r="F676" s="2455"/>
      <c r="G676" s="2456"/>
      <c r="H676" s="2455"/>
      <c r="I676" s="2455"/>
      <c r="J676" s="2455"/>
      <c r="K676" s="2455"/>
      <c r="L676" s="2455"/>
      <c r="M676" s="2455"/>
      <c r="N676" s="2455"/>
      <c r="O676" s="2455"/>
      <c r="P676" s="2455"/>
      <c r="Q676" s="2455"/>
      <c r="R676" s="2455"/>
      <c r="S676" s="2455"/>
      <c r="T676" s="2455"/>
      <c r="U676" s="2455"/>
      <c r="V676" s="2455"/>
      <c r="W676" s="2455"/>
      <c r="X676" s="2455"/>
      <c r="Y676" s="2455"/>
      <c r="Z676" s="2455"/>
    </row>
    <row r="677" spans="1:26" ht="12" x14ac:dyDescent="0.2">
      <c r="A677" s="2455"/>
      <c r="B677" s="2455"/>
      <c r="C677" s="2455"/>
      <c r="D677" s="2455"/>
      <c r="E677" s="2455"/>
      <c r="F677" s="2455"/>
      <c r="G677" s="2456"/>
      <c r="H677" s="2455"/>
      <c r="I677" s="2455"/>
      <c r="J677" s="2455"/>
      <c r="K677" s="2455"/>
      <c r="L677" s="2455"/>
      <c r="M677" s="2455"/>
      <c r="N677" s="2455"/>
      <c r="O677" s="2455"/>
      <c r="P677" s="2455"/>
      <c r="Q677" s="2455"/>
      <c r="R677" s="2455"/>
      <c r="S677" s="2455"/>
      <c r="T677" s="2455"/>
      <c r="U677" s="2455"/>
      <c r="V677" s="2455"/>
      <c r="W677" s="2455"/>
      <c r="X677" s="2455"/>
      <c r="Y677" s="2455"/>
      <c r="Z677" s="2455"/>
    </row>
    <row r="678" spans="1:26" ht="12" x14ac:dyDescent="0.2">
      <c r="A678" s="2455"/>
      <c r="B678" s="2455"/>
      <c r="C678" s="2455"/>
      <c r="D678" s="2455"/>
      <c r="E678" s="2455"/>
      <c r="F678" s="2455"/>
      <c r="G678" s="2456"/>
      <c r="H678" s="2455"/>
      <c r="I678" s="2455"/>
      <c r="J678" s="2455"/>
      <c r="K678" s="2455"/>
      <c r="L678" s="2455"/>
      <c r="M678" s="2455"/>
      <c r="N678" s="2455"/>
      <c r="O678" s="2455"/>
      <c r="P678" s="2455"/>
      <c r="Q678" s="2455"/>
      <c r="R678" s="2455"/>
      <c r="S678" s="2455"/>
      <c r="T678" s="2455"/>
      <c r="U678" s="2455"/>
      <c r="V678" s="2455"/>
      <c r="W678" s="2455"/>
      <c r="X678" s="2455"/>
      <c r="Y678" s="2455"/>
      <c r="Z678" s="2455"/>
    </row>
    <row r="679" spans="1:26" ht="12" x14ac:dyDescent="0.2">
      <c r="A679" s="2455"/>
      <c r="B679" s="2455"/>
      <c r="C679" s="2455"/>
      <c r="D679" s="2455"/>
      <c r="E679" s="2455"/>
      <c r="F679" s="2455"/>
      <c r="G679" s="2456"/>
      <c r="H679" s="2455"/>
      <c r="I679" s="2455"/>
      <c r="J679" s="2455"/>
      <c r="K679" s="2455"/>
      <c r="L679" s="2455"/>
      <c r="M679" s="2455"/>
      <c r="N679" s="2455"/>
      <c r="O679" s="2455"/>
      <c r="P679" s="2455"/>
      <c r="Q679" s="2455"/>
      <c r="R679" s="2455"/>
      <c r="S679" s="2455"/>
      <c r="T679" s="2455"/>
      <c r="U679" s="2455"/>
      <c r="V679" s="2455"/>
      <c r="W679" s="2455"/>
      <c r="X679" s="2455"/>
      <c r="Y679" s="2455"/>
      <c r="Z679" s="2455"/>
    </row>
    <row r="680" spans="1:26" ht="12" x14ac:dyDescent="0.2">
      <c r="A680" s="2455"/>
      <c r="B680" s="2455"/>
      <c r="C680" s="2455"/>
      <c r="D680" s="2455"/>
      <c r="E680" s="2455"/>
      <c r="F680" s="2455"/>
      <c r="G680" s="2456"/>
      <c r="H680" s="2455"/>
      <c r="I680" s="2455"/>
      <c r="J680" s="2455"/>
      <c r="K680" s="2455"/>
      <c r="L680" s="2455"/>
      <c r="M680" s="2455"/>
      <c r="N680" s="2455"/>
      <c r="O680" s="2455"/>
      <c r="P680" s="2455"/>
      <c r="Q680" s="2455"/>
      <c r="R680" s="2455"/>
      <c r="S680" s="2455"/>
      <c r="T680" s="2455"/>
      <c r="U680" s="2455"/>
      <c r="V680" s="2455"/>
      <c r="W680" s="2455"/>
      <c r="X680" s="2455"/>
      <c r="Y680" s="2455"/>
      <c r="Z680" s="2455"/>
    </row>
    <row r="681" spans="1:26" ht="12" x14ac:dyDescent="0.2">
      <c r="A681" s="2455"/>
      <c r="B681" s="2455"/>
      <c r="C681" s="2455"/>
      <c r="D681" s="2455"/>
      <c r="E681" s="2455"/>
      <c r="F681" s="2455"/>
      <c r="G681" s="2456"/>
      <c r="H681" s="2455"/>
      <c r="I681" s="2455"/>
      <c r="J681" s="2455"/>
      <c r="K681" s="2455"/>
      <c r="L681" s="2455"/>
      <c r="M681" s="2455"/>
      <c r="N681" s="2455"/>
      <c r="O681" s="2455"/>
      <c r="P681" s="2455"/>
      <c r="Q681" s="2455"/>
      <c r="R681" s="2455"/>
      <c r="S681" s="2455"/>
      <c r="T681" s="2455"/>
      <c r="U681" s="2455"/>
      <c r="V681" s="2455"/>
      <c r="W681" s="2455"/>
      <c r="X681" s="2455"/>
      <c r="Y681" s="2455"/>
      <c r="Z681" s="2455"/>
    </row>
    <row r="682" spans="1:26" ht="12" x14ac:dyDescent="0.2">
      <c r="A682" s="2455"/>
      <c r="B682" s="2455"/>
      <c r="C682" s="2455"/>
      <c r="D682" s="2455"/>
      <c r="E682" s="2455"/>
      <c r="F682" s="2455"/>
      <c r="G682" s="2456"/>
      <c r="H682" s="2455"/>
      <c r="I682" s="2455"/>
      <c r="J682" s="2455"/>
      <c r="K682" s="2455"/>
      <c r="L682" s="2455"/>
      <c r="M682" s="2455"/>
      <c r="N682" s="2455"/>
      <c r="O682" s="2455"/>
      <c r="P682" s="2455"/>
      <c r="Q682" s="2455"/>
      <c r="R682" s="2455"/>
      <c r="S682" s="2455"/>
      <c r="T682" s="2455"/>
      <c r="U682" s="2455"/>
      <c r="V682" s="2455"/>
      <c r="W682" s="2455"/>
      <c r="X682" s="2455"/>
      <c r="Y682" s="2455"/>
      <c r="Z682" s="2455"/>
    </row>
    <row r="683" spans="1:26" ht="12" x14ac:dyDescent="0.2">
      <c r="A683" s="2455"/>
      <c r="B683" s="2455"/>
      <c r="C683" s="2455"/>
      <c r="D683" s="2455"/>
      <c r="E683" s="2455"/>
      <c r="F683" s="2455"/>
      <c r="G683" s="2456"/>
      <c r="H683" s="2455"/>
      <c r="I683" s="2455"/>
      <c r="J683" s="2455"/>
      <c r="K683" s="2455"/>
      <c r="L683" s="2455"/>
      <c r="M683" s="2455"/>
      <c r="N683" s="2455"/>
      <c r="O683" s="2455"/>
      <c r="P683" s="2455"/>
      <c r="Q683" s="2455"/>
      <c r="R683" s="2455"/>
      <c r="S683" s="2455"/>
      <c r="T683" s="2455"/>
      <c r="U683" s="2455"/>
      <c r="V683" s="2455"/>
      <c r="W683" s="2455"/>
      <c r="X683" s="2455"/>
      <c r="Y683" s="2455"/>
      <c r="Z683" s="2455"/>
    </row>
    <row r="684" spans="1:26" ht="12" x14ac:dyDescent="0.2">
      <c r="A684" s="2455"/>
      <c r="B684" s="2455"/>
      <c r="C684" s="2455"/>
      <c r="D684" s="2455"/>
      <c r="E684" s="2455"/>
      <c r="F684" s="2455"/>
      <c r="G684" s="2456"/>
      <c r="H684" s="2455"/>
      <c r="I684" s="2455"/>
      <c r="J684" s="2455"/>
      <c r="K684" s="2455"/>
      <c r="L684" s="2455"/>
      <c r="M684" s="2455"/>
      <c r="N684" s="2455"/>
      <c r="O684" s="2455"/>
      <c r="P684" s="2455"/>
      <c r="Q684" s="2455"/>
      <c r="R684" s="2455"/>
      <c r="S684" s="2455"/>
      <c r="T684" s="2455"/>
      <c r="U684" s="2455"/>
      <c r="V684" s="2455"/>
      <c r="W684" s="2455"/>
      <c r="X684" s="2455"/>
      <c r="Y684" s="2455"/>
      <c r="Z684" s="2455"/>
    </row>
    <row r="685" spans="1:26" ht="12" x14ac:dyDescent="0.2">
      <c r="A685" s="2455"/>
      <c r="B685" s="2455"/>
      <c r="C685" s="2455"/>
      <c r="D685" s="2455"/>
      <c r="E685" s="2455"/>
      <c r="F685" s="2455"/>
      <c r="G685" s="2456"/>
      <c r="H685" s="2455"/>
      <c r="I685" s="2455"/>
      <c r="J685" s="2455"/>
      <c r="K685" s="2455"/>
      <c r="L685" s="2455"/>
      <c r="M685" s="2455"/>
      <c r="N685" s="2455"/>
      <c r="O685" s="2455"/>
      <c r="P685" s="2455"/>
      <c r="Q685" s="2455"/>
      <c r="R685" s="2455"/>
      <c r="S685" s="2455"/>
      <c r="T685" s="2455"/>
      <c r="U685" s="2455"/>
      <c r="V685" s="2455"/>
      <c r="W685" s="2455"/>
      <c r="X685" s="2455"/>
      <c r="Y685" s="2455"/>
      <c r="Z685" s="2455"/>
    </row>
    <row r="686" spans="1:26" ht="12" x14ac:dyDescent="0.2">
      <c r="A686" s="2455"/>
      <c r="B686" s="2455"/>
      <c r="C686" s="2455"/>
      <c r="D686" s="2455"/>
      <c r="E686" s="2455"/>
      <c r="F686" s="2455"/>
      <c r="G686" s="2456"/>
      <c r="H686" s="2455"/>
      <c r="I686" s="2455"/>
      <c r="J686" s="2455"/>
      <c r="K686" s="2455"/>
      <c r="L686" s="2455"/>
      <c r="M686" s="2455"/>
      <c r="N686" s="2455"/>
      <c r="O686" s="2455"/>
      <c r="P686" s="2455"/>
      <c r="Q686" s="2455"/>
      <c r="R686" s="2455"/>
      <c r="S686" s="2455"/>
      <c r="T686" s="2455"/>
      <c r="U686" s="2455"/>
      <c r="V686" s="2455"/>
      <c r="W686" s="2455"/>
      <c r="X686" s="2455"/>
      <c r="Y686" s="2455"/>
      <c r="Z686" s="2455"/>
    </row>
    <row r="687" spans="1:26" ht="12" x14ac:dyDescent="0.2">
      <c r="A687" s="2455"/>
      <c r="B687" s="2455"/>
      <c r="C687" s="2455"/>
      <c r="D687" s="2455"/>
      <c r="E687" s="2455"/>
      <c r="F687" s="2455"/>
      <c r="G687" s="2456"/>
      <c r="H687" s="2455"/>
      <c r="I687" s="2455"/>
      <c r="J687" s="2455"/>
      <c r="K687" s="2455"/>
      <c r="L687" s="2455"/>
      <c r="M687" s="2455"/>
      <c r="N687" s="2455"/>
      <c r="O687" s="2455"/>
      <c r="P687" s="2455"/>
      <c r="Q687" s="2455"/>
      <c r="R687" s="2455"/>
      <c r="S687" s="2455"/>
      <c r="T687" s="2455"/>
      <c r="U687" s="2455"/>
      <c r="V687" s="2455"/>
      <c r="W687" s="2455"/>
      <c r="X687" s="2455"/>
      <c r="Y687" s="2455"/>
      <c r="Z687" s="2455"/>
    </row>
    <row r="688" spans="1:26" ht="12" x14ac:dyDescent="0.2">
      <c r="A688" s="2455"/>
      <c r="B688" s="2455"/>
      <c r="C688" s="2455"/>
      <c r="D688" s="2455"/>
      <c r="E688" s="2455"/>
      <c r="F688" s="2455"/>
      <c r="G688" s="2456"/>
      <c r="H688" s="2455"/>
      <c r="I688" s="2455"/>
      <c r="J688" s="2455"/>
      <c r="K688" s="2455"/>
      <c r="L688" s="2455"/>
      <c r="M688" s="2455"/>
      <c r="N688" s="2455"/>
      <c r="O688" s="2455"/>
      <c r="P688" s="2455"/>
      <c r="Q688" s="2455"/>
      <c r="R688" s="2455"/>
      <c r="S688" s="2455"/>
      <c r="T688" s="2455"/>
      <c r="U688" s="2455"/>
      <c r="V688" s="2455"/>
      <c r="W688" s="2455"/>
      <c r="X688" s="2455"/>
      <c r="Y688" s="2455"/>
      <c r="Z688" s="2455"/>
    </row>
    <row r="689" spans="1:26" ht="12" x14ac:dyDescent="0.2">
      <c r="A689" s="2455"/>
      <c r="B689" s="2455"/>
      <c r="C689" s="2455"/>
      <c r="D689" s="2455"/>
      <c r="E689" s="2455"/>
      <c r="F689" s="2455"/>
      <c r="G689" s="2456"/>
      <c r="H689" s="2455"/>
      <c r="I689" s="2455"/>
      <c r="J689" s="2455"/>
      <c r="K689" s="2455"/>
      <c r="L689" s="2455"/>
      <c r="M689" s="2455"/>
      <c r="N689" s="2455"/>
      <c r="O689" s="2455"/>
      <c r="P689" s="2455"/>
      <c r="Q689" s="2455"/>
      <c r="R689" s="2455"/>
      <c r="S689" s="2455"/>
      <c r="T689" s="2455"/>
      <c r="U689" s="2455"/>
      <c r="V689" s="2455"/>
      <c r="W689" s="2455"/>
      <c r="X689" s="2455"/>
      <c r="Y689" s="2455"/>
      <c r="Z689" s="2455"/>
    </row>
    <row r="690" spans="1:26" ht="12" x14ac:dyDescent="0.2">
      <c r="A690" s="2455"/>
      <c r="B690" s="2455"/>
      <c r="C690" s="2455"/>
      <c r="D690" s="2455"/>
      <c r="E690" s="2455"/>
      <c r="F690" s="2455"/>
      <c r="G690" s="2456"/>
      <c r="H690" s="2455"/>
      <c r="I690" s="2455"/>
      <c r="J690" s="2455"/>
      <c r="K690" s="2455"/>
      <c r="L690" s="2455"/>
      <c r="M690" s="2455"/>
      <c r="N690" s="2455"/>
      <c r="O690" s="2455"/>
      <c r="P690" s="2455"/>
      <c r="Q690" s="2455"/>
      <c r="R690" s="2455"/>
      <c r="S690" s="2455"/>
      <c r="T690" s="2455"/>
      <c r="U690" s="2455"/>
      <c r="V690" s="2455"/>
      <c r="W690" s="2455"/>
      <c r="X690" s="2455"/>
      <c r="Y690" s="2455"/>
      <c r="Z690" s="2455"/>
    </row>
    <row r="691" spans="1:26" ht="12" x14ac:dyDescent="0.2">
      <c r="A691" s="2455"/>
      <c r="B691" s="2455"/>
      <c r="C691" s="2455"/>
      <c r="D691" s="2455"/>
      <c r="E691" s="2455"/>
      <c r="F691" s="2455"/>
      <c r="G691" s="2456"/>
      <c r="H691" s="2455"/>
      <c r="I691" s="2455"/>
      <c r="J691" s="2455"/>
      <c r="K691" s="2455"/>
      <c r="L691" s="2455"/>
      <c r="M691" s="2455"/>
      <c r="N691" s="2455"/>
      <c r="O691" s="2455"/>
      <c r="P691" s="2455"/>
      <c r="Q691" s="2455"/>
      <c r="R691" s="2455"/>
      <c r="S691" s="2455"/>
      <c r="T691" s="2455"/>
      <c r="U691" s="2455"/>
      <c r="V691" s="2455"/>
      <c r="W691" s="2455"/>
      <c r="X691" s="2455"/>
      <c r="Y691" s="2455"/>
      <c r="Z691" s="2455"/>
    </row>
    <row r="692" spans="1:26" ht="12" x14ac:dyDescent="0.2">
      <c r="A692" s="2455"/>
      <c r="B692" s="2455"/>
      <c r="C692" s="2455"/>
      <c r="D692" s="2455"/>
      <c r="E692" s="2455"/>
      <c r="F692" s="2455"/>
      <c r="G692" s="2456"/>
      <c r="H692" s="2455"/>
      <c r="I692" s="2455"/>
      <c r="J692" s="2455"/>
      <c r="K692" s="2455"/>
      <c r="L692" s="2455"/>
      <c r="M692" s="2455"/>
      <c r="N692" s="2455"/>
      <c r="O692" s="2455"/>
      <c r="P692" s="2455"/>
      <c r="Q692" s="2455"/>
      <c r="R692" s="2455"/>
      <c r="S692" s="2455"/>
      <c r="T692" s="2455"/>
      <c r="U692" s="2455"/>
      <c r="V692" s="2455"/>
      <c r="W692" s="2455"/>
      <c r="X692" s="2455"/>
      <c r="Y692" s="2455"/>
      <c r="Z692" s="2455"/>
    </row>
    <row r="693" spans="1:26" ht="12" x14ac:dyDescent="0.2">
      <c r="A693" s="2455"/>
      <c r="B693" s="2455"/>
      <c r="C693" s="2455"/>
      <c r="D693" s="2455"/>
      <c r="E693" s="2455"/>
      <c r="F693" s="2455"/>
      <c r="G693" s="2456"/>
      <c r="H693" s="2455"/>
      <c r="I693" s="2455"/>
      <c r="J693" s="2455"/>
      <c r="K693" s="2455"/>
      <c r="L693" s="2455"/>
      <c r="M693" s="2455"/>
      <c r="N693" s="2455"/>
      <c r="O693" s="2455"/>
      <c r="P693" s="2455"/>
      <c r="Q693" s="2455"/>
      <c r="R693" s="2455"/>
      <c r="S693" s="2455"/>
      <c r="T693" s="2455"/>
      <c r="U693" s="2455"/>
      <c r="V693" s="2455"/>
      <c r="W693" s="2455"/>
      <c r="X693" s="2455"/>
      <c r="Y693" s="2455"/>
      <c r="Z693" s="2455"/>
    </row>
    <row r="694" spans="1:26" ht="12" x14ac:dyDescent="0.2">
      <c r="A694" s="2455"/>
      <c r="B694" s="2455"/>
      <c r="C694" s="2455"/>
      <c r="D694" s="2455"/>
      <c r="E694" s="2455"/>
      <c r="F694" s="2455"/>
      <c r="G694" s="2456"/>
      <c r="H694" s="2455"/>
      <c r="I694" s="2455"/>
      <c r="J694" s="2455"/>
      <c r="K694" s="2455"/>
      <c r="L694" s="2455"/>
      <c r="M694" s="2455"/>
      <c r="N694" s="2455"/>
      <c r="O694" s="2455"/>
      <c r="P694" s="2455"/>
      <c r="Q694" s="2455"/>
      <c r="R694" s="2455"/>
      <c r="S694" s="2455"/>
      <c r="T694" s="2455"/>
      <c r="U694" s="2455"/>
      <c r="V694" s="2455"/>
      <c r="W694" s="2455"/>
      <c r="X694" s="2455"/>
      <c r="Y694" s="2455"/>
      <c r="Z694" s="2455"/>
    </row>
    <row r="695" spans="1:26" ht="12" x14ac:dyDescent="0.2">
      <c r="A695" s="2455"/>
      <c r="B695" s="2455"/>
      <c r="C695" s="2455"/>
      <c r="D695" s="2455"/>
      <c r="E695" s="2455"/>
      <c r="F695" s="2455"/>
      <c r="G695" s="2456"/>
      <c r="H695" s="2455"/>
      <c r="I695" s="2455"/>
      <c r="J695" s="2455"/>
      <c r="K695" s="2455"/>
      <c r="L695" s="2455"/>
      <c r="M695" s="2455"/>
      <c r="N695" s="2455"/>
      <c r="O695" s="2455"/>
      <c r="P695" s="2455"/>
      <c r="Q695" s="2455"/>
      <c r="R695" s="2455"/>
      <c r="S695" s="2455"/>
      <c r="T695" s="2455"/>
      <c r="U695" s="2455"/>
      <c r="V695" s="2455"/>
      <c r="W695" s="2455"/>
      <c r="X695" s="2455"/>
      <c r="Y695" s="2455"/>
      <c r="Z695" s="2455"/>
    </row>
    <row r="696" spans="1:26" ht="12" x14ac:dyDescent="0.2">
      <c r="A696" s="2455"/>
      <c r="B696" s="2455"/>
      <c r="C696" s="2455"/>
      <c r="D696" s="2455"/>
      <c r="E696" s="2455"/>
      <c r="F696" s="2455"/>
      <c r="G696" s="2456"/>
      <c r="H696" s="2455"/>
      <c r="I696" s="2455"/>
      <c r="J696" s="2455"/>
      <c r="K696" s="2455"/>
      <c r="L696" s="2455"/>
      <c r="M696" s="2455"/>
      <c r="N696" s="2455"/>
      <c r="O696" s="2455"/>
      <c r="P696" s="2455"/>
      <c r="Q696" s="2455"/>
      <c r="R696" s="2455"/>
      <c r="S696" s="2455"/>
      <c r="T696" s="2455"/>
      <c r="U696" s="2455"/>
      <c r="V696" s="2455"/>
      <c r="W696" s="2455"/>
      <c r="X696" s="2455"/>
      <c r="Y696" s="2455"/>
      <c r="Z696" s="2455"/>
    </row>
    <row r="697" spans="1:26" ht="12" x14ac:dyDescent="0.2">
      <c r="A697" s="2455"/>
      <c r="B697" s="2455"/>
      <c r="C697" s="2455"/>
      <c r="D697" s="2455"/>
      <c r="E697" s="2455"/>
      <c r="F697" s="2455"/>
      <c r="G697" s="2456"/>
      <c r="H697" s="2455"/>
      <c r="I697" s="2455"/>
      <c r="J697" s="2455"/>
      <c r="K697" s="2455"/>
      <c r="L697" s="2455"/>
      <c r="M697" s="2455"/>
      <c r="N697" s="2455"/>
      <c r="O697" s="2455"/>
      <c r="P697" s="2455"/>
      <c r="Q697" s="2455"/>
      <c r="R697" s="2455"/>
      <c r="S697" s="2455"/>
      <c r="T697" s="2455"/>
      <c r="U697" s="2455"/>
      <c r="V697" s="2455"/>
      <c r="W697" s="2455"/>
      <c r="X697" s="2455"/>
      <c r="Y697" s="2455"/>
      <c r="Z697" s="2455"/>
    </row>
    <row r="698" spans="1:26" ht="12" x14ac:dyDescent="0.2">
      <c r="A698" s="2455"/>
      <c r="B698" s="2455"/>
      <c r="C698" s="2455"/>
      <c r="D698" s="2455"/>
      <c r="E698" s="2455"/>
      <c r="F698" s="2455"/>
      <c r="G698" s="2456"/>
      <c r="H698" s="2455"/>
      <c r="I698" s="2455"/>
      <c r="J698" s="2455"/>
      <c r="K698" s="2455"/>
      <c r="L698" s="2455"/>
      <c r="M698" s="2455"/>
      <c r="N698" s="2455"/>
      <c r="O698" s="2455"/>
      <c r="P698" s="2455"/>
      <c r="Q698" s="2455"/>
      <c r="R698" s="2455"/>
      <c r="S698" s="2455"/>
      <c r="T698" s="2455"/>
      <c r="U698" s="2455"/>
      <c r="V698" s="2455"/>
      <c r="W698" s="2455"/>
      <c r="X698" s="2455"/>
      <c r="Y698" s="2455"/>
      <c r="Z698" s="2455"/>
    </row>
    <row r="699" spans="1:26" ht="12" x14ac:dyDescent="0.2">
      <c r="A699" s="2455"/>
      <c r="B699" s="2455"/>
      <c r="C699" s="2455"/>
      <c r="D699" s="2455"/>
      <c r="E699" s="2455"/>
      <c r="F699" s="2455"/>
      <c r="G699" s="2456"/>
      <c r="H699" s="2455"/>
      <c r="I699" s="2455"/>
      <c r="J699" s="2455"/>
      <c r="K699" s="2455"/>
      <c r="L699" s="2455"/>
      <c r="M699" s="2455"/>
      <c r="N699" s="2455"/>
      <c r="O699" s="2455"/>
      <c r="P699" s="2455"/>
      <c r="Q699" s="2455"/>
      <c r="R699" s="2455"/>
      <c r="S699" s="2455"/>
      <c r="T699" s="2455"/>
      <c r="U699" s="2455"/>
      <c r="V699" s="2455"/>
      <c r="W699" s="2455"/>
      <c r="X699" s="2455"/>
      <c r="Y699" s="2455"/>
      <c r="Z699" s="2455"/>
    </row>
    <row r="700" spans="1:26" ht="12" x14ac:dyDescent="0.2">
      <c r="A700" s="2455"/>
      <c r="B700" s="2455"/>
      <c r="C700" s="2455"/>
      <c r="D700" s="2455"/>
      <c r="E700" s="2455"/>
      <c r="F700" s="2455"/>
      <c r="G700" s="2456"/>
      <c r="H700" s="2455"/>
      <c r="I700" s="2455"/>
      <c r="J700" s="2455"/>
      <c r="K700" s="2455"/>
      <c r="L700" s="2455"/>
      <c r="M700" s="2455"/>
      <c r="N700" s="2455"/>
      <c r="O700" s="2455"/>
      <c r="P700" s="2455"/>
      <c r="Q700" s="2455"/>
      <c r="R700" s="2455"/>
      <c r="S700" s="2455"/>
      <c r="T700" s="2455"/>
      <c r="U700" s="2455"/>
      <c r="V700" s="2455"/>
      <c r="W700" s="2455"/>
      <c r="X700" s="2455"/>
      <c r="Y700" s="2455"/>
      <c r="Z700" s="2455"/>
    </row>
    <row r="701" spans="1:26" ht="12" x14ac:dyDescent="0.2">
      <c r="A701" s="2455"/>
      <c r="B701" s="2455"/>
      <c r="C701" s="2455"/>
      <c r="D701" s="2455"/>
      <c r="E701" s="2455"/>
      <c r="F701" s="2455"/>
      <c r="G701" s="2456"/>
      <c r="H701" s="2455"/>
      <c r="I701" s="2455"/>
      <c r="J701" s="2455"/>
      <c r="K701" s="2455"/>
      <c r="L701" s="2455"/>
      <c r="M701" s="2455"/>
      <c r="N701" s="2455"/>
      <c r="O701" s="2455"/>
      <c r="P701" s="2455"/>
      <c r="Q701" s="2455"/>
      <c r="R701" s="2455"/>
      <c r="S701" s="2455"/>
      <c r="T701" s="2455"/>
      <c r="U701" s="2455"/>
      <c r="V701" s="2455"/>
      <c r="W701" s="2455"/>
      <c r="X701" s="2455"/>
      <c r="Y701" s="2455"/>
      <c r="Z701" s="2455"/>
    </row>
    <row r="702" spans="1:26" ht="12" x14ac:dyDescent="0.2">
      <c r="A702" s="2455"/>
      <c r="B702" s="2455"/>
      <c r="C702" s="2455"/>
      <c r="D702" s="2455"/>
      <c r="E702" s="2455"/>
      <c r="F702" s="2455"/>
      <c r="G702" s="2456"/>
      <c r="H702" s="2455"/>
      <c r="I702" s="2455"/>
      <c r="J702" s="2455"/>
      <c r="K702" s="2455"/>
      <c r="L702" s="2455"/>
      <c r="M702" s="2455"/>
      <c r="N702" s="2455"/>
      <c r="O702" s="2455"/>
      <c r="P702" s="2455"/>
      <c r="Q702" s="2455"/>
      <c r="R702" s="2455"/>
      <c r="S702" s="2455"/>
      <c r="T702" s="2455"/>
      <c r="U702" s="2455"/>
      <c r="V702" s="2455"/>
      <c r="W702" s="2455"/>
      <c r="X702" s="2455"/>
      <c r="Y702" s="2455"/>
      <c r="Z702" s="2455"/>
    </row>
    <row r="703" spans="1:26" ht="12" x14ac:dyDescent="0.2">
      <c r="A703" s="2455"/>
      <c r="B703" s="2455"/>
      <c r="C703" s="2455"/>
      <c r="D703" s="2455"/>
      <c r="E703" s="2455"/>
      <c r="F703" s="2455"/>
      <c r="G703" s="2456"/>
      <c r="H703" s="2455"/>
      <c r="I703" s="2455"/>
      <c r="J703" s="2455"/>
      <c r="K703" s="2455"/>
      <c r="L703" s="2455"/>
      <c r="M703" s="2455"/>
      <c r="N703" s="2455"/>
      <c r="O703" s="2455"/>
      <c r="P703" s="2455"/>
      <c r="Q703" s="2455"/>
      <c r="R703" s="2455"/>
      <c r="S703" s="2455"/>
      <c r="T703" s="2455"/>
      <c r="U703" s="2455"/>
      <c r="V703" s="2455"/>
      <c r="W703" s="2455"/>
      <c r="X703" s="2455"/>
      <c r="Y703" s="2455"/>
      <c r="Z703" s="2455"/>
    </row>
    <row r="704" spans="1:26" ht="12" x14ac:dyDescent="0.2">
      <c r="A704" s="2455"/>
      <c r="B704" s="2455"/>
      <c r="C704" s="2455"/>
      <c r="D704" s="2455"/>
      <c r="E704" s="2455"/>
      <c r="F704" s="2455"/>
      <c r="G704" s="2456"/>
      <c r="H704" s="2455"/>
      <c r="I704" s="2455"/>
      <c r="J704" s="2455"/>
      <c r="K704" s="2455"/>
      <c r="L704" s="2455"/>
      <c r="M704" s="2455"/>
      <c r="N704" s="2455"/>
      <c r="O704" s="2455"/>
      <c r="P704" s="2455"/>
      <c r="Q704" s="2455"/>
      <c r="R704" s="2455"/>
      <c r="S704" s="2455"/>
      <c r="T704" s="2455"/>
      <c r="U704" s="2455"/>
      <c r="V704" s="2455"/>
      <c r="W704" s="2455"/>
      <c r="X704" s="2455"/>
      <c r="Y704" s="2455"/>
      <c r="Z704" s="2455"/>
    </row>
    <row r="705" spans="1:26" ht="12" x14ac:dyDescent="0.2">
      <c r="A705" s="2455"/>
      <c r="B705" s="2455"/>
      <c r="C705" s="2455"/>
      <c r="D705" s="2455"/>
      <c r="E705" s="2455"/>
      <c r="F705" s="2455"/>
      <c r="G705" s="2456"/>
      <c r="H705" s="2455"/>
      <c r="I705" s="2455"/>
      <c r="J705" s="2455"/>
      <c r="K705" s="2455"/>
      <c r="L705" s="2455"/>
      <c r="M705" s="2455"/>
      <c r="N705" s="2455"/>
      <c r="O705" s="2455"/>
      <c r="P705" s="2455"/>
      <c r="Q705" s="2455"/>
      <c r="R705" s="2455"/>
      <c r="S705" s="2455"/>
      <c r="T705" s="2455"/>
      <c r="U705" s="2455"/>
      <c r="V705" s="2455"/>
      <c r="W705" s="2455"/>
      <c r="X705" s="2455"/>
      <c r="Y705" s="2455"/>
      <c r="Z705" s="2455"/>
    </row>
    <row r="706" spans="1:26" ht="12" x14ac:dyDescent="0.2">
      <c r="A706" s="2455"/>
      <c r="B706" s="2455"/>
      <c r="C706" s="2455"/>
      <c r="D706" s="2455"/>
      <c r="E706" s="2455"/>
      <c r="F706" s="2455"/>
      <c r="G706" s="2456"/>
      <c r="H706" s="2455"/>
      <c r="I706" s="2455"/>
      <c r="J706" s="2455"/>
      <c r="K706" s="2455"/>
      <c r="L706" s="2455"/>
      <c r="M706" s="2455"/>
      <c r="N706" s="2455"/>
      <c r="O706" s="2455"/>
      <c r="P706" s="2455"/>
      <c r="Q706" s="2455"/>
      <c r="R706" s="2455"/>
      <c r="S706" s="2455"/>
      <c r="T706" s="2455"/>
      <c r="U706" s="2455"/>
      <c r="V706" s="2455"/>
      <c r="W706" s="2455"/>
      <c r="X706" s="2455"/>
      <c r="Y706" s="2455"/>
      <c r="Z706" s="2455"/>
    </row>
    <row r="707" spans="1:26" ht="12" x14ac:dyDescent="0.2">
      <c r="A707" s="2455"/>
      <c r="B707" s="2455"/>
      <c r="C707" s="2455"/>
      <c r="D707" s="2455"/>
      <c r="E707" s="2455"/>
      <c r="F707" s="2455"/>
      <c r="G707" s="2456"/>
      <c r="H707" s="2455"/>
      <c r="I707" s="2455"/>
      <c r="J707" s="2455"/>
      <c r="K707" s="2455"/>
      <c r="L707" s="2455"/>
      <c r="M707" s="2455"/>
      <c r="N707" s="2455"/>
      <c r="O707" s="2455"/>
      <c r="P707" s="2455"/>
      <c r="Q707" s="2455"/>
      <c r="R707" s="2455"/>
      <c r="S707" s="2455"/>
      <c r="T707" s="2455"/>
      <c r="U707" s="2455"/>
      <c r="V707" s="2455"/>
      <c r="W707" s="2455"/>
      <c r="X707" s="2455"/>
      <c r="Y707" s="2455"/>
      <c r="Z707" s="2455"/>
    </row>
    <row r="708" spans="1:26" ht="12" x14ac:dyDescent="0.2">
      <c r="A708" s="2455"/>
      <c r="B708" s="2455"/>
      <c r="C708" s="2455"/>
      <c r="D708" s="2455"/>
      <c r="E708" s="2455"/>
      <c r="F708" s="2455"/>
      <c r="G708" s="2456"/>
      <c r="H708" s="2455"/>
      <c r="I708" s="2455"/>
      <c r="J708" s="2455"/>
      <c r="K708" s="2455"/>
      <c r="L708" s="2455"/>
      <c r="M708" s="2455"/>
      <c r="N708" s="2455"/>
      <c r="O708" s="2455"/>
      <c r="P708" s="2455"/>
      <c r="Q708" s="2455"/>
      <c r="R708" s="2455"/>
      <c r="S708" s="2455"/>
      <c r="T708" s="2455"/>
      <c r="U708" s="2455"/>
      <c r="V708" s="2455"/>
      <c r="W708" s="2455"/>
      <c r="X708" s="2455"/>
      <c r="Y708" s="2455"/>
      <c r="Z708" s="2455"/>
    </row>
    <row r="709" spans="1:26" ht="12" x14ac:dyDescent="0.2">
      <c r="A709" s="2455"/>
      <c r="B709" s="2455"/>
      <c r="C709" s="2455"/>
      <c r="D709" s="2455"/>
      <c r="E709" s="2455"/>
      <c r="F709" s="2455"/>
      <c r="G709" s="2456"/>
      <c r="H709" s="2455"/>
      <c r="I709" s="2455"/>
      <c r="J709" s="2455"/>
      <c r="K709" s="2455"/>
      <c r="L709" s="2455"/>
      <c r="M709" s="2455"/>
      <c r="N709" s="2455"/>
      <c r="O709" s="2455"/>
      <c r="P709" s="2455"/>
      <c r="Q709" s="2455"/>
      <c r="R709" s="2455"/>
      <c r="S709" s="2455"/>
      <c r="T709" s="2455"/>
      <c r="U709" s="2455"/>
      <c r="V709" s="2455"/>
      <c r="W709" s="2455"/>
      <c r="X709" s="2455"/>
      <c r="Y709" s="2455"/>
      <c r="Z709" s="2455"/>
    </row>
    <row r="710" spans="1:26" ht="12" x14ac:dyDescent="0.2">
      <c r="A710" s="2455"/>
      <c r="B710" s="2455"/>
      <c r="C710" s="2455"/>
      <c r="D710" s="2455"/>
      <c r="E710" s="2455"/>
      <c r="F710" s="2455"/>
      <c r="G710" s="2456"/>
      <c r="H710" s="2455"/>
      <c r="I710" s="2455"/>
      <c r="J710" s="2455"/>
      <c r="K710" s="2455"/>
      <c r="L710" s="2455"/>
      <c r="M710" s="2455"/>
      <c r="N710" s="2455"/>
      <c r="O710" s="2455"/>
      <c r="P710" s="2455"/>
      <c r="Q710" s="2455"/>
      <c r="R710" s="2455"/>
      <c r="S710" s="2455"/>
      <c r="T710" s="2455"/>
      <c r="U710" s="2455"/>
      <c r="V710" s="2455"/>
      <c r="W710" s="2455"/>
      <c r="X710" s="2455"/>
      <c r="Y710" s="2455"/>
      <c r="Z710" s="2455"/>
    </row>
    <row r="711" spans="1:26" ht="12" x14ac:dyDescent="0.2">
      <c r="A711" s="2455"/>
      <c r="B711" s="2455"/>
      <c r="C711" s="2455"/>
      <c r="D711" s="2455"/>
      <c r="E711" s="2455"/>
      <c r="F711" s="2455"/>
      <c r="G711" s="2456"/>
      <c r="H711" s="2455"/>
      <c r="I711" s="2455"/>
      <c r="J711" s="2455"/>
      <c r="K711" s="2455"/>
      <c r="L711" s="2455"/>
      <c r="M711" s="2455"/>
      <c r="N711" s="2455"/>
      <c r="O711" s="2455"/>
      <c r="P711" s="2455"/>
      <c r="Q711" s="2455"/>
      <c r="R711" s="2455"/>
      <c r="S711" s="2455"/>
      <c r="T711" s="2455"/>
      <c r="U711" s="2455"/>
      <c r="V711" s="2455"/>
      <c r="W711" s="2455"/>
      <c r="X711" s="2455"/>
      <c r="Y711" s="2455"/>
      <c r="Z711" s="2455"/>
    </row>
    <row r="712" spans="1:26" ht="12" x14ac:dyDescent="0.2">
      <c r="A712" s="2455"/>
      <c r="B712" s="2455"/>
      <c r="C712" s="2455"/>
      <c r="D712" s="2455"/>
      <c r="E712" s="2455"/>
      <c r="F712" s="2455"/>
      <c r="G712" s="2456"/>
      <c r="H712" s="2455"/>
      <c r="I712" s="2455"/>
      <c r="J712" s="2455"/>
      <c r="K712" s="2455"/>
      <c r="L712" s="2455"/>
      <c r="M712" s="2455"/>
      <c r="N712" s="2455"/>
      <c r="O712" s="2455"/>
      <c r="P712" s="2455"/>
      <c r="Q712" s="2455"/>
      <c r="R712" s="2455"/>
      <c r="S712" s="2455"/>
      <c r="T712" s="2455"/>
      <c r="U712" s="2455"/>
      <c r="V712" s="2455"/>
      <c r="W712" s="2455"/>
      <c r="X712" s="2455"/>
      <c r="Y712" s="2455"/>
      <c r="Z712" s="2455"/>
    </row>
    <row r="713" spans="1:26" ht="12" x14ac:dyDescent="0.2">
      <c r="A713" s="2455"/>
      <c r="B713" s="2455"/>
      <c r="C713" s="2455"/>
      <c r="D713" s="2455"/>
      <c r="E713" s="2455"/>
      <c r="F713" s="2455"/>
      <c r="G713" s="2456"/>
      <c r="H713" s="2455"/>
      <c r="I713" s="2455"/>
      <c r="J713" s="2455"/>
      <c r="K713" s="2455"/>
      <c r="L713" s="2455"/>
      <c r="M713" s="2455"/>
      <c r="N713" s="2455"/>
      <c r="O713" s="2455"/>
      <c r="P713" s="2455"/>
      <c r="Q713" s="2455"/>
      <c r="R713" s="2455"/>
      <c r="S713" s="2455"/>
      <c r="T713" s="2455"/>
      <c r="U713" s="2455"/>
      <c r="V713" s="2455"/>
      <c r="W713" s="2455"/>
      <c r="X713" s="2455"/>
      <c r="Y713" s="2455"/>
      <c r="Z713" s="2455"/>
    </row>
    <row r="714" spans="1:26" ht="12" x14ac:dyDescent="0.2">
      <c r="A714" s="2455"/>
      <c r="B714" s="2455"/>
      <c r="C714" s="2455"/>
      <c r="D714" s="2455"/>
      <c r="E714" s="2455"/>
      <c r="F714" s="2455"/>
      <c r="G714" s="2456"/>
      <c r="H714" s="2455"/>
      <c r="I714" s="2455"/>
      <c r="J714" s="2455"/>
      <c r="K714" s="2455"/>
      <c r="L714" s="2455"/>
      <c r="M714" s="2455"/>
      <c r="N714" s="2455"/>
      <c r="O714" s="2455"/>
      <c r="P714" s="2455"/>
      <c r="Q714" s="2455"/>
      <c r="R714" s="2455"/>
      <c r="S714" s="2455"/>
      <c r="T714" s="2455"/>
      <c r="U714" s="2455"/>
      <c r="V714" s="2455"/>
      <c r="W714" s="2455"/>
      <c r="X714" s="2455"/>
      <c r="Y714" s="2455"/>
      <c r="Z714" s="2455"/>
    </row>
    <row r="715" spans="1:26" ht="12" x14ac:dyDescent="0.2">
      <c r="A715" s="2455"/>
      <c r="B715" s="2455"/>
      <c r="C715" s="2455"/>
      <c r="D715" s="2455"/>
      <c r="E715" s="2455"/>
      <c r="F715" s="2455"/>
      <c r="G715" s="2456"/>
      <c r="H715" s="2455"/>
      <c r="I715" s="2455"/>
      <c r="J715" s="2455"/>
      <c r="K715" s="2455"/>
      <c r="L715" s="2455"/>
      <c r="M715" s="2455"/>
      <c r="N715" s="2455"/>
      <c r="O715" s="2455"/>
      <c r="P715" s="2455"/>
      <c r="Q715" s="2455"/>
      <c r="R715" s="2455"/>
      <c r="S715" s="2455"/>
      <c r="T715" s="2455"/>
      <c r="U715" s="2455"/>
      <c r="V715" s="2455"/>
      <c r="W715" s="2455"/>
      <c r="X715" s="2455"/>
      <c r="Y715" s="2455"/>
      <c r="Z715" s="2455"/>
    </row>
    <row r="716" spans="1:26" ht="12" x14ac:dyDescent="0.2">
      <c r="A716" s="2455"/>
      <c r="B716" s="2455"/>
      <c r="C716" s="2455"/>
      <c r="D716" s="2455"/>
      <c r="E716" s="2455"/>
      <c r="F716" s="2455"/>
      <c r="G716" s="2456"/>
      <c r="H716" s="2455"/>
      <c r="I716" s="2455"/>
      <c r="J716" s="2455"/>
      <c r="K716" s="2455"/>
      <c r="L716" s="2455"/>
      <c r="M716" s="2455"/>
      <c r="N716" s="2455"/>
      <c r="O716" s="2455"/>
      <c r="P716" s="2455"/>
      <c r="Q716" s="2455"/>
      <c r="R716" s="2455"/>
      <c r="S716" s="2455"/>
      <c r="T716" s="2455"/>
      <c r="U716" s="2455"/>
      <c r="V716" s="2455"/>
      <c r="W716" s="2455"/>
      <c r="X716" s="2455"/>
      <c r="Y716" s="2455"/>
      <c r="Z716" s="2455"/>
    </row>
    <row r="717" spans="1:26" ht="12" x14ac:dyDescent="0.2">
      <c r="A717" s="2455"/>
      <c r="B717" s="2455"/>
      <c r="C717" s="2455"/>
      <c r="D717" s="2455"/>
      <c r="E717" s="2455"/>
      <c r="F717" s="2455"/>
      <c r="G717" s="2456"/>
      <c r="H717" s="2455"/>
      <c r="I717" s="2455"/>
      <c r="J717" s="2455"/>
      <c r="K717" s="2455"/>
      <c r="L717" s="2455"/>
      <c r="M717" s="2455"/>
      <c r="N717" s="2455"/>
      <c r="O717" s="2455"/>
      <c r="P717" s="2455"/>
      <c r="Q717" s="2455"/>
      <c r="R717" s="2455"/>
      <c r="S717" s="2455"/>
      <c r="T717" s="2455"/>
      <c r="U717" s="2455"/>
      <c r="V717" s="2455"/>
      <c r="W717" s="2455"/>
      <c r="X717" s="2455"/>
      <c r="Y717" s="2455"/>
      <c r="Z717" s="2455"/>
    </row>
    <row r="718" spans="1:26" ht="12" x14ac:dyDescent="0.2">
      <c r="A718" s="2455"/>
      <c r="B718" s="2455"/>
      <c r="C718" s="2455"/>
      <c r="D718" s="2455"/>
      <c r="E718" s="2455"/>
      <c r="F718" s="2455"/>
      <c r="G718" s="2456"/>
      <c r="H718" s="2455"/>
      <c r="I718" s="2455"/>
      <c r="J718" s="2455"/>
      <c r="K718" s="2455"/>
      <c r="L718" s="2455"/>
      <c r="M718" s="2455"/>
      <c r="N718" s="2455"/>
      <c r="O718" s="2455"/>
      <c r="P718" s="2455"/>
      <c r="Q718" s="2455"/>
      <c r="R718" s="2455"/>
      <c r="S718" s="2455"/>
      <c r="T718" s="2455"/>
      <c r="U718" s="2455"/>
      <c r="V718" s="2455"/>
      <c r="W718" s="2455"/>
      <c r="X718" s="2455"/>
      <c r="Y718" s="2455"/>
      <c r="Z718" s="2455"/>
    </row>
    <row r="719" spans="1:26" ht="12" x14ac:dyDescent="0.2">
      <c r="A719" s="2455"/>
      <c r="B719" s="2455"/>
      <c r="C719" s="2455"/>
      <c r="D719" s="2455"/>
      <c r="E719" s="2455"/>
      <c r="F719" s="2455"/>
      <c r="G719" s="2456"/>
      <c r="H719" s="2455"/>
      <c r="I719" s="2455"/>
      <c r="J719" s="2455"/>
      <c r="K719" s="2455"/>
      <c r="L719" s="2455"/>
      <c r="M719" s="2455"/>
      <c r="N719" s="2455"/>
      <c r="O719" s="2455"/>
      <c r="P719" s="2455"/>
      <c r="Q719" s="2455"/>
      <c r="R719" s="2455"/>
      <c r="S719" s="2455"/>
      <c r="T719" s="2455"/>
      <c r="U719" s="2455"/>
      <c r="V719" s="2455"/>
      <c r="W719" s="2455"/>
      <c r="X719" s="2455"/>
      <c r="Y719" s="2455"/>
      <c r="Z719" s="2455"/>
    </row>
    <row r="720" spans="1:26" ht="12" x14ac:dyDescent="0.2">
      <c r="A720" s="2455"/>
      <c r="B720" s="2455"/>
      <c r="C720" s="2455"/>
      <c r="D720" s="2455"/>
      <c r="E720" s="2455"/>
      <c r="F720" s="2455"/>
      <c r="G720" s="2456"/>
      <c r="H720" s="2455"/>
      <c r="I720" s="2455"/>
      <c r="J720" s="2455"/>
      <c r="K720" s="2455"/>
      <c r="L720" s="2455"/>
      <c r="M720" s="2455"/>
      <c r="N720" s="2455"/>
      <c r="O720" s="2455"/>
      <c r="P720" s="2455"/>
      <c r="Q720" s="2455"/>
      <c r="R720" s="2455"/>
      <c r="S720" s="2455"/>
      <c r="T720" s="2455"/>
      <c r="U720" s="2455"/>
      <c r="V720" s="2455"/>
      <c r="W720" s="2455"/>
      <c r="X720" s="2455"/>
      <c r="Y720" s="2455"/>
      <c r="Z720" s="2455"/>
    </row>
    <row r="721" spans="1:26" ht="12" x14ac:dyDescent="0.2">
      <c r="A721" s="2455"/>
      <c r="B721" s="2455"/>
      <c r="C721" s="2455"/>
      <c r="D721" s="2455"/>
      <c r="E721" s="2455"/>
      <c r="F721" s="2455"/>
      <c r="G721" s="2456"/>
      <c r="H721" s="2455"/>
      <c r="I721" s="2455"/>
      <c r="J721" s="2455"/>
      <c r="K721" s="2455"/>
      <c r="L721" s="2455"/>
      <c r="M721" s="2455"/>
      <c r="N721" s="2455"/>
      <c r="O721" s="2455"/>
      <c r="P721" s="2455"/>
      <c r="Q721" s="2455"/>
      <c r="R721" s="2455"/>
      <c r="S721" s="2455"/>
      <c r="T721" s="2455"/>
      <c r="U721" s="2455"/>
      <c r="V721" s="2455"/>
      <c r="W721" s="2455"/>
      <c r="X721" s="2455"/>
      <c r="Y721" s="2455"/>
      <c r="Z721" s="2455"/>
    </row>
    <row r="722" spans="1:26" ht="12" x14ac:dyDescent="0.2">
      <c r="A722" s="2455"/>
      <c r="B722" s="2455"/>
      <c r="C722" s="2455"/>
      <c r="D722" s="2455"/>
      <c r="E722" s="2455"/>
      <c r="F722" s="2455"/>
      <c r="G722" s="2456"/>
      <c r="H722" s="2455"/>
      <c r="I722" s="2455"/>
      <c r="J722" s="2455"/>
      <c r="K722" s="2455"/>
      <c r="L722" s="2455"/>
      <c r="M722" s="2455"/>
      <c r="N722" s="2455"/>
      <c r="O722" s="2455"/>
      <c r="P722" s="2455"/>
      <c r="Q722" s="2455"/>
      <c r="R722" s="2455"/>
      <c r="S722" s="2455"/>
      <c r="T722" s="2455"/>
      <c r="U722" s="2455"/>
      <c r="V722" s="2455"/>
      <c r="W722" s="2455"/>
      <c r="X722" s="2455"/>
      <c r="Y722" s="2455"/>
      <c r="Z722" s="2455"/>
    </row>
    <row r="723" spans="1:26" ht="12" x14ac:dyDescent="0.2">
      <c r="A723" s="2455"/>
      <c r="B723" s="2455"/>
      <c r="C723" s="2455"/>
      <c r="D723" s="2455"/>
      <c r="E723" s="2455"/>
      <c r="F723" s="2455"/>
      <c r="G723" s="2456"/>
      <c r="H723" s="2455"/>
      <c r="I723" s="2455"/>
      <c r="J723" s="2455"/>
      <c r="K723" s="2455"/>
      <c r="L723" s="2455"/>
      <c r="M723" s="2455"/>
      <c r="N723" s="2455"/>
      <c r="O723" s="2455"/>
      <c r="P723" s="2455"/>
      <c r="Q723" s="2455"/>
      <c r="R723" s="2455"/>
      <c r="S723" s="2455"/>
      <c r="T723" s="2455"/>
      <c r="U723" s="2455"/>
      <c r="V723" s="2455"/>
      <c r="W723" s="2455"/>
      <c r="X723" s="2455"/>
      <c r="Y723" s="2455"/>
      <c r="Z723" s="2455"/>
    </row>
    <row r="724" spans="1:26" ht="12" x14ac:dyDescent="0.2">
      <c r="A724" s="2455"/>
      <c r="B724" s="2455"/>
      <c r="C724" s="2455"/>
      <c r="D724" s="2455"/>
      <c r="E724" s="2455"/>
      <c r="F724" s="2455"/>
      <c r="G724" s="2456"/>
      <c r="H724" s="2455"/>
      <c r="I724" s="2455"/>
      <c r="J724" s="2455"/>
      <c r="K724" s="2455"/>
      <c r="L724" s="2455"/>
      <c r="M724" s="2455"/>
      <c r="N724" s="2455"/>
      <c r="O724" s="2455"/>
      <c r="P724" s="2455"/>
      <c r="Q724" s="2455"/>
      <c r="R724" s="2455"/>
      <c r="S724" s="2455"/>
      <c r="T724" s="2455"/>
      <c r="U724" s="2455"/>
      <c r="V724" s="2455"/>
      <c r="W724" s="2455"/>
      <c r="X724" s="2455"/>
      <c r="Y724" s="2455"/>
      <c r="Z724" s="2455"/>
    </row>
    <row r="725" spans="1:26" ht="12" x14ac:dyDescent="0.2">
      <c r="A725" s="2455"/>
      <c r="B725" s="2455"/>
      <c r="C725" s="2455"/>
      <c r="D725" s="2455"/>
      <c r="E725" s="2455"/>
      <c r="F725" s="2455"/>
      <c r="G725" s="2456"/>
      <c r="H725" s="2455"/>
      <c r="I725" s="2455"/>
      <c r="J725" s="2455"/>
      <c r="K725" s="2455"/>
      <c r="L725" s="2455"/>
      <c r="M725" s="2455"/>
      <c r="N725" s="2455"/>
      <c r="O725" s="2455"/>
      <c r="P725" s="2455"/>
      <c r="Q725" s="2455"/>
      <c r="R725" s="2455"/>
      <c r="S725" s="2455"/>
      <c r="T725" s="2455"/>
      <c r="U725" s="2455"/>
      <c r="V725" s="2455"/>
      <c r="W725" s="2455"/>
      <c r="X725" s="2455"/>
      <c r="Y725" s="2455"/>
      <c r="Z725" s="2455"/>
    </row>
    <row r="726" spans="1:26" ht="12" x14ac:dyDescent="0.2">
      <c r="A726" s="2455"/>
      <c r="B726" s="2455"/>
      <c r="C726" s="2455"/>
      <c r="D726" s="2455"/>
      <c r="E726" s="2455"/>
      <c r="F726" s="2455"/>
      <c r="G726" s="2456"/>
      <c r="H726" s="2455"/>
      <c r="I726" s="2455"/>
      <c r="J726" s="2455"/>
      <c r="K726" s="2455"/>
      <c r="L726" s="2455"/>
      <c r="M726" s="2455"/>
      <c r="N726" s="2455"/>
      <c r="O726" s="2455"/>
      <c r="P726" s="2455"/>
      <c r="Q726" s="2455"/>
      <c r="R726" s="2455"/>
      <c r="S726" s="2455"/>
      <c r="T726" s="2455"/>
      <c r="U726" s="2455"/>
      <c r="V726" s="2455"/>
      <c r="W726" s="2455"/>
      <c r="X726" s="2455"/>
      <c r="Y726" s="2455"/>
      <c r="Z726" s="2455"/>
    </row>
    <row r="727" spans="1:26" ht="12" x14ac:dyDescent="0.2">
      <c r="A727" s="2455"/>
      <c r="B727" s="2455"/>
      <c r="C727" s="2455"/>
      <c r="D727" s="2455"/>
      <c r="E727" s="2455"/>
      <c r="F727" s="2455"/>
      <c r="G727" s="2456"/>
      <c r="H727" s="2455"/>
      <c r="I727" s="2455"/>
      <c r="J727" s="2455"/>
      <c r="K727" s="2455"/>
      <c r="L727" s="2455"/>
      <c r="M727" s="2455"/>
      <c r="N727" s="2455"/>
      <c r="O727" s="2455"/>
      <c r="P727" s="2455"/>
      <c r="Q727" s="2455"/>
      <c r="R727" s="2455"/>
      <c r="S727" s="2455"/>
      <c r="T727" s="2455"/>
      <c r="U727" s="2455"/>
      <c r="V727" s="2455"/>
      <c r="W727" s="2455"/>
      <c r="X727" s="2455"/>
      <c r="Y727" s="2455"/>
      <c r="Z727" s="2455"/>
    </row>
    <row r="728" spans="1:26" ht="12" x14ac:dyDescent="0.2">
      <c r="A728" s="2455"/>
      <c r="B728" s="2455"/>
      <c r="C728" s="2455"/>
      <c r="D728" s="2455"/>
      <c r="E728" s="2455"/>
      <c r="F728" s="2455"/>
      <c r="G728" s="2456"/>
      <c r="H728" s="2455"/>
      <c r="I728" s="2455"/>
      <c r="J728" s="2455"/>
      <c r="K728" s="2455"/>
      <c r="L728" s="2455"/>
      <c r="M728" s="2455"/>
      <c r="N728" s="2455"/>
      <c r="O728" s="2455"/>
      <c r="P728" s="2455"/>
      <c r="Q728" s="2455"/>
      <c r="R728" s="2455"/>
      <c r="S728" s="2455"/>
      <c r="T728" s="2455"/>
      <c r="U728" s="2455"/>
      <c r="V728" s="2455"/>
      <c r="W728" s="2455"/>
      <c r="X728" s="2455"/>
      <c r="Y728" s="2455"/>
      <c r="Z728" s="2455"/>
    </row>
    <row r="729" spans="1:26" ht="12" x14ac:dyDescent="0.2">
      <c r="A729" s="2455"/>
      <c r="B729" s="2455"/>
      <c r="C729" s="2455"/>
      <c r="D729" s="2455"/>
      <c r="E729" s="2455"/>
      <c r="F729" s="2455"/>
      <c r="G729" s="2456"/>
      <c r="H729" s="2455"/>
      <c r="I729" s="2455"/>
      <c r="J729" s="2455"/>
      <c r="K729" s="2455"/>
      <c r="L729" s="2455"/>
      <c r="M729" s="2455"/>
      <c r="N729" s="2455"/>
      <c r="O729" s="2455"/>
      <c r="P729" s="2455"/>
      <c r="Q729" s="2455"/>
      <c r="R729" s="2455"/>
      <c r="S729" s="2455"/>
      <c r="T729" s="2455"/>
      <c r="U729" s="2455"/>
      <c r="V729" s="2455"/>
      <c r="W729" s="2455"/>
      <c r="X729" s="2455"/>
      <c r="Y729" s="2455"/>
      <c r="Z729" s="2455"/>
    </row>
    <row r="730" spans="1:26" ht="12" x14ac:dyDescent="0.2">
      <c r="A730" s="2455"/>
      <c r="B730" s="2455"/>
      <c r="C730" s="2455"/>
      <c r="D730" s="2455"/>
      <c r="E730" s="2455"/>
      <c r="F730" s="2455"/>
      <c r="G730" s="2456"/>
      <c r="H730" s="2455"/>
      <c r="I730" s="2455"/>
      <c r="J730" s="2455"/>
      <c r="K730" s="2455"/>
      <c r="L730" s="2455"/>
      <c r="M730" s="2455"/>
      <c r="N730" s="2455"/>
      <c r="O730" s="2455"/>
      <c r="P730" s="2455"/>
      <c r="Q730" s="2455"/>
      <c r="R730" s="2455"/>
      <c r="S730" s="2455"/>
      <c r="T730" s="2455"/>
      <c r="U730" s="2455"/>
      <c r="V730" s="2455"/>
      <c r="W730" s="2455"/>
      <c r="X730" s="2455"/>
      <c r="Y730" s="2455"/>
      <c r="Z730" s="2455"/>
    </row>
    <row r="731" spans="1:26" ht="12" x14ac:dyDescent="0.2">
      <c r="A731" s="2455"/>
      <c r="B731" s="2455"/>
      <c r="C731" s="2455"/>
      <c r="D731" s="2455"/>
      <c r="E731" s="2455"/>
      <c r="F731" s="2455"/>
      <c r="G731" s="2456"/>
      <c r="H731" s="2455"/>
      <c r="I731" s="2455"/>
      <c r="J731" s="2455"/>
      <c r="K731" s="2455"/>
      <c r="L731" s="2455"/>
      <c r="M731" s="2455"/>
      <c r="N731" s="2455"/>
      <c r="O731" s="2455"/>
      <c r="P731" s="2455"/>
      <c r="Q731" s="2455"/>
      <c r="R731" s="2455"/>
      <c r="S731" s="2455"/>
      <c r="T731" s="2455"/>
      <c r="U731" s="2455"/>
      <c r="V731" s="2455"/>
      <c r="W731" s="2455"/>
      <c r="X731" s="2455"/>
      <c r="Y731" s="2455"/>
      <c r="Z731" s="2455"/>
    </row>
    <row r="732" spans="1:26" ht="12" x14ac:dyDescent="0.2">
      <c r="A732" s="2455"/>
      <c r="B732" s="2455"/>
      <c r="C732" s="2455"/>
      <c r="D732" s="2455"/>
      <c r="E732" s="2455"/>
      <c r="F732" s="2455"/>
      <c r="G732" s="2456"/>
      <c r="H732" s="2455"/>
      <c r="I732" s="2455"/>
      <c r="J732" s="2455"/>
      <c r="K732" s="2455"/>
      <c r="L732" s="2455"/>
      <c r="M732" s="2455"/>
      <c r="N732" s="2455"/>
      <c r="O732" s="2455"/>
      <c r="P732" s="2455"/>
      <c r="Q732" s="2455"/>
      <c r="R732" s="2455"/>
      <c r="S732" s="2455"/>
      <c r="T732" s="2455"/>
      <c r="U732" s="2455"/>
      <c r="V732" s="2455"/>
      <c r="W732" s="2455"/>
      <c r="X732" s="2455"/>
      <c r="Y732" s="2455"/>
      <c r="Z732" s="2455"/>
    </row>
    <row r="733" spans="1:26" ht="12" x14ac:dyDescent="0.2">
      <c r="A733" s="2455"/>
      <c r="B733" s="2455"/>
      <c r="C733" s="2455"/>
      <c r="D733" s="2455"/>
      <c r="E733" s="2455"/>
      <c r="F733" s="2455"/>
      <c r="G733" s="2456"/>
      <c r="H733" s="2455"/>
      <c r="I733" s="2455"/>
      <c r="J733" s="2455"/>
      <c r="K733" s="2455"/>
      <c r="L733" s="2455"/>
      <c r="M733" s="2455"/>
      <c r="N733" s="2455"/>
      <c r="O733" s="2455"/>
      <c r="P733" s="2455"/>
      <c r="Q733" s="2455"/>
      <c r="R733" s="2455"/>
      <c r="S733" s="2455"/>
      <c r="T733" s="2455"/>
      <c r="U733" s="2455"/>
      <c r="V733" s="2455"/>
      <c r="W733" s="2455"/>
      <c r="X733" s="2455"/>
      <c r="Y733" s="2455"/>
      <c r="Z733" s="2455"/>
    </row>
    <row r="734" spans="1:26" ht="12" x14ac:dyDescent="0.2">
      <c r="A734" s="2455"/>
      <c r="B734" s="2455"/>
      <c r="C734" s="2455"/>
      <c r="D734" s="2455"/>
      <c r="E734" s="2455"/>
      <c r="F734" s="2455"/>
      <c r="G734" s="2456"/>
      <c r="H734" s="2455"/>
      <c r="I734" s="2455"/>
      <c r="J734" s="2455"/>
      <c r="K734" s="2455"/>
      <c r="L734" s="2455"/>
      <c r="M734" s="2455"/>
      <c r="N734" s="2455"/>
      <c r="O734" s="2455"/>
      <c r="P734" s="2455"/>
      <c r="Q734" s="2455"/>
      <c r="R734" s="2455"/>
      <c r="S734" s="2455"/>
      <c r="T734" s="2455"/>
      <c r="U734" s="2455"/>
      <c r="V734" s="2455"/>
      <c r="W734" s="2455"/>
      <c r="X734" s="2455"/>
      <c r="Y734" s="2455"/>
      <c r="Z734" s="2455"/>
    </row>
    <row r="735" spans="1:26" ht="12" x14ac:dyDescent="0.2">
      <c r="A735" s="2455"/>
      <c r="B735" s="2455"/>
      <c r="C735" s="2455"/>
      <c r="D735" s="2455"/>
      <c r="E735" s="2455"/>
      <c r="F735" s="2455"/>
      <c r="G735" s="2456"/>
      <c r="H735" s="2455"/>
      <c r="I735" s="2455"/>
      <c r="J735" s="2455"/>
      <c r="K735" s="2455"/>
      <c r="L735" s="2455"/>
      <c r="M735" s="2455"/>
      <c r="N735" s="2455"/>
      <c r="O735" s="2455"/>
      <c r="P735" s="2455"/>
      <c r="Q735" s="2455"/>
      <c r="R735" s="2455"/>
      <c r="S735" s="2455"/>
      <c r="T735" s="2455"/>
      <c r="U735" s="2455"/>
      <c r="V735" s="2455"/>
      <c r="W735" s="2455"/>
      <c r="X735" s="2455"/>
      <c r="Y735" s="2455"/>
      <c r="Z735" s="2455"/>
    </row>
    <row r="736" spans="1:26" ht="12" x14ac:dyDescent="0.2">
      <c r="A736" s="2455"/>
      <c r="B736" s="2455"/>
      <c r="C736" s="2455"/>
      <c r="D736" s="2455"/>
      <c r="E736" s="2455"/>
      <c r="F736" s="2455"/>
      <c r="G736" s="2456"/>
      <c r="H736" s="2455"/>
      <c r="I736" s="2455"/>
      <c r="J736" s="2455"/>
      <c r="K736" s="2455"/>
      <c r="L736" s="2455"/>
      <c r="M736" s="2455"/>
      <c r="N736" s="2455"/>
      <c r="O736" s="2455"/>
      <c r="P736" s="2455"/>
      <c r="Q736" s="2455"/>
      <c r="R736" s="2455"/>
      <c r="S736" s="2455"/>
      <c r="T736" s="2455"/>
      <c r="U736" s="2455"/>
      <c r="V736" s="2455"/>
      <c r="W736" s="2455"/>
      <c r="X736" s="2455"/>
      <c r="Y736" s="2455"/>
      <c r="Z736" s="2455"/>
    </row>
    <row r="737" spans="1:26" ht="12" x14ac:dyDescent="0.2">
      <c r="A737" s="2455"/>
      <c r="B737" s="2455"/>
      <c r="C737" s="2455"/>
      <c r="D737" s="2455"/>
      <c r="E737" s="2455"/>
      <c r="F737" s="2455"/>
      <c r="G737" s="2456"/>
      <c r="H737" s="2455"/>
      <c r="I737" s="2455"/>
      <c r="J737" s="2455"/>
      <c r="K737" s="2455"/>
      <c r="L737" s="2455"/>
      <c r="M737" s="2455"/>
      <c r="N737" s="2455"/>
      <c r="O737" s="2455"/>
      <c r="P737" s="2455"/>
      <c r="Q737" s="2455"/>
      <c r="R737" s="2455"/>
      <c r="S737" s="2455"/>
      <c r="T737" s="2455"/>
      <c r="U737" s="2455"/>
      <c r="V737" s="2455"/>
      <c r="W737" s="2455"/>
      <c r="X737" s="2455"/>
      <c r="Y737" s="2455"/>
      <c r="Z737" s="2455"/>
    </row>
    <row r="738" spans="1:26" ht="12" x14ac:dyDescent="0.2">
      <c r="A738" s="2455"/>
      <c r="B738" s="2455"/>
      <c r="C738" s="2455"/>
      <c r="D738" s="2455"/>
      <c r="E738" s="2455"/>
      <c r="F738" s="2455"/>
      <c r="G738" s="2456"/>
      <c r="H738" s="2455"/>
      <c r="I738" s="2455"/>
      <c r="J738" s="2455"/>
      <c r="K738" s="2455"/>
      <c r="L738" s="2455"/>
      <c r="M738" s="2455"/>
      <c r="N738" s="2455"/>
      <c r="O738" s="2455"/>
      <c r="P738" s="2455"/>
      <c r="Q738" s="2455"/>
      <c r="R738" s="2455"/>
      <c r="S738" s="2455"/>
      <c r="T738" s="2455"/>
      <c r="U738" s="2455"/>
      <c r="V738" s="2455"/>
      <c r="W738" s="2455"/>
      <c r="X738" s="2455"/>
      <c r="Y738" s="2455"/>
      <c r="Z738" s="2455"/>
    </row>
    <row r="739" spans="1:26" ht="12" x14ac:dyDescent="0.2">
      <c r="A739" s="2455"/>
      <c r="B739" s="2455"/>
      <c r="C739" s="2455"/>
      <c r="D739" s="2455"/>
      <c r="E739" s="2455"/>
      <c r="F739" s="2455"/>
      <c r="G739" s="2456"/>
      <c r="H739" s="2455"/>
      <c r="I739" s="2455"/>
      <c r="J739" s="2455"/>
      <c r="K739" s="2455"/>
      <c r="L739" s="2455"/>
      <c r="M739" s="2455"/>
      <c r="N739" s="2455"/>
      <c r="O739" s="2455"/>
      <c r="P739" s="2455"/>
      <c r="Q739" s="2455"/>
      <c r="R739" s="2455"/>
      <c r="S739" s="2455"/>
      <c r="T739" s="2455"/>
      <c r="U739" s="2455"/>
      <c r="V739" s="2455"/>
      <c r="W739" s="2455"/>
      <c r="X739" s="2455"/>
      <c r="Y739" s="2455"/>
      <c r="Z739" s="2455"/>
    </row>
    <row r="740" spans="1:26" ht="12" x14ac:dyDescent="0.2">
      <c r="A740" s="2455"/>
      <c r="B740" s="2455"/>
      <c r="C740" s="2455"/>
      <c r="D740" s="2455"/>
      <c r="E740" s="2455"/>
      <c r="F740" s="2455"/>
      <c r="G740" s="2456"/>
      <c r="H740" s="2455"/>
      <c r="I740" s="2455"/>
      <c r="J740" s="2455"/>
      <c r="K740" s="2455"/>
      <c r="L740" s="2455"/>
      <c r="M740" s="2455"/>
      <c r="N740" s="2455"/>
      <c r="O740" s="2455"/>
      <c r="P740" s="2455"/>
      <c r="Q740" s="2455"/>
      <c r="R740" s="2455"/>
      <c r="S740" s="2455"/>
      <c r="T740" s="2455"/>
      <c r="U740" s="2455"/>
      <c r="V740" s="2455"/>
      <c r="W740" s="2455"/>
      <c r="X740" s="2455"/>
      <c r="Y740" s="2455"/>
      <c r="Z740" s="2455"/>
    </row>
    <row r="741" spans="1:26" ht="12" x14ac:dyDescent="0.2">
      <c r="A741" s="2455"/>
      <c r="B741" s="2455"/>
      <c r="C741" s="2455"/>
      <c r="D741" s="2455"/>
      <c r="E741" s="2455"/>
      <c r="F741" s="2455"/>
      <c r="G741" s="2456"/>
      <c r="H741" s="2455"/>
      <c r="I741" s="2455"/>
      <c r="J741" s="2455"/>
      <c r="K741" s="2455"/>
      <c r="L741" s="2455"/>
      <c r="M741" s="2455"/>
      <c r="N741" s="2455"/>
      <c r="O741" s="2455"/>
      <c r="P741" s="2455"/>
      <c r="Q741" s="2455"/>
      <c r="R741" s="2455"/>
      <c r="S741" s="2455"/>
      <c r="T741" s="2455"/>
      <c r="U741" s="2455"/>
      <c r="V741" s="2455"/>
      <c r="W741" s="2455"/>
      <c r="X741" s="2455"/>
      <c r="Y741" s="2455"/>
      <c r="Z741" s="2455"/>
    </row>
    <row r="742" spans="1:26" ht="12" x14ac:dyDescent="0.2">
      <c r="A742" s="2455"/>
      <c r="B742" s="2455"/>
      <c r="C742" s="2455"/>
      <c r="D742" s="2455"/>
      <c r="E742" s="2455"/>
      <c r="F742" s="2455"/>
      <c r="G742" s="2456"/>
      <c r="H742" s="2455"/>
      <c r="I742" s="2455"/>
      <c r="J742" s="2455"/>
      <c r="K742" s="2455"/>
      <c r="L742" s="2455"/>
      <c r="M742" s="2455"/>
      <c r="N742" s="2455"/>
      <c r="O742" s="2455"/>
      <c r="P742" s="2455"/>
      <c r="Q742" s="2455"/>
      <c r="R742" s="2455"/>
      <c r="S742" s="2455"/>
      <c r="T742" s="2455"/>
      <c r="U742" s="2455"/>
      <c r="V742" s="2455"/>
      <c r="W742" s="2455"/>
      <c r="X742" s="2455"/>
      <c r="Y742" s="2455"/>
      <c r="Z742" s="2455"/>
    </row>
    <row r="743" spans="1:26" ht="12" x14ac:dyDescent="0.2">
      <c r="A743" s="2455"/>
      <c r="B743" s="2455"/>
      <c r="C743" s="2455"/>
      <c r="D743" s="2455"/>
      <c r="E743" s="2455"/>
      <c r="F743" s="2455"/>
      <c r="G743" s="2456"/>
      <c r="H743" s="2455"/>
      <c r="I743" s="2455"/>
      <c r="J743" s="2455"/>
      <c r="K743" s="2455"/>
      <c r="L743" s="2455"/>
      <c r="M743" s="2455"/>
      <c r="N743" s="2455"/>
      <c r="O743" s="2455"/>
      <c r="P743" s="2455"/>
      <c r="Q743" s="2455"/>
      <c r="R743" s="2455"/>
      <c r="S743" s="2455"/>
      <c r="T743" s="2455"/>
      <c r="U743" s="2455"/>
      <c r="V743" s="2455"/>
      <c r="W743" s="2455"/>
      <c r="X743" s="2455"/>
      <c r="Y743" s="2455"/>
      <c r="Z743" s="2455"/>
    </row>
    <row r="744" spans="1:26" ht="12" x14ac:dyDescent="0.2">
      <c r="A744" s="2455"/>
      <c r="B744" s="2455"/>
      <c r="C744" s="2455"/>
      <c r="D744" s="2455"/>
      <c r="E744" s="2455"/>
      <c r="F744" s="2455"/>
      <c r="G744" s="2456"/>
      <c r="H744" s="2455"/>
      <c r="I744" s="2455"/>
      <c r="J744" s="2455"/>
      <c r="K744" s="2455"/>
      <c r="L744" s="2455"/>
      <c r="M744" s="2455"/>
      <c r="N744" s="2455"/>
      <c r="O744" s="2455"/>
      <c r="P744" s="2455"/>
      <c r="Q744" s="2455"/>
      <c r="R744" s="2455"/>
      <c r="S744" s="2455"/>
      <c r="T744" s="2455"/>
      <c r="U744" s="2455"/>
      <c r="V744" s="2455"/>
      <c r="W744" s="2455"/>
      <c r="X744" s="2455"/>
      <c r="Y744" s="2455"/>
      <c r="Z744" s="2455"/>
    </row>
    <row r="745" spans="1:26" ht="12" x14ac:dyDescent="0.2">
      <c r="A745" s="2455"/>
      <c r="B745" s="2455"/>
      <c r="C745" s="2455"/>
      <c r="D745" s="2455"/>
      <c r="E745" s="2455"/>
      <c r="F745" s="2455"/>
      <c r="G745" s="2456"/>
      <c r="H745" s="2455"/>
      <c r="I745" s="2455"/>
      <c r="J745" s="2455"/>
      <c r="K745" s="2455"/>
      <c r="L745" s="2455"/>
      <c r="M745" s="2455"/>
      <c r="N745" s="2455"/>
      <c r="O745" s="2455"/>
      <c r="P745" s="2455"/>
      <c r="Q745" s="2455"/>
      <c r="R745" s="2455"/>
      <c r="S745" s="2455"/>
      <c r="T745" s="2455"/>
      <c r="U745" s="2455"/>
      <c r="V745" s="2455"/>
      <c r="W745" s="2455"/>
      <c r="X745" s="2455"/>
      <c r="Y745" s="2455"/>
      <c r="Z745" s="2455"/>
    </row>
    <row r="746" spans="1:26" ht="12" x14ac:dyDescent="0.2">
      <c r="A746" s="2455"/>
      <c r="B746" s="2455"/>
      <c r="C746" s="2455"/>
      <c r="D746" s="2455"/>
      <c r="E746" s="2455"/>
      <c r="F746" s="2455"/>
      <c r="G746" s="2456"/>
      <c r="H746" s="2455"/>
      <c r="I746" s="2455"/>
      <c r="J746" s="2455"/>
      <c r="K746" s="2455"/>
      <c r="L746" s="2455"/>
      <c r="M746" s="2455"/>
      <c r="N746" s="2455"/>
      <c r="O746" s="2455"/>
      <c r="P746" s="2455"/>
      <c r="Q746" s="2455"/>
      <c r="R746" s="2455"/>
      <c r="S746" s="2455"/>
      <c r="T746" s="2455"/>
      <c r="U746" s="2455"/>
      <c r="V746" s="2455"/>
      <c r="W746" s="2455"/>
      <c r="X746" s="2455"/>
      <c r="Y746" s="2455"/>
      <c r="Z746" s="2455"/>
    </row>
    <row r="747" spans="1:26" ht="12" x14ac:dyDescent="0.2">
      <c r="A747" s="2455"/>
      <c r="B747" s="2455"/>
      <c r="C747" s="2455"/>
      <c r="D747" s="2455"/>
      <c r="E747" s="2455"/>
      <c r="F747" s="2455"/>
      <c r="G747" s="2456"/>
      <c r="H747" s="2455"/>
      <c r="I747" s="2455"/>
      <c r="J747" s="2455"/>
      <c r="K747" s="2455"/>
      <c r="L747" s="2455"/>
      <c r="M747" s="2455"/>
      <c r="N747" s="2455"/>
      <c r="O747" s="2455"/>
      <c r="P747" s="2455"/>
      <c r="Q747" s="2455"/>
      <c r="R747" s="2455"/>
      <c r="S747" s="2455"/>
      <c r="T747" s="2455"/>
      <c r="U747" s="2455"/>
      <c r="V747" s="2455"/>
      <c r="W747" s="2455"/>
      <c r="X747" s="2455"/>
      <c r="Y747" s="2455"/>
      <c r="Z747" s="2455"/>
    </row>
    <row r="748" spans="1:26" ht="12" x14ac:dyDescent="0.2">
      <c r="A748" s="2455"/>
      <c r="B748" s="2455"/>
      <c r="C748" s="2455"/>
      <c r="D748" s="2455"/>
      <c r="E748" s="2455"/>
      <c r="F748" s="2455"/>
      <c r="G748" s="2456"/>
      <c r="H748" s="2455"/>
      <c r="I748" s="2455"/>
      <c r="J748" s="2455"/>
      <c r="K748" s="2455"/>
      <c r="L748" s="2455"/>
      <c r="M748" s="2455"/>
      <c r="N748" s="2455"/>
      <c r="O748" s="2455"/>
      <c r="P748" s="2455"/>
      <c r="Q748" s="2455"/>
      <c r="R748" s="2455"/>
      <c r="S748" s="2455"/>
      <c r="T748" s="2455"/>
      <c r="U748" s="2455"/>
      <c r="V748" s="2455"/>
      <c r="W748" s="2455"/>
      <c r="X748" s="2455"/>
      <c r="Y748" s="2455"/>
      <c r="Z748" s="2455"/>
    </row>
    <row r="749" spans="1:26" ht="12" x14ac:dyDescent="0.2">
      <c r="A749" s="2455"/>
      <c r="B749" s="2455"/>
      <c r="C749" s="2455"/>
      <c r="D749" s="2455"/>
      <c r="E749" s="2455"/>
      <c r="F749" s="2455"/>
      <c r="G749" s="2456"/>
      <c r="H749" s="2455"/>
      <c r="I749" s="2455"/>
      <c r="J749" s="2455"/>
      <c r="K749" s="2455"/>
      <c r="L749" s="2455"/>
      <c r="M749" s="2455"/>
      <c r="N749" s="2455"/>
      <c r="O749" s="2455"/>
      <c r="P749" s="2455"/>
      <c r="Q749" s="2455"/>
      <c r="R749" s="2455"/>
      <c r="S749" s="2455"/>
      <c r="T749" s="2455"/>
      <c r="U749" s="2455"/>
      <c r="V749" s="2455"/>
      <c r="W749" s="2455"/>
      <c r="X749" s="2455"/>
      <c r="Y749" s="2455"/>
      <c r="Z749" s="2455"/>
    </row>
    <row r="750" spans="1:26" ht="12" x14ac:dyDescent="0.2">
      <c r="A750" s="2455"/>
      <c r="B750" s="2455"/>
      <c r="C750" s="2455"/>
      <c r="D750" s="2455"/>
      <c r="E750" s="2455"/>
      <c r="F750" s="2455"/>
      <c r="G750" s="2456"/>
      <c r="H750" s="2455"/>
      <c r="I750" s="2455"/>
      <c r="J750" s="2455"/>
      <c r="K750" s="2455"/>
      <c r="L750" s="2455"/>
      <c r="M750" s="2455"/>
      <c r="N750" s="2455"/>
      <c r="O750" s="2455"/>
      <c r="P750" s="2455"/>
      <c r="Q750" s="2455"/>
      <c r="R750" s="2455"/>
      <c r="S750" s="2455"/>
      <c r="T750" s="2455"/>
      <c r="U750" s="2455"/>
      <c r="V750" s="2455"/>
      <c r="W750" s="2455"/>
      <c r="X750" s="2455"/>
      <c r="Y750" s="2455"/>
      <c r="Z750" s="2455"/>
    </row>
    <row r="751" spans="1:26" ht="12" x14ac:dyDescent="0.2">
      <c r="A751" s="2455"/>
      <c r="B751" s="2455"/>
      <c r="C751" s="2455"/>
      <c r="D751" s="2455"/>
      <c r="E751" s="2455"/>
      <c r="F751" s="2455"/>
      <c r="G751" s="2456"/>
      <c r="H751" s="2455"/>
      <c r="I751" s="2455"/>
      <c r="J751" s="2455"/>
      <c r="K751" s="2455"/>
      <c r="L751" s="2455"/>
      <c r="M751" s="2455"/>
      <c r="N751" s="2455"/>
      <c r="O751" s="2455"/>
      <c r="P751" s="2455"/>
      <c r="Q751" s="2455"/>
      <c r="R751" s="2455"/>
      <c r="S751" s="2455"/>
      <c r="T751" s="2455"/>
      <c r="U751" s="2455"/>
      <c r="V751" s="2455"/>
      <c r="W751" s="2455"/>
      <c r="X751" s="2455"/>
      <c r="Y751" s="2455"/>
      <c r="Z751" s="2455"/>
    </row>
    <row r="752" spans="1:26" ht="12" x14ac:dyDescent="0.2">
      <c r="A752" s="2455"/>
      <c r="B752" s="2455"/>
      <c r="C752" s="2455"/>
      <c r="D752" s="2455"/>
      <c r="E752" s="2455"/>
      <c r="F752" s="2455"/>
      <c r="G752" s="2456"/>
      <c r="H752" s="2455"/>
      <c r="I752" s="2455"/>
      <c r="J752" s="2455"/>
      <c r="K752" s="2455"/>
      <c r="L752" s="2455"/>
      <c r="M752" s="2455"/>
      <c r="N752" s="2455"/>
      <c r="O752" s="2455"/>
      <c r="P752" s="2455"/>
      <c r="Q752" s="2455"/>
      <c r="R752" s="2455"/>
      <c r="S752" s="2455"/>
      <c r="T752" s="2455"/>
      <c r="U752" s="2455"/>
      <c r="V752" s="2455"/>
      <c r="W752" s="2455"/>
      <c r="X752" s="2455"/>
      <c r="Y752" s="2455"/>
      <c r="Z752" s="2455"/>
    </row>
    <row r="753" spans="1:26" ht="12" x14ac:dyDescent="0.2">
      <c r="A753" s="2455"/>
      <c r="B753" s="2455"/>
      <c r="C753" s="2455"/>
      <c r="D753" s="2455"/>
      <c r="E753" s="2455"/>
      <c r="F753" s="2455"/>
      <c r="G753" s="2456"/>
      <c r="H753" s="2455"/>
      <c r="I753" s="2455"/>
      <c r="J753" s="2455"/>
      <c r="K753" s="2455"/>
      <c r="L753" s="2455"/>
      <c r="M753" s="2455"/>
      <c r="N753" s="2455"/>
      <c r="O753" s="2455"/>
      <c r="P753" s="2455"/>
      <c r="Q753" s="2455"/>
      <c r="R753" s="2455"/>
      <c r="S753" s="2455"/>
      <c r="T753" s="2455"/>
      <c r="U753" s="2455"/>
      <c r="V753" s="2455"/>
      <c r="W753" s="2455"/>
      <c r="X753" s="2455"/>
      <c r="Y753" s="2455"/>
      <c r="Z753" s="2455"/>
    </row>
    <row r="754" spans="1:26" ht="12" x14ac:dyDescent="0.2">
      <c r="A754" s="2455"/>
      <c r="B754" s="2455"/>
      <c r="C754" s="2455"/>
      <c r="D754" s="2455"/>
      <c r="E754" s="2455"/>
      <c r="F754" s="2455"/>
      <c r="G754" s="2456"/>
      <c r="H754" s="2455"/>
      <c r="I754" s="2455"/>
      <c r="J754" s="2455"/>
      <c r="K754" s="2455"/>
      <c r="L754" s="2455"/>
      <c r="M754" s="2455"/>
      <c r="N754" s="2455"/>
      <c r="O754" s="2455"/>
      <c r="P754" s="2455"/>
      <c r="Q754" s="2455"/>
      <c r="R754" s="2455"/>
      <c r="S754" s="2455"/>
      <c r="T754" s="2455"/>
      <c r="U754" s="2455"/>
      <c r="V754" s="2455"/>
      <c r="W754" s="2455"/>
      <c r="X754" s="2455"/>
      <c r="Y754" s="2455"/>
      <c r="Z754" s="2455"/>
    </row>
    <row r="755" spans="1:26" ht="12" x14ac:dyDescent="0.2">
      <c r="A755" s="2455"/>
      <c r="B755" s="2455"/>
      <c r="C755" s="2455"/>
      <c r="D755" s="2455"/>
      <c r="E755" s="2455"/>
      <c r="F755" s="2455"/>
      <c r="G755" s="2456"/>
      <c r="H755" s="2455"/>
      <c r="I755" s="2455"/>
      <c r="J755" s="2455"/>
      <c r="K755" s="2455"/>
      <c r="L755" s="2455"/>
      <c r="M755" s="2455"/>
      <c r="N755" s="2455"/>
      <c r="O755" s="2455"/>
      <c r="P755" s="2455"/>
      <c r="Q755" s="2455"/>
      <c r="R755" s="2455"/>
      <c r="S755" s="2455"/>
      <c r="T755" s="2455"/>
      <c r="U755" s="2455"/>
      <c r="V755" s="2455"/>
      <c r="W755" s="2455"/>
      <c r="X755" s="2455"/>
      <c r="Y755" s="2455"/>
      <c r="Z755" s="2455"/>
    </row>
    <row r="756" spans="1:26" ht="12" x14ac:dyDescent="0.2">
      <c r="A756" s="2455"/>
      <c r="B756" s="2455"/>
      <c r="C756" s="2455"/>
      <c r="D756" s="2455"/>
      <c r="E756" s="2455"/>
      <c r="F756" s="2455"/>
      <c r="G756" s="2456"/>
      <c r="H756" s="2455"/>
      <c r="I756" s="2455"/>
      <c r="J756" s="2455"/>
      <c r="K756" s="2455"/>
      <c r="L756" s="2455"/>
      <c r="M756" s="2455"/>
      <c r="N756" s="2455"/>
      <c r="O756" s="2455"/>
      <c r="P756" s="2455"/>
      <c r="Q756" s="2455"/>
      <c r="R756" s="2455"/>
      <c r="S756" s="2455"/>
      <c r="T756" s="2455"/>
      <c r="U756" s="2455"/>
      <c r="V756" s="2455"/>
      <c r="W756" s="2455"/>
      <c r="X756" s="2455"/>
      <c r="Y756" s="2455"/>
      <c r="Z756" s="2455"/>
    </row>
    <row r="757" spans="1:26" ht="12" x14ac:dyDescent="0.2">
      <c r="A757" s="2455"/>
      <c r="B757" s="2455"/>
      <c r="C757" s="2455"/>
      <c r="D757" s="2455"/>
      <c r="E757" s="2455"/>
      <c r="F757" s="2455"/>
      <c r="G757" s="2456"/>
      <c r="H757" s="2455"/>
      <c r="I757" s="2455"/>
      <c r="J757" s="2455"/>
      <c r="K757" s="2455"/>
      <c r="L757" s="2455"/>
      <c r="M757" s="2455"/>
      <c r="N757" s="2455"/>
      <c r="O757" s="2455"/>
      <c r="P757" s="2455"/>
      <c r="Q757" s="2455"/>
      <c r="R757" s="2455"/>
      <c r="S757" s="2455"/>
      <c r="T757" s="2455"/>
      <c r="U757" s="2455"/>
      <c r="V757" s="2455"/>
      <c r="W757" s="2455"/>
      <c r="X757" s="2455"/>
      <c r="Y757" s="2455"/>
      <c r="Z757" s="2455"/>
    </row>
    <row r="758" spans="1:26" ht="12" x14ac:dyDescent="0.2">
      <c r="A758" s="2455"/>
      <c r="B758" s="2455"/>
      <c r="C758" s="2455"/>
      <c r="D758" s="2455"/>
      <c r="E758" s="2455"/>
      <c r="F758" s="2455"/>
      <c r="G758" s="2456"/>
      <c r="H758" s="2455"/>
      <c r="I758" s="2455"/>
      <c r="J758" s="2455"/>
      <c r="K758" s="2455"/>
      <c r="L758" s="2455"/>
      <c r="M758" s="2455"/>
      <c r="N758" s="2455"/>
      <c r="O758" s="2455"/>
      <c r="P758" s="2455"/>
      <c r="Q758" s="2455"/>
      <c r="R758" s="2455"/>
      <c r="S758" s="2455"/>
      <c r="T758" s="2455"/>
      <c r="U758" s="2455"/>
      <c r="V758" s="2455"/>
      <c r="W758" s="2455"/>
      <c r="X758" s="2455"/>
      <c r="Y758" s="2455"/>
      <c r="Z758" s="2455"/>
    </row>
    <row r="759" spans="1:26" ht="12" x14ac:dyDescent="0.2">
      <c r="A759" s="2455"/>
      <c r="B759" s="2455"/>
      <c r="C759" s="2455"/>
      <c r="D759" s="2455"/>
      <c r="E759" s="2455"/>
      <c r="F759" s="2455"/>
      <c r="G759" s="2456"/>
      <c r="H759" s="2455"/>
      <c r="I759" s="2455"/>
      <c r="J759" s="2455"/>
      <c r="K759" s="2455"/>
      <c r="L759" s="2455"/>
      <c r="M759" s="2455"/>
      <c r="N759" s="2455"/>
      <c r="O759" s="2455"/>
      <c r="P759" s="2455"/>
      <c r="Q759" s="2455"/>
      <c r="R759" s="2455"/>
      <c r="S759" s="2455"/>
      <c r="T759" s="2455"/>
      <c r="U759" s="2455"/>
      <c r="V759" s="2455"/>
      <c r="W759" s="2455"/>
      <c r="X759" s="2455"/>
      <c r="Y759" s="2455"/>
      <c r="Z759" s="2455"/>
    </row>
    <row r="760" spans="1:26" ht="12" x14ac:dyDescent="0.2">
      <c r="A760" s="2455"/>
      <c r="B760" s="2455"/>
      <c r="C760" s="2455"/>
      <c r="D760" s="2455"/>
      <c r="E760" s="2455"/>
      <c r="F760" s="2455"/>
      <c r="G760" s="2456"/>
      <c r="H760" s="2455"/>
      <c r="I760" s="2455"/>
      <c r="J760" s="2455"/>
      <c r="K760" s="2455"/>
      <c r="L760" s="2455"/>
      <c r="M760" s="2455"/>
      <c r="N760" s="2455"/>
      <c r="O760" s="2455"/>
      <c r="P760" s="2455"/>
      <c r="Q760" s="2455"/>
      <c r="R760" s="2455"/>
      <c r="S760" s="2455"/>
      <c r="T760" s="2455"/>
      <c r="U760" s="2455"/>
      <c r="V760" s="2455"/>
      <c r="W760" s="2455"/>
      <c r="X760" s="2455"/>
      <c r="Y760" s="2455"/>
      <c r="Z760" s="2455"/>
    </row>
    <row r="761" spans="1:26" ht="12" x14ac:dyDescent="0.2">
      <c r="A761" s="2455"/>
      <c r="B761" s="2455"/>
      <c r="C761" s="2455"/>
      <c r="D761" s="2455"/>
      <c r="E761" s="2455"/>
      <c r="F761" s="2455"/>
      <c r="G761" s="2456"/>
      <c r="H761" s="2455"/>
      <c r="I761" s="2455"/>
      <c r="J761" s="2455"/>
      <c r="K761" s="2455"/>
      <c r="L761" s="2455"/>
      <c r="M761" s="2455"/>
      <c r="N761" s="2455"/>
      <c r="O761" s="2455"/>
      <c r="P761" s="2455"/>
      <c r="Q761" s="2455"/>
      <c r="R761" s="2455"/>
      <c r="S761" s="2455"/>
      <c r="T761" s="2455"/>
      <c r="U761" s="2455"/>
      <c r="V761" s="2455"/>
      <c r="W761" s="2455"/>
      <c r="X761" s="2455"/>
      <c r="Y761" s="2455"/>
      <c r="Z761" s="2455"/>
    </row>
    <row r="762" spans="1:26" ht="12" x14ac:dyDescent="0.2">
      <c r="A762" s="2455"/>
      <c r="B762" s="2455"/>
      <c r="C762" s="2455"/>
      <c r="D762" s="2455"/>
      <c r="E762" s="2455"/>
      <c r="F762" s="2455"/>
      <c r="G762" s="2456"/>
      <c r="H762" s="2455"/>
      <c r="I762" s="2455"/>
      <c r="J762" s="2455"/>
      <c r="K762" s="2455"/>
      <c r="L762" s="2455"/>
      <c r="M762" s="2455"/>
      <c r="N762" s="2455"/>
      <c r="O762" s="2455"/>
      <c r="P762" s="2455"/>
      <c r="Q762" s="2455"/>
      <c r="R762" s="2455"/>
      <c r="S762" s="2455"/>
      <c r="T762" s="2455"/>
      <c r="U762" s="2455"/>
      <c r="V762" s="2455"/>
      <c r="W762" s="2455"/>
      <c r="X762" s="2455"/>
      <c r="Y762" s="2455"/>
      <c r="Z762" s="2455"/>
    </row>
    <row r="763" spans="1:26" ht="12" x14ac:dyDescent="0.2">
      <c r="A763" s="2455"/>
      <c r="B763" s="2455"/>
      <c r="C763" s="2455"/>
      <c r="D763" s="2455"/>
      <c r="E763" s="2455"/>
      <c r="F763" s="2455"/>
      <c r="G763" s="2456"/>
      <c r="H763" s="2455"/>
      <c r="I763" s="2455"/>
      <c r="J763" s="2455"/>
      <c r="K763" s="2455"/>
      <c r="L763" s="2455"/>
      <c r="M763" s="2455"/>
      <c r="N763" s="2455"/>
      <c r="O763" s="2455"/>
      <c r="P763" s="2455"/>
      <c r="Q763" s="2455"/>
      <c r="R763" s="2455"/>
      <c r="S763" s="2455"/>
      <c r="T763" s="2455"/>
      <c r="U763" s="2455"/>
      <c r="V763" s="2455"/>
      <c r="W763" s="2455"/>
      <c r="X763" s="2455"/>
      <c r="Y763" s="2455"/>
      <c r="Z763" s="2455"/>
    </row>
    <row r="764" spans="1:26" ht="12" x14ac:dyDescent="0.2">
      <c r="A764" s="2455"/>
      <c r="B764" s="2455"/>
      <c r="C764" s="2455"/>
      <c r="D764" s="2455"/>
      <c r="E764" s="2455"/>
      <c r="F764" s="2455"/>
      <c r="G764" s="2456"/>
      <c r="H764" s="2455"/>
      <c r="I764" s="2455"/>
      <c r="J764" s="2455"/>
      <c r="K764" s="2455"/>
      <c r="L764" s="2455"/>
      <c r="M764" s="2455"/>
      <c r="N764" s="2455"/>
      <c r="O764" s="2455"/>
      <c r="P764" s="2455"/>
      <c r="Q764" s="2455"/>
      <c r="R764" s="2455"/>
      <c r="S764" s="2455"/>
      <c r="T764" s="2455"/>
      <c r="U764" s="2455"/>
      <c r="V764" s="2455"/>
      <c r="W764" s="2455"/>
      <c r="X764" s="2455"/>
      <c r="Y764" s="2455"/>
      <c r="Z764" s="2455"/>
    </row>
    <row r="765" spans="1:26" ht="12" x14ac:dyDescent="0.2">
      <c r="A765" s="2455"/>
      <c r="B765" s="2455"/>
      <c r="C765" s="2455"/>
      <c r="D765" s="2455"/>
      <c r="E765" s="2455"/>
      <c r="F765" s="2455"/>
      <c r="G765" s="2456"/>
      <c r="H765" s="2455"/>
      <c r="I765" s="2455"/>
      <c r="J765" s="2455"/>
      <c r="K765" s="2455"/>
      <c r="L765" s="2455"/>
      <c r="M765" s="2455"/>
      <c r="N765" s="2455"/>
      <c r="O765" s="2455"/>
      <c r="P765" s="2455"/>
      <c r="Q765" s="2455"/>
      <c r="R765" s="2455"/>
      <c r="S765" s="2455"/>
      <c r="T765" s="2455"/>
      <c r="U765" s="2455"/>
      <c r="V765" s="2455"/>
      <c r="W765" s="2455"/>
      <c r="X765" s="2455"/>
      <c r="Y765" s="2455"/>
      <c r="Z765" s="2455"/>
    </row>
    <row r="766" spans="1:26" ht="12" x14ac:dyDescent="0.2">
      <c r="A766" s="2455"/>
      <c r="B766" s="2455"/>
      <c r="C766" s="2455"/>
      <c r="D766" s="2455"/>
      <c r="E766" s="2455"/>
      <c r="F766" s="2455"/>
      <c r="G766" s="2456"/>
      <c r="H766" s="2455"/>
      <c r="I766" s="2455"/>
      <c r="J766" s="2455"/>
      <c r="K766" s="2455"/>
      <c r="L766" s="2455"/>
      <c r="M766" s="2455"/>
      <c r="N766" s="2455"/>
      <c r="O766" s="2455"/>
      <c r="P766" s="2455"/>
      <c r="Q766" s="2455"/>
      <c r="R766" s="2455"/>
      <c r="S766" s="2455"/>
      <c r="T766" s="2455"/>
      <c r="U766" s="2455"/>
      <c r="V766" s="2455"/>
      <c r="W766" s="2455"/>
      <c r="X766" s="2455"/>
      <c r="Y766" s="2455"/>
      <c r="Z766" s="2455"/>
    </row>
    <row r="767" spans="1:26" ht="12" x14ac:dyDescent="0.2">
      <c r="A767" s="2455"/>
      <c r="B767" s="2455"/>
      <c r="C767" s="2455"/>
      <c r="D767" s="2455"/>
      <c r="E767" s="2455"/>
      <c r="F767" s="2455"/>
      <c r="G767" s="2456"/>
      <c r="H767" s="2455"/>
      <c r="I767" s="2455"/>
      <c r="J767" s="2455"/>
      <c r="K767" s="2455"/>
      <c r="L767" s="2455"/>
      <c r="M767" s="2455"/>
      <c r="N767" s="2455"/>
      <c r="O767" s="2455"/>
      <c r="P767" s="2455"/>
      <c r="Q767" s="2455"/>
      <c r="R767" s="2455"/>
      <c r="S767" s="2455"/>
      <c r="T767" s="2455"/>
      <c r="U767" s="2455"/>
      <c r="V767" s="2455"/>
      <c r="W767" s="2455"/>
      <c r="X767" s="2455"/>
      <c r="Y767" s="2455"/>
      <c r="Z767" s="2455"/>
    </row>
    <row r="768" spans="1:26" ht="12" x14ac:dyDescent="0.2">
      <c r="A768" s="2455"/>
      <c r="B768" s="2455"/>
      <c r="C768" s="2455"/>
      <c r="D768" s="2455"/>
      <c r="E768" s="2455"/>
      <c r="F768" s="2455"/>
      <c r="G768" s="2456"/>
      <c r="H768" s="2455"/>
      <c r="I768" s="2455"/>
      <c r="J768" s="2455"/>
      <c r="K768" s="2455"/>
      <c r="L768" s="2455"/>
      <c r="M768" s="2455"/>
      <c r="N768" s="2455"/>
      <c r="O768" s="2455"/>
      <c r="P768" s="2455"/>
      <c r="Q768" s="2455"/>
      <c r="R768" s="2455"/>
      <c r="S768" s="2455"/>
      <c r="T768" s="2455"/>
      <c r="U768" s="2455"/>
      <c r="V768" s="2455"/>
      <c r="W768" s="2455"/>
      <c r="X768" s="2455"/>
      <c r="Y768" s="2455"/>
      <c r="Z768" s="2455"/>
    </row>
    <row r="769" spans="1:26" ht="12" x14ac:dyDescent="0.2">
      <c r="A769" s="2455"/>
      <c r="B769" s="2455"/>
      <c r="C769" s="2455"/>
      <c r="D769" s="2455"/>
      <c r="E769" s="2455"/>
      <c r="F769" s="2455"/>
      <c r="G769" s="2456"/>
      <c r="H769" s="2455"/>
      <c r="I769" s="2455"/>
      <c r="J769" s="2455"/>
      <c r="K769" s="2455"/>
      <c r="L769" s="2455"/>
      <c r="M769" s="2455"/>
      <c r="N769" s="2455"/>
      <c r="O769" s="2455"/>
      <c r="P769" s="2455"/>
      <c r="Q769" s="2455"/>
      <c r="R769" s="2455"/>
      <c r="S769" s="2455"/>
      <c r="T769" s="2455"/>
      <c r="U769" s="2455"/>
      <c r="V769" s="2455"/>
      <c r="W769" s="2455"/>
      <c r="X769" s="2455"/>
      <c r="Y769" s="2455"/>
      <c r="Z769" s="2455"/>
    </row>
    <row r="770" spans="1:26" ht="12" x14ac:dyDescent="0.2">
      <c r="A770" s="2455"/>
      <c r="B770" s="2455"/>
      <c r="C770" s="2455"/>
      <c r="D770" s="2455"/>
      <c r="E770" s="2455"/>
      <c r="F770" s="2455"/>
      <c r="G770" s="2456"/>
      <c r="H770" s="2455"/>
      <c r="I770" s="2455"/>
      <c r="J770" s="2455"/>
      <c r="K770" s="2455"/>
      <c r="L770" s="2455"/>
      <c r="M770" s="2455"/>
      <c r="N770" s="2455"/>
      <c r="O770" s="2455"/>
      <c r="P770" s="2455"/>
      <c r="Q770" s="2455"/>
      <c r="R770" s="2455"/>
      <c r="S770" s="2455"/>
      <c r="T770" s="2455"/>
      <c r="U770" s="2455"/>
      <c r="V770" s="2455"/>
      <c r="W770" s="2455"/>
      <c r="X770" s="2455"/>
      <c r="Y770" s="2455"/>
      <c r="Z770" s="2455"/>
    </row>
    <row r="771" spans="1:26" ht="12" x14ac:dyDescent="0.2">
      <c r="A771" s="2455"/>
      <c r="B771" s="2455"/>
      <c r="C771" s="2455"/>
      <c r="D771" s="2455"/>
      <c r="E771" s="2455"/>
      <c r="F771" s="2455"/>
      <c r="G771" s="2456"/>
      <c r="H771" s="2455"/>
      <c r="I771" s="2455"/>
      <c r="J771" s="2455"/>
      <c r="K771" s="2455"/>
      <c r="L771" s="2455"/>
      <c r="M771" s="2455"/>
      <c r="N771" s="2455"/>
      <c r="O771" s="2455"/>
      <c r="P771" s="2455"/>
      <c r="Q771" s="2455"/>
      <c r="R771" s="2455"/>
      <c r="S771" s="2455"/>
      <c r="T771" s="2455"/>
      <c r="U771" s="2455"/>
      <c r="V771" s="2455"/>
      <c r="W771" s="2455"/>
      <c r="X771" s="2455"/>
      <c r="Y771" s="2455"/>
      <c r="Z771" s="2455"/>
    </row>
    <row r="772" spans="1:26" ht="12" x14ac:dyDescent="0.2">
      <c r="A772" s="2455"/>
      <c r="B772" s="2455"/>
      <c r="C772" s="2455"/>
      <c r="D772" s="2455"/>
      <c r="E772" s="2455"/>
      <c r="F772" s="2455"/>
      <c r="G772" s="2456"/>
      <c r="H772" s="2455"/>
      <c r="I772" s="2455"/>
      <c r="J772" s="2455"/>
      <c r="K772" s="2455"/>
      <c r="L772" s="2455"/>
      <c r="M772" s="2455"/>
      <c r="N772" s="2455"/>
      <c r="O772" s="2455"/>
      <c r="P772" s="2455"/>
      <c r="Q772" s="2455"/>
      <c r="R772" s="2455"/>
      <c r="S772" s="2455"/>
      <c r="T772" s="2455"/>
      <c r="U772" s="2455"/>
      <c r="V772" s="2455"/>
      <c r="W772" s="2455"/>
      <c r="X772" s="2455"/>
      <c r="Y772" s="2455"/>
      <c r="Z772" s="2455"/>
    </row>
    <row r="773" spans="1:26" ht="12" x14ac:dyDescent="0.2">
      <c r="A773" s="2455"/>
      <c r="B773" s="2455"/>
      <c r="C773" s="2455"/>
      <c r="D773" s="2455"/>
      <c r="E773" s="2455"/>
      <c r="F773" s="2455"/>
      <c r="G773" s="2456"/>
      <c r="H773" s="2455"/>
      <c r="I773" s="2455"/>
      <c r="J773" s="2455"/>
      <c r="K773" s="2455"/>
      <c r="L773" s="2455"/>
      <c r="M773" s="2455"/>
      <c r="N773" s="2455"/>
      <c r="O773" s="2455"/>
      <c r="P773" s="2455"/>
      <c r="Q773" s="2455"/>
      <c r="R773" s="2455"/>
      <c r="S773" s="2455"/>
      <c r="T773" s="2455"/>
      <c r="U773" s="2455"/>
      <c r="V773" s="2455"/>
      <c r="W773" s="2455"/>
      <c r="X773" s="2455"/>
      <c r="Y773" s="2455"/>
      <c r="Z773" s="2455"/>
    </row>
    <row r="774" spans="1:26" ht="12" x14ac:dyDescent="0.2">
      <c r="A774" s="2455"/>
      <c r="B774" s="2455"/>
      <c r="C774" s="2455"/>
      <c r="D774" s="2455"/>
      <c r="E774" s="2455"/>
      <c r="F774" s="2455"/>
      <c r="G774" s="2456"/>
      <c r="H774" s="2455"/>
      <c r="I774" s="2455"/>
      <c r="J774" s="2455"/>
      <c r="K774" s="2455"/>
      <c r="L774" s="2455"/>
      <c r="M774" s="2455"/>
      <c r="N774" s="2455"/>
      <c r="O774" s="2455"/>
      <c r="P774" s="2455"/>
      <c r="Q774" s="2455"/>
      <c r="R774" s="2455"/>
      <c r="S774" s="2455"/>
      <c r="T774" s="2455"/>
      <c r="U774" s="2455"/>
      <c r="V774" s="2455"/>
      <c r="W774" s="2455"/>
      <c r="X774" s="2455"/>
      <c r="Y774" s="2455"/>
      <c r="Z774" s="2455"/>
    </row>
    <row r="775" spans="1:26" ht="12" x14ac:dyDescent="0.2">
      <c r="A775" s="2455"/>
      <c r="B775" s="2455"/>
      <c r="C775" s="2455"/>
      <c r="D775" s="2455"/>
      <c r="E775" s="2455"/>
      <c r="F775" s="2455"/>
      <c r="G775" s="2456"/>
      <c r="H775" s="2455"/>
      <c r="I775" s="2455"/>
      <c r="J775" s="2455"/>
      <c r="K775" s="2455"/>
      <c r="L775" s="2455"/>
      <c r="M775" s="2455"/>
      <c r="N775" s="2455"/>
      <c r="O775" s="2455"/>
      <c r="P775" s="2455"/>
      <c r="Q775" s="2455"/>
      <c r="R775" s="2455"/>
      <c r="S775" s="2455"/>
      <c r="T775" s="2455"/>
      <c r="U775" s="2455"/>
      <c r="V775" s="2455"/>
      <c r="W775" s="2455"/>
      <c r="X775" s="2455"/>
      <c r="Y775" s="2455"/>
      <c r="Z775" s="2455"/>
    </row>
    <row r="776" spans="1:26" ht="12" x14ac:dyDescent="0.2">
      <c r="A776" s="2455"/>
      <c r="B776" s="2455"/>
      <c r="C776" s="2455"/>
      <c r="D776" s="2455"/>
      <c r="E776" s="2455"/>
      <c r="F776" s="2455"/>
      <c r="G776" s="2456"/>
      <c r="H776" s="2455"/>
      <c r="I776" s="2455"/>
      <c r="J776" s="2455"/>
      <c r="K776" s="2455"/>
      <c r="L776" s="2455"/>
      <c r="M776" s="2455"/>
      <c r="N776" s="2455"/>
      <c r="O776" s="2455"/>
      <c r="P776" s="2455"/>
      <c r="Q776" s="2455"/>
      <c r="R776" s="2455"/>
      <c r="S776" s="2455"/>
      <c r="T776" s="2455"/>
      <c r="U776" s="2455"/>
      <c r="V776" s="2455"/>
      <c r="W776" s="2455"/>
      <c r="X776" s="2455"/>
      <c r="Y776" s="2455"/>
      <c r="Z776" s="2455"/>
    </row>
    <row r="777" spans="1:26" ht="12" x14ac:dyDescent="0.2">
      <c r="A777" s="2455"/>
      <c r="B777" s="2455"/>
      <c r="C777" s="2455"/>
      <c r="D777" s="2455"/>
      <c r="E777" s="2455"/>
      <c r="F777" s="2455"/>
      <c r="G777" s="2456"/>
      <c r="H777" s="2455"/>
      <c r="I777" s="2455"/>
      <c r="J777" s="2455"/>
      <c r="K777" s="2455"/>
      <c r="L777" s="2455"/>
      <c r="M777" s="2455"/>
      <c r="N777" s="2455"/>
      <c r="O777" s="2455"/>
      <c r="P777" s="2455"/>
      <c r="Q777" s="2455"/>
      <c r="R777" s="2455"/>
      <c r="S777" s="2455"/>
      <c r="T777" s="2455"/>
      <c r="U777" s="2455"/>
      <c r="V777" s="2455"/>
      <c r="W777" s="2455"/>
      <c r="X777" s="2455"/>
      <c r="Y777" s="2455"/>
      <c r="Z777" s="2455"/>
    </row>
    <row r="778" spans="1:26" ht="12" x14ac:dyDescent="0.2">
      <c r="A778" s="2455"/>
      <c r="B778" s="2455"/>
      <c r="C778" s="2455"/>
      <c r="D778" s="2455"/>
      <c r="E778" s="2455"/>
      <c r="F778" s="2455"/>
      <c r="G778" s="2456"/>
      <c r="H778" s="2455"/>
      <c r="I778" s="2455"/>
      <c r="J778" s="2455"/>
      <c r="K778" s="2455"/>
      <c r="L778" s="2455"/>
      <c r="M778" s="2455"/>
      <c r="N778" s="2455"/>
      <c r="O778" s="2455"/>
      <c r="P778" s="2455"/>
      <c r="Q778" s="2455"/>
      <c r="R778" s="2455"/>
      <c r="S778" s="2455"/>
      <c r="T778" s="2455"/>
      <c r="U778" s="2455"/>
      <c r="V778" s="2455"/>
      <c r="W778" s="2455"/>
      <c r="X778" s="2455"/>
      <c r="Y778" s="2455"/>
      <c r="Z778" s="2455"/>
    </row>
    <row r="779" spans="1:26" ht="12" x14ac:dyDescent="0.2">
      <c r="A779" s="2455"/>
      <c r="B779" s="2455"/>
      <c r="C779" s="2455"/>
      <c r="D779" s="2455"/>
      <c r="E779" s="2455"/>
      <c r="F779" s="2455"/>
      <c r="G779" s="2456"/>
      <c r="H779" s="2455"/>
      <c r="I779" s="2455"/>
      <c r="J779" s="2455"/>
      <c r="K779" s="2455"/>
      <c r="L779" s="2455"/>
      <c r="M779" s="2455"/>
      <c r="N779" s="2455"/>
      <c r="O779" s="2455"/>
      <c r="P779" s="2455"/>
      <c r="Q779" s="2455"/>
      <c r="R779" s="2455"/>
      <c r="S779" s="2455"/>
      <c r="T779" s="2455"/>
      <c r="U779" s="2455"/>
      <c r="V779" s="2455"/>
      <c r="W779" s="2455"/>
      <c r="X779" s="2455"/>
      <c r="Y779" s="2455"/>
      <c r="Z779" s="2455"/>
    </row>
    <row r="780" spans="1:26" ht="12" x14ac:dyDescent="0.2">
      <c r="A780" s="2455"/>
      <c r="B780" s="2455"/>
      <c r="C780" s="2455"/>
      <c r="D780" s="2455"/>
      <c r="E780" s="2455"/>
      <c r="F780" s="2455"/>
      <c r="G780" s="2456"/>
      <c r="H780" s="2455"/>
      <c r="I780" s="2455"/>
      <c r="J780" s="2455"/>
      <c r="K780" s="2455"/>
      <c r="L780" s="2455"/>
      <c r="M780" s="2455"/>
      <c r="N780" s="2455"/>
      <c r="O780" s="2455"/>
      <c r="P780" s="2455"/>
      <c r="Q780" s="2455"/>
      <c r="R780" s="2455"/>
      <c r="S780" s="2455"/>
      <c r="T780" s="2455"/>
      <c r="U780" s="2455"/>
      <c r="V780" s="2455"/>
      <c r="W780" s="2455"/>
      <c r="X780" s="2455"/>
      <c r="Y780" s="2455"/>
      <c r="Z780" s="2455"/>
    </row>
    <row r="781" spans="1:26" ht="12" x14ac:dyDescent="0.2">
      <c r="A781" s="2455"/>
      <c r="B781" s="2455"/>
      <c r="C781" s="2455"/>
      <c r="D781" s="2455"/>
      <c r="E781" s="2455"/>
      <c r="F781" s="2455"/>
      <c r="G781" s="2456"/>
      <c r="H781" s="2455"/>
      <c r="I781" s="2455"/>
      <c r="J781" s="2455"/>
      <c r="K781" s="2455"/>
      <c r="L781" s="2455"/>
      <c r="M781" s="2455"/>
      <c r="N781" s="2455"/>
      <c r="O781" s="2455"/>
      <c r="P781" s="2455"/>
      <c r="Q781" s="2455"/>
      <c r="R781" s="2455"/>
      <c r="S781" s="2455"/>
      <c r="T781" s="2455"/>
      <c r="U781" s="2455"/>
      <c r="V781" s="2455"/>
      <c r="W781" s="2455"/>
      <c r="X781" s="2455"/>
      <c r="Y781" s="2455"/>
      <c r="Z781" s="2455"/>
    </row>
    <row r="782" spans="1:26" ht="12" x14ac:dyDescent="0.2">
      <c r="A782" s="2455"/>
      <c r="B782" s="2455"/>
      <c r="C782" s="2455"/>
      <c r="D782" s="2455"/>
      <c r="E782" s="2455"/>
      <c r="F782" s="2455"/>
      <c r="G782" s="2456"/>
      <c r="H782" s="2455"/>
      <c r="I782" s="2455"/>
      <c r="J782" s="2455"/>
      <c r="K782" s="2455"/>
      <c r="L782" s="2455"/>
      <c r="M782" s="2455"/>
      <c r="N782" s="2455"/>
      <c r="O782" s="2455"/>
      <c r="P782" s="2455"/>
      <c r="Q782" s="2455"/>
      <c r="R782" s="2455"/>
      <c r="S782" s="2455"/>
      <c r="T782" s="2455"/>
      <c r="U782" s="2455"/>
      <c r="V782" s="2455"/>
      <c r="W782" s="2455"/>
      <c r="X782" s="2455"/>
      <c r="Y782" s="2455"/>
      <c r="Z782" s="2455"/>
    </row>
    <row r="783" spans="1:26" ht="12" x14ac:dyDescent="0.2">
      <c r="A783" s="2455"/>
      <c r="B783" s="2455"/>
      <c r="C783" s="2455"/>
      <c r="D783" s="2455"/>
      <c r="E783" s="2455"/>
      <c r="F783" s="2455"/>
      <c r="G783" s="2456"/>
      <c r="H783" s="2455"/>
      <c r="I783" s="2455"/>
      <c r="J783" s="2455"/>
      <c r="K783" s="2455"/>
      <c r="L783" s="2455"/>
      <c r="M783" s="2455"/>
      <c r="N783" s="2455"/>
      <c r="O783" s="2455"/>
      <c r="P783" s="2455"/>
      <c r="Q783" s="2455"/>
      <c r="R783" s="2455"/>
      <c r="S783" s="2455"/>
      <c r="T783" s="2455"/>
      <c r="U783" s="2455"/>
      <c r="V783" s="2455"/>
      <c r="W783" s="2455"/>
      <c r="X783" s="2455"/>
      <c r="Y783" s="2455"/>
      <c r="Z783" s="2455"/>
    </row>
    <row r="784" spans="1:26" ht="12" x14ac:dyDescent="0.2">
      <c r="A784" s="2455"/>
      <c r="B784" s="2455"/>
      <c r="C784" s="2455"/>
      <c r="D784" s="2455"/>
      <c r="E784" s="2455"/>
      <c r="F784" s="2455"/>
      <c r="G784" s="2456"/>
      <c r="H784" s="2455"/>
      <c r="I784" s="2455"/>
      <c r="J784" s="2455"/>
      <c r="K784" s="2455"/>
      <c r="L784" s="2455"/>
      <c r="M784" s="2455"/>
      <c r="N784" s="2455"/>
      <c r="O784" s="2455"/>
      <c r="P784" s="2455"/>
      <c r="Q784" s="2455"/>
      <c r="R784" s="2455"/>
      <c r="S784" s="2455"/>
      <c r="T784" s="2455"/>
      <c r="U784" s="2455"/>
      <c r="V784" s="2455"/>
      <c r="W784" s="2455"/>
      <c r="X784" s="2455"/>
      <c r="Y784" s="2455"/>
      <c r="Z784" s="2455"/>
    </row>
    <row r="785" spans="1:26" ht="12" x14ac:dyDescent="0.2">
      <c r="A785" s="2455"/>
      <c r="B785" s="2455"/>
      <c r="C785" s="2455"/>
      <c r="D785" s="2455"/>
      <c r="E785" s="2455"/>
      <c r="F785" s="2455"/>
      <c r="G785" s="2456"/>
      <c r="H785" s="2455"/>
      <c r="I785" s="2455"/>
      <c r="J785" s="2455"/>
      <c r="K785" s="2455"/>
      <c r="L785" s="2455"/>
      <c r="M785" s="2455"/>
      <c r="N785" s="2455"/>
      <c r="O785" s="2455"/>
      <c r="P785" s="2455"/>
      <c r="Q785" s="2455"/>
      <c r="R785" s="2455"/>
      <c r="S785" s="2455"/>
      <c r="T785" s="2455"/>
      <c r="U785" s="2455"/>
      <c r="V785" s="2455"/>
      <c r="W785" s="2455"/>
      <c r="X785" s="2455"/>
      <c r="Y785" s="2455"/>
      <c r="Z785" s="2455"/>
    </row>
    <row r="786" spans="1:26" ht="12" x14ac:dyDescent="0.2">
      <c r="A786" s="2455"/>
      <c r="B786" s="2455"/>
      <c r="C786" s="2455"/>
      <c r="D786" s="2455"/>
      <c r="E786" s="2455"/>
      <c r="F786" s="2455"/>
      <c r="G786" s="2456"/>
      <c r="H786" s="2455"/>
      <c r="I786" s="2455"/>
      <c r="J786" s="2455"/>
      <c r="K786" s="2455"/>
      <c r="L786" s="2455"/>
      <c r="M786" s="2455"/>
      <c r="N786" s="2455"/>
      <c r="O786" s="2455"/>
      <c r="P786" s="2455"/>
      <c r="Q786" s="2455"/>
      <c r="R786" s="2455"/>
      <c r="S786" s="2455"/>
      <c r="T786" s="2455"/>
      <c r="U786" s="2455"/>
      <c r="V786" s="2455"/>
      <c r="W786" s="2455"/>
      <c r="X786" s="2455"/>
      <c r="Y786" s="2455"/>
      <c r="Z786" s="2455"/>
    </row>
    <row r="787" spans="1:26" ht="12" x14ac:dyDescent="0.2">
      <c r="A787" s="2455"/>
      <c r="B787" s="2455"/>
      <c r="C787" s="2455"/>
      <c r="D787" s="2455"/>
      <c r="E787" s="2455"/>
      <c r="F787" s="2455"/>
      <c r="G787" s="2456"/>
      <c r="H787" s="2455"/>
      <c r="I787" s="2455"/>
      <c r="J787" s="2455"/>
      <c r="K787" s="2455"/>
      <c r="L787" s="2455"/>
      <c r="M787" s="2455"/>
      <c r="N787" s="2455"/>
      <c r="O787" s="2455"/>
      <c r="P787" s="2455"/>
      <c r="Q787" s="2455"/>
      <c r="R787" s="2455"/>
      <c r="S787" s="2455"/>
      <c r="T787" s="2455"/>
      <c r="U787" s="2455"/>
      <c r="V787" s="2455"/>
      <c r="W787" s="2455"/>
      <c r="X787" s="2455"/>
      <c r="Y787" s="2455"/>
      <c r="Z787" s="2455"/>
    </row>
    <row r="788" spans="1:26" ht="12" x14ac:dyDescent="0.2">
      <c r="A788" s="2455"/>
      <c r="B788" s="2455"/>
      <c r="C788" s="2455"/>
      <c r="D788" s="2455"/>
      <c r="E788" s="2455"/>
      <c r="F788" s="2455"/>
      <c r="G788" s="2456"/>
      <c r="H788" s="2455"/>
      <c r="I788" s="2455"/>
      <c r="J788" s="2455"/>
      <c r="K788" s="2455"/>
      <c r="L788" s="2455"/>
      <c r="M788" s="2455"/>
      <c r="N788" s="2455"/>
      <c r="O788" s="2455"/>
      <c r="P788" s="2455"/>
      <c r="Q788" s="2455"/>
      <c r="R788" s="2455"/>
      <c r="S788" s="2455"/>
      <c r="T788" s="2455"/>
      <c r="U788" s="2455"/>
      <c r="V788" s="2455"/>
      <c r="W788" s="2455"/>
      <c r="X788" s="2455"/>
      <c r="Y788" s="2455"/>
      <c r="Z788" s="2455"/>
    </row>
    <row r="789" spans="1:26" ht="12" x14ac:dyDescent="0.2">
      <c r="A789" s="2455"/>
      <c r="B789" s="2455"/>
      <c r="C789" s="2455"/>
      <c r="D789" s="2455"/>
      <c r="E789" s="2455"/>
      <c r="F789" s="2455"/>
      <c r="G789" s="2456"/>
      <c r="H789" s="2455"/>
      <c r="I789" s="2455"/>
      <c r="J789" s="2455"/>
      <c r="K789" s="2455"/>
      <c r="L789" s="2455"/>
      <c r="M789" s="2455"/>
      <c r="N789" s="2455"/>
      <c r="O789" s="2455"/>
      <c r="P789" s="2455"/>
      <c r="Q789" s="2455"/>
      <c r="R789" s="2455"/>
      <c r="S789" s="2455"/>
      <c r="T789" s="2455"/>
      <c r="U789" s="2455"/>
      <c r="V789" s="2455"/>
      <c r="W789" s="2455"/>
      <c r="X789" s="2455"/>
      <c r="Y789" s="2455"/>
      <c r="Z789" s="2455"/>
    </row>
    <row r="790" spans="1:26" ht="12" x14ac:dyDescent="0.2">
      <c r="A790" s="2455"/>
      <c r="B790" s="2455"/>
      <c r="C790" s="2455"/>
      <c r="D790" s="2455"/>
      <c r="E790" s="2455"/>
      <c r="F790" s="2455"/>
      <c r="G790" s="2456"/>
      <c r="H790" s="2455"/>
      <c r="I790" s="2455"/>
      <c r="J790" s="2455"/>
      <c r="K790" s="2455"/>
      <c r="L790" s="2455"/>
      <c r="M790" s="2455"/>
      <c r="N790" s="2455"/>
      <c r="O790" s="2455"/>
      <c r="P790" s="2455"/>
      <c r="Q790" s="2455"/>
      <c r="R790" s="2455"/>
      <c r="S790" s="2455"/>
      <c r="T790" s="2455"/>
      <c r="U790" s="2455"/>
      <c r="V790" s="2455"/>
      <c r="W790" s="2455"/>
      <c r="X790" s="2455"/>
      <c r="Y790" s="2455"/>
      <c r="Z790" s="2455"/>
    </row>
    <row r="791" spans="1:26" ht="12" x14ac:dyDescent="0.2">
      <c r="A791" s="2455"/>
      <c r="B791" s="2455"/>
      <c r="C791" s="2455"/>
      <c r="D791" s="2455"/>
      <c r="E791" s="2455"/>
      <c r="F791" s="2455"/>
      <c r="G791" s="2456"/>
      <c r="H791" s="2455"/>
      <c r="I791" s="2455"/>
      <c r="J791" s="2455"/>
      <c r="K791" s="2455"/>
      <c r="L791" s="2455"/>
      <c r="M791" s="2455"/>
      <c r="N791" s="2455"/>
      <c r="O791" s="2455"/>
      <c r="P791" s="2455"/>
      <c r="Q791" s="2455"/>
      <c r="R791" s="2455"/>
      <c r="S791" s="2455"/>
      <c r="T791" s="2455"/>
      <c r="U791" s="2455"/>
      <c r="V791" s="2455"/>
      <c r="W791" s="2455"/>
      <c r="X791" s="2455"/>
      <c r="Y791" s="2455"/>
      <c r="Z791" s="2455"/>
    </row>
    <row r="792" spans="1:26" ht="12" x14ac:dyDescent="0.2">
      <c r="A792" s="2455"/>
      <c r="B792" s="2455"/>
      <c r="C792" s="2455"/>
      <c r="D792" s="2455"/>
      <c r="E792" s="2455"/>
      <c r="F792" s="2455"/>
      <c r="G792" s="2456"/>
      <c r="H792" s="2455"/>
      <c r="I792" s="2455"/>
      <c r="J792" s="2455"/>
      <c r="K792" s="2455"/>
      <c r="L792" s="2455"/>
      <c r="M792" s="2455"/>
      <c r="N792" s="2455"/>
      <c r="O792" s="2455"/>
      <c r="P792" s="2455"/>
      <c r="Q792" s="2455"/>
      <c r="R792" s="2455"/>
      <c r="S792" s="2455"/>
      <c r="T792" s="2455"/>
      <c r="U792" s="2455"/>
      <c r="V792" s="2455"/>
      <c r="W792" s="2455"/>
      <c r="X792" s="2455"/>
      <c r="Y792" s="2455"/>
      <c r="Z792" s="2455"/>
    </row>
    <row r="793" spans="1:26" ht="12" x14ac:dyDescent="0.2">
      <c r="A793" s="2455"/>
      <c r="B793" s="2455"/>
      <c r="C793" s="2455"/>
      <c r="D793" s="2455"/>
      <c r="E793" s="2455"/>
      <c r="F793" s="2455"/>
      <c r="G793" s="2456"/>
      <c r="H793" s="2455"/>
      <c r="I793" s="2455"/>
      <c r="J793" s="2455"/>
      <c r="K793" s="2455"/>
      <c r="L793" s="2455"/>
      <c r="M793" s="2455"/>
      <c r="N793" s="2455"/>
      <c r="O793" s="2455"/>
      <c r="P793" s="2455"/>
      <c r="Q793" s="2455"/>
      <c r="R793" s="2455"/>
      <c r="S793" s="2455"/>
      <c r="T793" s="2455"/>
      <c r="U793" s="2455"/>
      <c r="V793" s="2455"/>
      <c r="W793" s="2455"/>
      <c r="X793" s="2455"/>
      <c r="Y793" s="2455"/>
      <c r="Z793" s="2455"/>
    </row>
    <row r="794" spans="1:26" ht="12" x14ac:dyDescent="0.2">
      <c r="A794" s="2455"/>
      <c r="B794" s="2455"/>
      <c r="C794" s="2455"/>
      <c r="D794" s="2455"/>
      <c r="E794" s="2455"/>
      <c r="F794" s="2455"/>
      <c r="G794" s="2456"/>
      <c r="H794" s="2455"/>
      <c r="I794" s="2455"/>
      <c r="J794" s="2455"/>
      <c r="K794" s="2455"/>
      <c r="L794" s="2455"/>
      <c r="M794" s="2455"/>
      <c r="N794" s="2455"/>
      <c r="O794" s="2455"/>
      <c r="P794" s="2455"/>
      <c r="Q794" s="2455"/>
      <c r="R794" s="2455"/>
      <c r="S794" s="2455"/>
      <c r="T794" s="2455"/>
      <c r="U794" s="2455"/>
      <c r="V794" s="2455"/>
      <c r="W794" s="2455"/>
      <c r="X794" s="2455"/>
      <c r="Y794" s="2455"/>
      <c r="Z794" s="2455"/>
    </row>
    <row r="795" spans="1:26" ht="12" x14ac:dyDescent="0.2">
      <c r="A795" s="2455"/>
      <c r="B795" s="2455"/>
      <c r="C795" s="2455"/>
      <c r="D795" s="2455"/>
      <c r="E795" s="2455"/>
      <c r="F795" s="2455"/>
      <c r="G795" s="2456"/>
      <c r="H795" s="2455"/>
      <c r="I795" s="2455"/>
      <c r="J795" s="2455"/>
      <c r="K795" s="2455"/>
      <c r="L795" s="2455"/>
      <c r="M795" s="2455"/>
      <c r="N795" s="2455"/>
      <c r="O795" s="2455"/>
      <c r="P795" s="2455"/>
      <c r="Q795" s="2455"/>
      <c r="R795" s="2455"/>
      <c r="S795" s="2455"/>
      <c r="T795" s="2455"/>
      <c r="U795" s="2455"/>
      <c r="V795" s="2455"/>
      <c r="W795" s="2455"/>
      <c r="X795" s="2455"/>
      <c r="Y795" s="2455"/>
      <c r="Z795" s="2455"/>
    </row>
    <row r="796" spans="1:26" ht="12" x14ac:dyDescent="0.2">
      <c r="A796" s="2455"/>
      <c r="B796" s="2455"/>
      <c r="C796" s="2455"/>
      <c r="D796" s="2455"/>
      <c r="E796" s="2455"/>
      <c r="F796" s="2455"/>
      <c r="G796" s="2456"/>
      <c r="H796" s="2455"/>
      <c r="I796" s="2455"/>
      <c r="J796" s="2455"/>
      <c r="K796" s="2455"/>
      <c r="L796" s="2455"/>
      <c r="M796" s="2455"/>
      <c r="N796" s="2455"/>
      <c r="O796" s="2455"/>
      <c r="P796" s="2455"/>
      <c r="Q796" s="2455"/>
      <c r="R796" s="2455"/>
      <c r="S796" s="2455"/>
      <c r="T796" s="2455"/>
      <c r="U796" s="2455"/>
      <c r="V796" s="2455"/>
      <c r="W796" s="2455"/>
      <c r="X796" s="2455"/>
      <c r="Y796" s="2455"/>
      <c r="Z796" s="2455"/>
    </row>
    <row r="797" spans="1:26" ht="12" x14ac:dyDescent="0.2">
      <c r="A797" s="2455"/>
      <c r="B797" s="2455"/>
      <c r="C797" s="2455"/>
      <c r="D797" s="2455"/>
      <c r="E797" s="2455"/>
      <c r="F797" s="2455"/>
      <c r="G797" s="2456"/>
      <c r="H797" s="2455"/>
      <c r="I797" s="2455"/>
      <c r="J797" s="2455"/>
      <c r="K797" s="2455"/>
      <c r="L797" s="2455"/>
      <c r="M797" s="2455"/>
      <c r="N797" s="2455"/>
      <c r="O797" s="2455"/>
      <c r="P797" s="2455"/>
      <c r="Q797" s="2455"/>
      <c r="R797" s="2455"/>
      <c r="S797" s="2455"/>
      <c r="T797" s="2455"/>
      <c r="U797" s="2455"/>
      <c r="V797" s="2455"/>
      <c r="W797" s="2455"/>
      <c r="X797" s="2455"/>
      <c r="Y797" s="2455"/>
      <c r="Z797" s="2455"/>
    </row>
    <row r="798" spans="1:26" ht="12" x14ac:dyDescent="0.2">
      <c r="A798" s="2455"/>
      <c r="B798" s="2455"/>
      <c r="C798" s="2455"/>
      <c r="D798" s="2455"/>
      <c r="E798" s="2455"/>
      <c r="F798" s="2455"/>
      <c r="G798" s="2456"/>
      <c r="H798" s="2455"/>
      <c r="I798" s="2455"/>
      <c r="J798" s="2455"/>
      <c r="K798" s="2455"/>
      <c r="L798" s="2455"/>
      <c r="M798" s="2455"/>
      <c r="N798" s="2455"/>
      <c r="O798" s="2455"/>
      <c r="P798" s="2455"/>
      <c r="Q798" s="2455"/>
      <c r="R798" s="2455"/>
      <c r="S798" s="2455"/>
      <c r="T798" s="2455"/>
      <c r="U798" s="2455"/>
      <c r="V798" s="2455"/>
      <c r="W798" s="2455"/>
      <c r="X798" s="2455"/>
      <c r="Y798" s="2455"/>
      <c r="Z798" s="2455"/>
    </row>
    <row r="799" spans="1:26" ht="12" x14ac:dyDescent="0.2">
      <c r="A799" s="2455"/>
      <c r="B799" s="2455"/>
      <c r="C799" s="2455"/>
      <c r="D799" s="2455"/>
      <c r="E799" s="2455"/>
      <c r="F799" s="2455"/>
      <c r="G799" s="2456"/>
      <c r="H799" s="2455"/>
      <c r="I799" s="2455"/>
      <c r="J799" s="2455"/>
      <c r="K799" s="2455"/>
      <c r="L799" s="2455"/>
      <c r="M799" s="2455"/>
      <c r="N799" s="2455"/>
      <c r="O799" s="2455"/>
      <c r="P799" s="2455"/>
      <c r="Q799" s="2455"/>
      <c r="R799" s="2455"/>
      <c r="S799" s="2455"/>
      <c r="T799" s="2455"/>
      <c r="U799" s="2455"/>
      <c r="V799" s="2455"/>
      <c r="W799" s="2455"/>
      <c r="X799" s="2455"/>
      <c r="Y799" s="2455"/>
      <c r="Z799" s="2455"/>
    </row>
    <row r="800" spans="1:26" ht="12" x14ac:dyDescent="0.2">
      <c r="A800" s="2455"/>
      <c r="B800" s="2455"/>
      <c r="C800" s="2455"/>
      <c r="D800" s="2455"/>
      <c r="E800" s="2455"/>
      <c r="F800" s="2455"/>
      <c r="G800" s="2456"/>
      <c r="H800" s="2455"/>
      <c r="I800" s="2455"/>
      <c r="J800" s="2455"/>
      <c r="K800" s="2455"/>
      <c r="L800" s="2455"/>
      <c r="M800" s="2455"/>
      <c r="N800" s="2455"/>
      <c r="O800" s="2455"/>
      <c r="P800" s="2455"/>
      <c r="Q800" s="2455"/>
      <c r="R800" s="2455"/>
      <c r="S800" s="2455"/>
      <c r="T800" s="2455"/>
      <c r="U800" s="2455"/>
      <c r="V800" s="2455"/>
      <c r="W800" s="2455"/>
      <c r="X800" s="2455"/>
      <c r="Y800" s="2455"/>
      <c r="Z800" s="2455"/>
    </row>
    <row r="801" spans="1:26" ht="12" x14ac:dyDescent="0.2">
      <c r="A801" s="2455"/>
      <c r="B801" s="2455"/>
      <c r="C801" s="2455"/>
      <c r="D801" s="2455"/>
      <c r="E801" s="2455"/>
      <c r="F801" s="2455"/>
      <c r="G801" s="2456"/>
      <c r="H801" s="2455"/>
      <c r="I801" s="2455"/>
      <c r="J801" s="2455"/>
      <c r="K801" s="2455"/>
      <c r="L801" s="2455"/>
      <c r="M801" s="2455"/>
      <c r="N801" s="2455"/>
      <c r="O801" s="2455"/>
      <c r="P801" s="2455"/>
      <c r="Q801" s="2455"/>
      <c r="R801" s="2455"/>
      <c r="S801" s="2455"/>
      <c r="T801" s="2455"/>
      <c r="U801" s="2455"/>
      <c r="V801" s="2455"/>
      <c r="W801" s="2455"/>
      <c r="X801" s="2455"/>
      <c r="Y801" s="2455"/>
      <c r="Z801" s="2455"/>
    </row>
    <row r="802" spans="1:26" ht="12" x14ac:dyDescent="0.2">
      <c r="A802" s="2455"/>
      <c r="B802" s="2455"/>
      <c r="C802" s="2455"/>
      <c r="D802" s="2455"/>
      <c r="E802" s="2455"/>
      <c r="F802" s="2455"/>
      <c r="G802" s="2456"/>
      <c r="H802" s="2455"/>
      <c r="I802" s="2455"/>
      <c r="J802" s="2455"/>
      <c r="K802" s="2455"/>
      <c r="L802" s="2455"/>
      <c r="M802" s="2455"/>
      <c r="N802" s="2455"/>
      <c r="O802" s="2455"/>
      <c r="P802" s="2455"/>
      <c r="Q802" s="2455"/>
      <c r="R802" s="2455"/>
      <c r="S802" s="2455"/>
      <c r="T802" s="2455"/>
      <c r="U802" s="2455"/>
      <c r="V802" s="2455"/>
      <c r="W802" s="2455"/>
      <c r="X802" s="2455"/>
      <c r="Y802" s="2455"/>
      <c r="Z802" s="2455"/>
    </row>
    <row r="803" spans="1:26" ht="12" x14ac:dyDescent="0.2">
      <c r="A803" s="2455"/>
      <c r="B803" s="2455"/>
      <c r="C803" s="2455"/>
      <c r="D803" s="2455"/>
      <c r="E803" s="2455"/>
      <c r="F803" s="2455"/>
      <c r="G803" s="2456"/>
      <c r="H803" s="2455"/>
      <c r="I803" s="2455"/>
      <c r="J803" s="2455"/>
      <c r="K803" s="2455"/>
      <c r="L803" s="2455"/>
      <c r="M803" s="2455"/>
      <c r="N803" s="2455"/>
      <c r="O803" s="2455"/>
      <c r="P803" s="2455"/>
      <c r="Q803" s="2455"/>
      <c r="R803" s="2455"/>
      <c r="S803" s="2455"/>
      <c r="T803" s="2455"/>
      <c r="U803" s="2455"/>
      <c r="V803" s="2455"/>
      <c r="W803" s="2455"/>
      <c r="X803" s="2455"/>
      <c r="Y803" s="2455"/>
      <c r="Z803" s="2455"/>
    </row>
    <row r="804" spans="1:26" ht="12" x14ac:dyDescent="0.2">
      <c r="A804" s="2455"/>
      <c r="B804" s="2455"/>
      <c r="C804" s="2455"/>
      <c r="D804" s="2455"/>
      <c r="E804" s="2455"/>
      <c r="F804" s="2455"/>
      <c r="G804" s="2456"/>
      <c r="H804" s="2455"/>
      <c r="I804" s="2455"/>
      <c r="J804" s="2455"/>
      <c r="K804" s="2455"/>
      <c r="L804" s="2455"/>
      <c r="M804" s="2455"/>
      <c r="N804" s="2455"/>
      <c r="O804" s="2455"/>
      <c r="P804" s="2455"/>
      <c r="Q804" s="2455"/>
      <c r="R804" s="2455"/>
      <c r="S804" s="2455"/>
      <c r="T804" s="2455"/>
      <c r="U804" s="2455"/>
      <c r="V804" s="2455"/>
      <c r="W804" s="2455"/>
      <c r="X804" s="2455"/>
      <c r="Y804" s="2455"/>
      <c r="Z804" s="2455"/>
    </row>
    <row r="805" spans="1:26" ht="12" x14ac:dyDescent="0.2">
      <c r="A805" s="2455"/>
      <c r="B805" s="2455"/>
      <c r="C805" s="2455"/>
      <c r="D805" s="2455"/>
      <c r="E805" s="2455"/>
      <c r="F805" s="2455"/>
      <c r="G805" s="2456"/>
      <c r="H805" s="2455"/>
      <c r="I805" s="2455"/>
      <c r="J805" s="2455"/>
      <c r="K805" s="2455"/>
      <c r="L805" s="2455"/>
      <c r="M805" s="2455"/>
      <c r="N805" s="2455"/>
      <c r="O805" s="2455"/>
      <c r="P805" s="2455"/>
      <c r="Q805" s="2455"/>
      <c r="R805" s="2455"/>
      <c r="S805" s="2455"/>
      <c r="T805" s="2455"/>
      <c r="U805" s="2455"/>
      <c r="V805" s="2455"/>
      <c r="W805" s="2455"/>
      <c r="X805" s="2455"/>
      <c r="Y805" s="2455"/>
      <c r="Z805" s="2455"/>
    </row>
    <row r="806" spans="1:26" ht="12" x14ac:dyDescent="0.2">
      <c r="A806" s="2455"/>
      <c r="B806" s="2455"/>
      <c r="C806" s="2455"/>
      <c r="D806" s="2455"/>
      <c r="E806" s="2455"/>
      <c r="F806" s="2455"/>
      <c r="G806" s="2456"/>
      <c r="H806" s="2455"/>
      <c r="I806" s="2455"/>
      <c r="J806" s="2455"/>
      <c r="K806" s="2455"/>
      <c r="L806" s="2455"/>
      <c r="M806" s="2455"/>
      <c r="N806" s="2455"/>
      <c r="O806" s="2455"/>
      <c r="P806" s="2455"/>
      <c r="Q806" s="2455"/>
      <c r="R806" s="2455"/>
      <c r="S806" s="2455"/>
      <c r="T806" s="2455"/>
      <c r="U806" s="2455"/>
      <c r="V806" s="2455"/>
      <c r="W806" s="2455"/>
      <c r="X806" s="2455"/>
      <c r="Y806" s="2455"/>
      <c r="Z806" s="2455"/>
    </row>
    <row r="807" spans="1:26" ht="12" x14ac:dyDescent="0.2">
      <c r="A807" s="2455"/>
      <c r="B807" s="2455"/>
      <c r="C807" s="2455"/>
      <c r="D807" s="2455"/>
      <c r="E807" s="2455"/>
      <c r="F807" s="2455"/>
      <c r="G807" s="2456"/>
      <c r="H807" s="2455"/>
      <c r="I807" s="2455"/>
      <c r="J807" s="2455"/>
      <c r="K807" s="2455"/>
      <c r="L807" s="2455"/>
      <c r="M807" s="2455"/>
      <c r="N807" s="2455"/>
      <c r="O807" s="2455"/>
      <c r="P807" s="2455"/>
      <c r="Q807" s="2455"/>
      <c r="R807" s="2455"/>
      <c r="S807" s="2455"/>
      <c r="T807" s="2455"/>
      <c r="U807" s="2455"/>
      <c r="V807" s="2455"/>
      <c r="W807" s="2455"/>
      <c r="X807" s="2455"/>
      <c r="Y807" s="2455"/>
      <c r="Z807" s="2455"/>
    </row>
    <row r="808" spans="1:26" ht="12" x14ac:dyDescent="0.2">
      <c r="A808" s="2455"/>
      <c r="B808" s="2455"/>
      <c r="C808" s="2455"/>
      <c r="D808" s="2455"/>
      <c r="E808" s="2455"/>
      <c r="F808" s="2455"/>
      <c r="G808" s="2456"/>
      <c r="H808" s="2455"/>
      <c r="I808" s="2455"/>
      <c r="J808" s="2455"/>
      <c r="K808" s="2455"/>
      <c r="L808" s="2455"/>
      <c r="M808" s="2455"/>
      <c r="N808" s="2455"/>
      <c r="O808" s="2455"/>
      <c r="P808" s="2455"/>
      <c r="Q808" s="2455"/>
      <c r="R808" s="2455"/>
      <c r="S808" s="2455"/>
      <c r="T808" s="2455"/>
      <c r="U808" s="2455"/>
      <c r="V808" s="2455"/>
      <c r="W808" s="2455"/>
      <c r="X808" s="2455"/>
      <c r="Y808" s="2455"/>
      <c r="Z808" s="2455"/>
    </row>
    <row r="809" spans="1:26" ht="12" x14ac:dyDescent="0.2">
      <c r="A809" s="2455"/>
      <c r="B809" s="2455"/>
      <c r="C809" s="2455"/>
      <c r="D809" s="2455"/>
      <c r="E809" s="2455"/>
      <c r="F809" s="2455"/>
      <c r="G809" s="2456"/>
      <c r="H809" s="2455"/>
      <c r="I809" s="2455"/>
      <c r="J809" s="2455"/>
      <c r="K809" s="2455"/>
      <c r="L809" s="2455"/>
      <c r="M809" s="2455"/>
      <c r="N809" s="2455"/>
      <c r="O809" s="2455"/>
      <c r="P809" s="2455"/>
      <c r="Q809" s="2455"/>
      <c r="R809" s="2455"/>
      <c r="S809" s="2455"/>
      <c r="T809" s="2455"/>
      <c r="U809" s="2455"/>
      <c r="V809" s="2455"/>
      <c r="W809" s="2455"/>
      <c r="X809" s="2455"/>
      <c r="Y809" s="2455"/>
      <c r="Z809" s="2455"/>
    </row>
    <row r="810" spans="1:26" ht="12" x14ac:dyDescent="0.2">
      <c r="A810" s="2455"/>
      <c r="B810" s="2455"/>
      <c r="C810" s="2455"/>
      <c r="D810" s="2455"/>
      <c r="E810" s="2455"/>
      <c r="F810" s="2455"/>
      <c r="G810" s="2456"/>
      <c r="H810" s="2455"/>
      <c r="I810" s="2455"/>
      <c r="J810" s="2455"/>
      <c r="K810" s="2455"/>
      <c r="L810" s="2455"/>
      <c r="M810" s="2455"/>
      <c r="N810" s="2455"/>
      <c r="O810" s="2455"/>
      <c r="P810" s="2455"/>
      <c r="Q810" s="2455"/>
      <c r="R810" s="2455"/>
      <c r="S810" s="2455"/>
      <c r="T810" s="2455"/>
      <c r="U810" s="2455"/>
      <c r="V810" s="2455"/>
      <c r="W810" s="2455"/>
      <c r="X810" s="2455"/>
      <c r="Y810" s="2455"/>
      <c r="Z810" s="2455"/>
    </row>
    <row r="811" spans="1:26" ht="12" x14ac:dyDescent="0.2">
      <c r="A811" s="2455"/>
      <c r="B811" s="2455"/>
      <c r="C811" s="2455"/>
      <c r="D811" s="2455"/>
      <c r="E811" s="2455"/>
      <c r="F811" s="2455"/>
      <c r="G811" s="2456"/>
      <c r="H811" s="2455"/>
      <c r="I811" s="2455"/>
      <c r="J811" s="2455"/>
      <c r="K811" s="2455"/>
      <c r="L811" s="2455"/>
      <c r="M811" s="2455"/>
      <c r="N811" s="2455"/>
      <c r="O811" s="2455"/>
      <c r="P811" s="2455"/>
      <c r="Q811" s="2455"/>
      <c r="R811" s="2455"/>
      <c r="S811" s="2455"/>
      <c r="T811" s="2455"/>
      <c r="U811" s="2455"/>
      <c r="V811" s="2455"/>
      <c r="W811" s="2455"/>
      <c r="X811" s="2455"/>
      <c r="Y811" s="2455"/>
      <c r="Z811" s="2455"/>
    </row>
    <row r="812" spans="1:26" ht="12" x14ac:dyDescent="0.2">
      <c r="A812" s="2455"/>
      <c r="B812" s="2455"/>
      <c r="C812" s="2455"/>
      <c r="D812" s="2455"/>
      <c r="E812" s="2455"/>
      <c r="F812" s="2455"/>
      <c r="G812" s="2456"/>
      <c r="H812" s="2455"/>
      <c r="I812" s="2455"/>
      <c r="J812" s="2455"/>
      <c r="K812" s="2455"/>
      <c r="L812" s="2455"/>
      <c r="M812" s="2455"/>
      <c r="N812" s="2455"/>
      <c r="O812" s="2455"/>
      <c r="P812" s="2455"/>
      <c r="Q812" s="2455"/>
      <c r="R812" s="2455"/>
      <c r="S812" s="2455"/>
      <c r="T812" s="2455"/>
      <c r="U812" s="2455"/>
      <c r="V812" s="2455"/>
      <c r="W812" s="2455"/>
      <c r="X812" s="2455"/>
      <c r="Y812" s="2455"/>
      <c r="Z812" s="2455"/>
    </row>
    <row r="813" spans="1:26" ht="12" x14ac:dyDescent="0.2">
      <c r="A813" s="2455"/>
      <c r="B813" s="2455"/>
      <c r="C813" s="2455"/>
      <c r="D813" s="2455"/>
      <c r="E813" s="2455"/>
      <c r="F813" s="2455"/>
      <c r="G813" s="2456"/>
      <c r="H813" s="2455"/>
      <c r="I813" s="2455"/>
      <c r="J813" s="2455"/>
      <c r="K813" s="2455"/>
      <c r="L813" s="2455"/>
      <c r="M813" s="2455"/>
      <c r="N813" s="2455"/>
      <c r="O813" s="2455"/>
      <c r="P813" s="2455"/>
      <c r="Q813" s="2455"/>
      <c r="R813" s="2455"/>
      <c r="S813" s="2455"/>
      <c r="T813" s="2455"/>
      <c r="U813" s="2455"/>
      <c r="V813" s="2455"/>
      <c r="W813" s="2455"/>
      <c r="X813" s="2455"/>
      <c r="Y813" s="2455"/>
      <c r="Z813" s="2455"/>
    </row>
    <row r="814" spans="1:26" ht="12" x14ac:dyDescent="0.2">
      <c r="A814" s="2455"/>
      <c r="B814" s="2455"/>
      <c r="C814" s="2455"/>
      <c r="D814" s="2455"/>
      <c r="E814" s="2455"/>
      <c r="F814" s="2455"/>
      <c r="G814" s="2456"/>
      <c r="H814" s="2455"/>
      <c r="I814" s="2455"/>
      <c r="J814" s="2455"/>
      <c r="K814" s="2455"/>
      <c r="L814" s="2455"/>
      <c r="M814" s="2455"/>
      <c r="N814" s="2455"/>
      <c r="O814" s="2455"/>
      <c r="P814" s="2455"/>
      <c r="Q814" s="2455"/>
      <c r="R814" s="2455"/>
      <c r="S814" s="2455"/>
      <c r="T814" s="2455"/>
      <c r="U814" s="2455"/>
      <c r="V814" s="2455"/>
      <c r="W814" s="2455"/>
      <c r="X814" s="2455"/>
      <c r="Y814" s="2455"/>
      <c r="Z814" s="2455"/>
    </row>
    <row r="815" spans="1:26" ht="12" x14ac:dyDescent="0.2">
      <c r="A815" s="2455"/>
      <c r="B815" s="2455"/>
      <c r="C815" s="2455"/>
      <c r="D815" s="2455"/>
      <c r="E815" s="2455"/>
      <c r="F815" s="2455"/>
      <c r="G815" s="2456"/>
      <c r="H815" s="2455"/>
      <c r="I815" s="2455"/>
      <c r="J815" s="2455"/>
      <c r="K815" s="2455"/>
      <c r="L815" s="2455"/>
      <c r="M815" s="2455"/>
      <c r="N815" s="2455"/>
      <c r="O815" s="2455"/>
      <c r="P815" s="2455"/>
      <c r="Q815" s="2455"/>
      <c r="R815" s="2455"/>
      <c r="S815" s="2455"/>
      <c r="T815" s="2455"/>
      <c r="U815" s="2455"/>
      <c r="V815" s="2455"/>
      <c r="W815" s="2455"/>
      <c r="X815" s="2455"/>
      <c r="Y815" s="2455"/>
      <c r="Z815" s="2455"/>
    </row>
    <row r="816" spans="1:26" ht="12" x14ac:dyDescent="0.2">
      <c r="A816" s="2455"/>
      <c r="B816" s="2455"/>
      <c r="C816" s="2455"/>
      <c r="D816" s="2455"/>
      <c r="E816" s="2455"/>
      <c r="F816" s="2455"/>
      <c r="G816" s="2456"/>
      <c r="H816" s="2455"/>
      <c r="I816" s="2455"/>
      <c r="J816" s="2455"/>
      <c r="K816" s="2455"/>
      <c r="L816" s="2455"/>
      <c r="M816" s="2455"/>
      <c r="N816" s="2455"/>
      <c r="O816" s="2455"/>
      <c r="P816" s="2455"/>
      <c r="Q816" s="2455"/>
      <c r="R816" s="2455"/>
      <c r="S816" s="2455"/>
      <c r="T816" s="2455"/>
      <c r="U816" s="2455"/>
      <c r="V816" s="2455"/>
      <c r="W816" s="2455"/>
      <c r="X816" s="2455"/>
      <c r="Y816" s="2455"/>
      <c r="Z816" s="2455"/>
    </row>
    <row r="817" spans="1:26" ht="12" x14ac:dyDescent="0.2">
      <c r="A817" s="2455"/>
      <c r="B817" s="2455"/>
      <c r="C817" s="2455"/>
      <c r="D817" s="2455"/>
      <c r="E817" s="2455"/>
      <c r="F817" s="2455"/>
      <c r="G817" s="2456"/>
      <c r="H817" s="2455"/>
      <c r="I817" s="2455"/>
      <c r="J817" s="2455"/>
      <c r="K817" s="2455"/>
      <c r="L817" s="2455"/>
      <c r="M817" s="2455"/>
      <c r="N817" s="2455"/>
      <c r="O817" s="2455"/>
      <c r="P817" s="2455"/>
      <c r="Q817" s="2455"/>
      <c r="R817" s="2455"/>
      <c r="S817" s="2455"/>
      <c r="T817" s="2455"/>
      <c r="U817" s="2455"/>
      <c r="V817" s="2455"/>
      <c r="W817" s="2455"/>
      <c r="X817" s="2455"/>
      <c r="Y817" s="2455"/>
      <c r="Z817" s="2455"/>
    </row>
    <row r="818" spans="1:26" ht="12" x14ac:dyDescent="0.2">
      <c r="A818" s="2455"/>
      <c r="B818" s="2455"/>
      <c r="C818" s="2455"/>
      <c r="D818" s="2455"/>
      <c r="E818" s="2455"/>
      <c r="F818" s="2455"/>
      <c r="G818" s="2456"/>
      <c r="H818" s="2455"/>
      <c r="I818" s="2455"/>
      <c r="J818" s="2455"/>
      <c r="K818" s="2455"/>
      <c r="L818" s="2455"/>
      <c r="M818" s="2455"/>
      <c r="N818" s="2455"/>
      <c r="O818" s="2455"/>
      <c r="P818" s="2455"/>
      <c r="Q818" s="2455"/>
      <c r="R818" s="2455"/>
      <c r="S818" s="2455"/>
      <c r="T818" s="2455"/>
      <c r="U818" s="2455"/>
      <c r="V818" s="2455"/>
      <c r="W818" s="2455"/>
      <c r="X818" s="2455"/>
      <c r="Y818" s="2455"/>
      <c r="Z818" s="2455"/>
    </row>
    <row r="819" spans="1:26" ht="12" x14ac:dyDescent="0.2">
      <c r="A819" s="2455"/>
      <c r="B819" s="2455"/>
      <c r="C819" s="2455"/>
      <c r="D819" s="2455"/>
      <c r="E819" s="2455"/>
      <c r="F819" s="2455"/>
      <c r="G819" s="2456"/>
      <c r="H819" s="2455"/>
      <c r="I819" s="2455"/>
      <c r="J819" s="2455"/>
      <c r="K819" s="2455"/>
      <c r="L819" s="2455"/>
      <c r="M819" s="2455"/>
      <c r="N819" s="2455"/>
      <c r="O819" s="2455"/>
      <c r="P819" s="2455"/>
      <c r="Q819" s="2455"/>
      <c r="R819" s="2455"/>
      <c r="S819" s="2455"/>
      <c r="T819" s="2455"/>
      <c r="U819" s="2455"/>
      <c r="V819" s="2455"/>
      <c r="W819" s="2455"/>
      <c r="X819" s="2455"/>
      <c r="Y819" s="2455"/>
      <c r="Z819" s="2455"/>
    </row>
    <row r="820" spans="1:26" ht="12" x14ac:dyDescent="0.2">
      <c r="A820" s="2455"/>
      <c r="B820" s="2455"/>
      <c r="C820" s="2455"/>
      <c r="D820" s="2455"/>
      <c r="E820" s="2455"/>
      <c r="F820" s="2455"/>
      <c r="G820" s="2456"/>
      <c r="H820" s="2455"/>
      <c r="I820" s="2455"/>
      <c r="J820" s="2455"/>
      <c r="K820" s="2455"/>
      <c r="L820" s="2455"/>
      <c r="M820" s="2455"/>
      <c r="N820" s="2455"/>
      <c r="O820" s="2455"/>
      <c r="P820" s="2455"/>
      <c r="Q820" s="2455"/>
      <c r="R820" s="2455"/>
      <c r="S820" s="2455"/>
      <c r="T820" s="2455"/>
      <c r="U820" s="2455"/>
      <c r="V820" s="2455"/>
      <c r="W820" s="2455"/>
      <c r="X820" s="2455"/>
      <c r="Y820" s="2455"/>
      <c r="Z820" s="2455"/>
    </row>
    <row r="821" spans="1:26" ht="12" x14ac:dyDescent="0.2">
      <c r="A821" s="2455"/>
      <c r="B821" s="2455"/>
      <c r="C821" s="2455"/>
      <c r="D821" s="2455"/>
      <c r="E821" s="2455"/>
      <c r="F821" s="2455"/>
      <c r="G821" s="2456"/>
      <c r="H821" s="2455"/>
      <c r="I821" s="2455"/>
      <c r="J821" s="2455"/>
      <c r="K821" s="2455"/>
      <c r="L821" s="2455"/>
      <c r="M821" s="2455"/>
      <c r="N821" s="2455"/>
      <c r="O821" s="2455"/>
      <c r="P821" s="2455"/>
      <c r="Q821" s="2455"/>
      <c r="R821" s="2455"/>
      <c r="S821" s="2455"/>
      <c r="T821" s="2455"/>
      <c r="U821" s="2455"/>
      <c r="V821" s="2455"/>
      <c r="W821" s="2455"/>
      <c r="X821" s="2455"/>
      <c r="Y821" s="2455"/>
      <c r="Z821" s="2455"/>
    </row>
    <row r="822" spans="1:26" ht="12" x14ac:dyDescent="0.2">
      <c r="A822" s="2455"/>
      <c r="B822" s="2455"/>
      <c r="C822" s="2455"/>
      <c r="D822" s="2455"/>
      <c r="E822" s="2455"/>
      <c r="F822" s="2455"/>
      <c r="G822" s="2456"/>
      <c r="H822" s="2455"/>
      <c r="I822" s="2455"/>
      <c r="J822" s="2455"/>
      <c r="K822" s="2455"/>
      <c r="L822" s="2455"/>
      <c r="M822" s="2455"/>
      <c r="N822" s="2455"/>
      <c r="O822" s="2455"/>
      <c r="P822" s="2455"/>
      <c r="Q822" s="2455"/>
      <c r="R822" s="2455"/>
      <c r="S822" s="2455"/>
      <c r="T822" s="2455"/>
      <c r="U822" s="2455"/>
      <c r="V822" s="2455"/>
      <c r="W822" s="2455"/>
      <c r="X822" s="2455"/>
      <c r="Y822" s="2455"/>
      <c r="Z822" s="2455"/>
    </row>
    <row r="823" spans="1:26" ht="12" x14ac:dyDescent="0.2">
      <c r="A823" s="2455"/>
      <c r="B823" s="2455"/>
      <c r="C823" s="2455"/>
      <c r="D823" s="2455"/>
      <c r="E823" s="2455"/>
      <c r="F823" s="2455"/>
      <c r="G823" s="2456"/>
      <c r="H823" s="2455"/>
      <c r="I823" s="2455"/>
      <c r="J823" s="2455"/>
      <c r="K823" s="2455"/>
      <c r="L823" s="2455"/>
      <c r="M823" s="2455"/>
      <c r="N823" s="2455"/>
      <c r="O823" s="2455"/>
      <c r="P823" s="2455"/>
      <c r="Q823" s="2455"/>
      <c r="R823" s="2455"/>
      <c r="S823" s="2455"/>
      <c r="T823" s="2455"/>
      <c r="U823" s="2455"/>
      <c r="V823" s="2455"/>
      <c r="W823" s="2455"/>
      <c r="X823" s="2455"/>
      <c r="Y823" s="2455"/>
      <c r="Z823" s="2455"/>
    </row>
    <row r="824" spans="1:26" ht="12" x14ac:dyDescent="0.2">
      <c r="A824" s="2455"/>
      <c r="B824" s="2455"/>
      <c r="C824" s="2455"/>
      <c r="D824" s="2455"/>
      <c r="E824" s="2455"/>
      <c r="F824" s="2455"/>
      <c r="G824" s="2456"/>
      <c r="H824" s="2455"/>
      <c r="I824" s="2455"/>
      <c r="J824" s="2455"/>
      <c r="K824" s="2455"/>
      <c r="L824" s="2455"/>
      <c r="M824" s="2455"/>
      <c r="N824" s="2455"/>
      <c r="O824" s="2455"/>
      <c r="P824" s="2455"/>
      <c r="Q824" s="2455"/>
      <c r="R824" s="2455"/>
      <c r="S824" s="2455"/>
      <c r="T824" s="2455"/>
      <c r="U824" s="2455"/>
      <c r="V824" s="2455"/>
      <c r="W824" s="2455"/>
      <c r="X824" s="2455"/>
      <c r="Y824" s="2455"/>
      <c r="Z824" s="2455"/>
    </row>
    <row r="825" spans="1:26" ht="12" x14ac:dyDescent="0.2">
      <c r="A825" s="2455"/>
      <c r="B825" s="2455"/>
      <c r="C825" s="2455"/>
      <c r="D825" s="2455"/>
      <c r="E825" s="2455"/>
      <c r="F825" s="2455"/>
      <c r="G825" s="2456"/>
      <c r="H825" s="2455"/>
      <c r="I825" s="2455"/>
      <c r="J825" s="2455"/>
      <c r="K825" s="2455"/>
      <c r="L825" s="2455"/>
      <c r="M825" s="2455"/>
      <c r="N825" s="2455"/>
      <c r="O825" s="2455"/>
      <c r="P825" s="2455"/>
      <c r="Q825" s="2455"/>
      <c r="R825" s="2455"/>
      <c r="S825" s="2455"/>
      <c r="T825" s="2455"/>
      <c r="U825" s="2455"/>
      <c r="V825" s="2455"/>
      <c r="W825" s="2455"/>
      <c r="X825" s="2455"/>
      <c r="Y825" s="2455"/>
      <c r="Z825" s="2455"/>
    </row>
    <row r="826" spans="1:26" ht="12" x14ac:dyDescent="0.2">
      <c r="A826" s="2455"/>
      <c r="B826" s="2455"/>
      <c r="C826" s="2455"/>
      <c r="D826" s="2455"/>
      <c r="E826" s="2455"/>
      <c r="F826" s="2455"/>
      <c r="G826" s="2456"/>
      <c r="H826" s="2455"/>
      <c r="I826" s="2455"/>
      <c r="J826" s="2455"/>
      <c r="K826" s="2455"/>
      <c r="L826" s="2455"/>
      <c r="M826" s="2455"/>
      <c r="N826" s="2455"/>
      <c r="O826" s="2455"/>
      <c r="P826" s="2455"/>
      <c r="Q826" s="2455"/>
      <c r="R826" s="2455"/>
      <c r="S826" s="2455"/>
      <c r="T826" s="2455"/>
      <c r="U826" s="2455"/>
      <c r="V826" s="2455"/>
      <c r="W826" s="2455"/>
      <c r="X826" s="2455"/>
      <c r="Y826" s="2455"/>
      <c r="Z826" s="2455"/>
    </row>
    <row r="827" spans="1:26" ht="12" x14ac:dyDescent="0.2">
      <c r="A827" s="2455"/>
      <c r="B827" s="2455"/>
      <c r="C827" s="2455"/>
      <c r="D827" s="2455"/>
      <c r="E827" s="2455"/>
      <c r="F827" s="2455"/>
      <c r="G827" s="2456"/>
      <c r="H827" s="2455"/>
      <c r="I827" s="2455"/>
      <c r="J827" s="2455"/>
      <c r="K827" s="2455"/>
      <c r="L827" s="2455"/>
      <c r="M827" s="2455"/>
      <c r="N827" s="2455"/>
      <c r="O827" s="2455"/>
      <c r="P827" s="2455"/>
      <c r="Q827" s="2455"/>
      <c r="R827" s="2455"/>
      <c r="S827" s="2455"/>
      <c r="T827" s="2455"/>
      <c r="U827" s="2455"/>
      <c r="V827" s="2455"/>
      <c r="W827" s="2455"/>
      <c r="X827" s="2455"/>
      <c r="Y827" s="2455"/>
      <c r="Z827" s="2455"/>
    </row>
    <row r="828" spans="1:26" ht="12" x14ac:dyDescent="0.2">
      <c r="A828" s="2455"/>
      <c r="B828" s="2455"/>
      <c r="C828" s="2455"/>
      <c r="D828" s="2455"/>
      <c r="E828" s="2455"/>
      <c r="F828" s="2455"/>
      <c r="G828" s="2456"/>
      <c r="H828" s="2455"/>
      <c r="I828" s="2455"/>
      <c r="J828" s="2455"/>
      <c r="K828" s="2455"/>
      <c r="L828" s="2455"/>
      <c r="M828" s="2455"/>
      <c r="N828" s="2455"/>
      <c r="O828" s="2455"/>
      <c r="P828" s="2455"/>
      <c r="Q828" s="2455"/>
      <c r="R828" s="2455"/>
      <c r="S828" s="2455"/>
      <c r="T828" s="2455"/>
      <c r="U828" s="2455"/>
      <c r="V828" s="2455"/>
      <c r="W828" s="2455"/>
      <c r="X828" s="2455"/>
      <c r="Y828" s="2455"/>
      <c r="Z828" s="2455"/>
    </row>
    <row r="829" spans="1:26" ht="12" x14ac:dyDescent="0.2">
      <c r="A829" s="2455"/>
      <c r="B829" s="2455"/>
      <c r="C829" s="2455"/>
      <c r="D829" s="2455"/>
      <c r="E829" s="2455"/>
      <c r="F829" s="2455"/>
      <c r="G829" s="2456"/>
      <c r="H829" s="2455"/>
      <c r="I829" s="2455"/>
      <c r="J829" s="2455"/>
      <c r="K829" s="2455"/>
      <c r="L829" s="2455"/>
      <c r="M829" s="2455"/>
      <c r="N829" s="2455"/>
      <c r="O829" s="2455"/>
      <c r="P829" s="2455"/>
      <c r="Q829" s="2455"/>
      <c r="R829" s="2455"/>
      <c r="S829" s="2455"/>
      <c r="T829" s="2455"/>
      <c r="U829" s="2455"/>
      <c r="V829" s="2455"/>
      <c r="W829" s="2455"/>
      <c r="X829" s="2455"/>
      <c r="Y829" s="2455"/>
      <c r="Z829" s="2455"/>
    </row>
    <row r="830" spans="1:26" ht="12" x14ac:dyDescent="0.2">
      <c r="A830" s="2455"/>
      <c r="B830" s="2455"/>
      <c r="C830" s="2455"/>
      <c r="D830" s="2455"/>
      <c r="E830" s="2455"/>
      <c r="F830" s="2455"/>
      <c r="G830" s="2456"/>
      <c r="H830" s="2455"/>
      <c r="I830" s="2455"/>
      <c r="J830" s="2455"/>
      <c r="K830" s="2455"/>
      <c r="L830" s="2455"/>
      <c r="M830" s="2455"/>
      <c r="N830" s="2455"/>
      <c r="O830" s="2455"/>
      <c r="P830" s="2455"/>
      <c r="Q830" s="2455"/>
      <c r="R830" s="2455"/>
      <c r="S830" s="2455"/>
      <c r="T830" s="2455"/>
      <c r="U830" s="2455"/>
      <c r="V830" s="2455"/>
      <c r="W830" s="2455"/>
      <c r="X830" s="2455"/>
      <c r="Y830" s="2455"/>
      <c r="Z830" s="2455"/>
    </row>
    <row r="831" spans="1:26" ht="12" x14ac:dyDescent="0.2">
      <c r="A831" s="2455"/>
      <c r="B831" s="2455"/>
      <c r="C831" s="2455"/>
      <c r="D831" s="2455"/>
      <c r="E831" s="2455"/>
      <c r="F831" s="2455"/>
      <c r="G831" s="2456"/>
      <c r="H831" s="2455"/>
      <c r="I831" s="2455"/>
      <c r="J831" s="2455"/>
      <c r="K831" s="2455"/>
      <c r="L831" s="2455"/>
      <c r="M831" s="2455"/>
      <c r="N831" s="2455"/>
      <c r="O831" s="2455"/>
      <c r="P831" s="2455"/>
      <c r="Q831" s="2455"/>
      <c r="R831" s="2455"/>
      <c r="S831" s="2455"/>
      <c r="T831" s="2455"/>
      <c r="U831" s="2455"/>
      <c r="V831" s="2455"/>
      <c r="W831" s="2455"/>
      <c r="X831" s="2455"/>
      <c r="Y831" s="2455"/>
      <c r="Z831" s="2455"/>
    </row>
    <row r="832" spans="1:26" ht="12" x14ac:dyDescent="0.2">
      <c r="A832" s="2455"/>
      <c r="B832" s="2455"/>
      <c r="C832" s="2455"/>
      <c r="D832" s="2455"/>
      <c r="E832" s="2455"/>
      <c r="F832" s="2455"/>
      <c r="G832" s="2456"/>
      <c r="H832" s="2455"/>
      <c r="I832" s="2455"/>
      <c r="J832" s="2455"/>
      <c r="K832" s="2455"/>
      <c r="L832" s="2455"/>
      <c r="M832" s="2455"/>
      <c r="N832" s="2455"/>
      <c r="O832" s="2455"/>
      <c r="P832" s="2455"/>
      <c r="Q832" s="2455"/>
      <c r="R832" s="2455"/>
      <c r="S832" s="2455"/>
      <c r="T832" s="2455"/>
      <c r="U832" s="2455"/>
      <c r="V832" s="2455"/>
      <c r="W832" s="2455"/>
      <c r="X832" s="2455"/>
      <c r="Y832" s="2455"/>
      <c r="Z832" s="2455"/>
    </row>
    <row r="833" spans="1:26" ht="12" x14ac:dyDescent="0.2">
      <c r="A833" s="2455"/>
      <c r="B833" s="2455"/>
      <c r="C833" s="2455"/>
      <c r="D833" s="2455"/>
      <c r="E833" s="2455"/>
      <c r="F833" s="2455"/>
      <c r="G833" s="2456"/>
      <c r="H833" s="2455"/>
      <c r="I833" s="2455"/>
      <c r="J833" s="2455"/>
      <c r="K833" s="2455"/>
      <c r="L833" s="2455"/>
      <c r="M833" s="2455"/>
      <c r="N833" s="2455"/>
      <c r="O833" s="2455"/>
      <c r="P833" s="2455"/>
      <c r="Q833" s="2455"/>
      <c r="R833" s="2455"/>
      <c r="S833" s="2455"/>
      <c r="T833" s="2455"/>
      <c r="U833" s="2455"/>
      <c r="V833" s="2455"/>
      <c r="W833" s="2455"/>
      <c r="X833" s="2455"/>
      <c r="Y833" s="2455"/>
      <c r="Z833" s="2455"/>
    </row>
    <row r="834" spans="1:26" ht="12" x14ac:dyDescent="0.2">
      <c r="A834" s="2455"/>
      <c r="B834" s="2455"/>
      <c r="C834" s="2455"/>
      <c r="D834" s="2455"/>
      <c r="E834" s="2455"/>
      <c r="F834" s="2455"/>
      <c r="G834" s="2456"/>
      <c r="H834" s="2455"/>
      <c r="I834" s="2455"/>
      <c r="J834" s="2455"/>
      <c r="K834" s="2455"/>
      <c r="L834" s="2455"/>
      <c r="M834" s="2455"/>
      <c r="N834" s="2455"/>
      <c r="O834" s="2455"/>
      <c r="P834" s="2455"/>
      <c r="Q834" s="2455"/>
      <c r="R834" s="2455"/>
      <c r="S834" s="2455"/>
      <c r="T834" s="2455"/>
      <c r="U834" s="2455"/>
      <c r="V834" s="2455"/>
      <c r="W834" s="2455"/>
      <c r="X834" s="2455"/>
      <c r="Y834" s="2455"/>
      <c r="Z834" s="2455"/>
    </row>
    <row r="835" spans="1:26" ht="12" x14ac:dyDescent="0.2">
      <c r="A835" s="2455"/>
      <c r="B835" s="2455"/>
      <c r="C835" s="2455"/>
      <c r="D835" s="2455"/>
      <c r="E835" s="2455"/>
      <c r="F835" s="2455"/>
      <c r="G835" s="2456"/>
      <c r="H835" s="2455"/>
      <c r="I835" s="2455"/>
      <c r="J835" s="2455"/>
      <c r="K835" s="2455"/>
      <c r="L835" s="2455"/>
      <c r="M835" s="2455"/>
      <c r="N835" s="2455"/>
      <c r="O835" s="2455"/>
      <c r="P835" s="2455"/>
      <c r="Q835" s="2455"/>
      <c r="R835" s="2455"/>
      <c r="S835" s="2455"/>
      <c r="T835" s="2455"/>
      <c r="U835" s="2455"/>
      <c r="V835" s="2455"/>
      <c r="W835" s="2455"/>
      <c r="X835" s="2455"/>
      <c r="Y835" s="2455"/>
      <c r="Z835" s="2455"/>
    </row>
    <row r="836" spans="1:26" ht="12" x14ac:dyDescent="0.2">
      <c r="A836" s="2455"/>
      <c r="B836" s="2455"/>
      <c r="C836" s="2455"/>
      <c r="D836" s="2455"/>
      <c r="E836" s="2455"/>
      <c r="F836" s="2455"/>
      <c r="G836" s="2456"/>
      <c r="H836" s="2455"/>
      <c r="I836" s="2455"/>
      <c r="J836" s="2455"/>
      <c r="K836" s="2455"/>
      <c r="L836" s="2455"/>
      <c r="M836" s="2455"/>
      <c r="N836" s="2455"/>
      <c r="O836" s="2455"/>
      <c r="P836" s="2455"/>
      <c r="Q836" s="2455"/>
      <c r="R836" s="2455"/>
      <c r="S836" s="2455"/>
      <c r="T836" s="2455"/>
      <c r="U836" s="2455"/>
      <c r="V836" s="2455"/>
      <c r="W836" s="2455"/>
      <c r="X836" s="2455"/>
      <c r="Y836" s="2455"/>
      <c r="Z836" s="2455"/>
    </row>
    <row r="837" spans="1:26" ht="12" x14ac:dyDescent="0.2">
      <c r="A837" s="2455"/>
      <c r="B837" s="2455"/>
      <c r="C837" s="2455"/>
      <c r="D837" s="2455"/>
      <c r="E837" s="2455"/>
      <c r="F837" s="2455"/>
      <c r="G837" s="2456"/>
      <c r="H837" s="2455"/>
      <c r="I837" s="2455"/>
      <c r="J837" s="2455"/>
      <c r="K837" s="2455"/>
      <c r="L837" s="2455"/>
      <c r="M837" s="2455"/>
      <c r="N837" s="2455"/>
      <c r="O837" s="2455"/>
      <c r="P837" s="2455"/>
      <c r="Q837" s="2455"/>
      <c r="R837" s="2455"/>
      <c r="S837" s="2455"/>
      <c r="T837" s="2455"/>
      <c r="U837" s="2455"/>
      <c r="V837" s="2455"/>
      <c r="W837" s="2455"/>
      <c r="X837" s="2455"/>
      <c r="Y837" s="2455"/>
      <c r="Z837" s="2455"/>
    </row>
    <row r="838" spans="1:26" ht="12" x14ac:dyDescent="0.2">
      <c r="A838" s="2455"/>
      <c r="B838" s="2455"/>
      <c r="C838" s="2455"/>
      <c r="D838" s="2455"/>
      <c r="E838" s="2455"/>
      <c r="F838" s="2455"/>
      <c r="G838" s="2456"/>
      <c r="H838" s="2455"/>
      <c r="I838" s="2455"/>
      <c r="J838" s="2455"/>
      <c r="K838" s="2455"/>
      <c r="L838" s="2455"/>
      <c r="M838" s="2455"/>
      <c r="N838" s="2455"/>
      <c r="O838" s="2455"/>
      <c r="P838" s="2455"/>
      <c r="Q838" s="2455"/>
      <c r="R838" s="2455"/>
      <c r="S838" s="2455"/>
      <c r="T838" s="2455"/>
      <c r="U838" s="2455"/>
      <c r="V838" s="2455"/>
      <c r="W838" s="2455"/>
      <c r="X838" s="2455"/>
      <c r="Y838" s="2455"/>
      <c r="Z838" s="2455"/>
    </row>
    <row r="839" spans="1:26" ht="12" x14ac:dyDescent="0.2">
      <c r="A839" s="2455"/>
      <c r="B839" s="2455"/>
      <c r="C839" s="2455"/>
      <c r="D839" s="2455"/>
      <c r="E839" s="2455"/>
      <c r="F839" s="2455"/>
      <c r="G839" s="2456"/>
      <c r="H839" s="2455"/>
      <c r="I839" s="2455"/>
      <c r="J839" s="2455"/>
      <c r="K839" s="2455"/>
      <c r="L839" s="2455"/>
      <c r="M839" s="2455"/>
      <c r="N839" s="2455"/>
      <c r="O839" s="2455"/>
      <c r="P839" s="2455"/>
      <c r="Q839" s="2455"/>
      <c r="R839" s="2455"/>
      <c r="S839" s="2455"/>
      <c r="T839" s="2455"/>
      <c r="U839" s="2455"/>
      <c r="V839" s="2455"/>
      <c r="W839" s="2455"/>
      <c r="X839" s="2455"/>
      <c r="Y839" s="2455"/>
      <c r="Z839" s="2455"/>
    </row>
    <row r="840" spans="1:26" ht="12" x14ac:dyDescent="0.2">
      <c r="A840" s="2455"/>
      <c r="B840" s="2455"/>
      <c r="C840" s="2455"/>
      <c r="D840" s="2455"/>
      <c r="E840" s="2455"/>
      <c r="F840" s="2455"/>
      <c r="G840" s="2456"/>
      <c r="H840" s="2455"/>
      <c r="I840" s="2455"/>
      <c r="J840" s="2455"/>
      <c r="K840" s="2455"/>
      <c r="L840" s="2455"/>
      <c r="M840" s="2455"/>
      <c r="N840" s="2455"/>
      <c r="O840" s="2455"/>
      <c r="P840" s="2455"/>
      <c r="Q840" s="2455"/>
      <c r="R840" s="2455"/>
      <c r="S840" s="2455"/>
      <c r="T840" s="2455"/>
      <c r="U840" s="2455"/>
      <c r="V840" s="2455"/>
      <c r="W840" s="2455"/>
      <c r="X840" s="2455"/>
      <c r="Y840" s="2455"/>
      <c r="Z840" s="2455"/>
    </row>
    <row r="841" spans="1:26" ht="12" x14ac:dyDescent="0.2">
      <c r="A841" s="2455"/>
      <c r="B841" s="2455"/>
      <c r="C841" s="2455"/>
      <c r="D841" s="2455"/>
      <c r="E841" s="2455"/>
      <c r="F841" s="2455"/>
      <c r="G841" s="2456"/>
      <c r="H841" s="2455"/>
      <c r="I841" s="2455"/>
      <c r="J841" s="2455"/>
      <c r="K841" s="2455"/>
      <c r="L841" s="2455"/>
      <c r="M841" s="2455"/>
      <c r="N841" s="2455"/>
      <c r="O841" s="2455"/>
      <c r="P841" s="2455"/>
      <c r="Q841" s="2455"/>
      <c r="R841" s="2455"/>
      <c r="S841" s="2455"/>
      <c r="T841" s="2455"/>
      <c r="U841" s="2455"/>
      <c r="V841" s="2455"/>
      <c r="W841" s="2455"/>
      <c r="X841" s="2455"/>
      <c r="Y841" s="2455"/>
      <c r="Z841" s="2455"/>
    </row>
    <row r="842" spans="1:26" ht="12" x14ac:dyDescent="0.2">
      <c r="A842" s="2455"/>
      <c r="B842" s="2455"/>
      <c r="C842" s="2455"/>
      <c r="D842" s="2455"/>
      <c r="E842" s="2455"/>
      <c r="F842" s="2455"/>
      <c r="G842" s="2456"/>
      <c r="H842" s="2455"/>
      <c r="I842" s="2455"/>
      <c r="J842" s="2455"/>
      <c r="K842" s="2455"/>
      <c r="L842" s="2455"/>
      <c r="M842" s="2455"/>
      <c r="N842" s="2455"/>
      <c r="O842" s="2455"/>
      <c r="P842" s="2455"/>
      <c r="Q842" s="2455"/>
      <c r="R842" s="2455"/>
      <c r="S842" s="2455"/>
      <c r="T842" s="2455"/>
      <c r="U842" s="2455"/>
      <c r="V842" s="2455"/>
      <c r="W842" s="2455"/>
      <c r="X842" s="2455"/>
      <c r="Y842" s="2455"/>
      <c r="Z842" s="2455"/>
    </row>
    <row r="843" spans="1:26" ht="12" x14ac:dyDescent="0.2">
      <c r="A843" s="2455"/>
      <c r="B843" s="2455"/>
      <c r="C843" s="2455"/>
      <c r="D843" s="2455"/>
      <c r="E843" s="2455"/>
      <c r="F843" s="2455"/>
      <c r="G843" s="2456"/>
      <c r="H843" s="2455"/>
      <c r="I843" s="2455"/>
      <c r="J843" s="2455"/>
      <c r="K843" s="2455"/>
      <c r="L843" s="2455"/>
      <c r="M843" s="2455"/>
      <c r="N843" s="2455"/>
      <c r="O843" s="2455"/>
      <c r="P843" s="2455"/>
      <c r="Q843" s="2455"/>
      <c r="R843" s="2455"/>
      <c r="S843" s="2455"/>
      <c r="T843" s="2455"/>
      <c r="U843" s="2455"/>
      <c r="V843" s="2455"/>
      <c r="W843" s="2455"/>
      <c r="X843" s="2455"/>
      <c r="Y843" s="2455"/>
      <c r="Z843" s="2455"/>
    </row>
    <row r="844" spans="1:26" ht="12" x14ac:dyDescent="0.2">
      <c r="A844" s="2455"/>
      <c r="B844" s="2455"/>
      <c r="C844" s="2455"/>
      <c r="D844" s="2455"/>
      <c r="E844" s="2455"/>
      <c r="F844" s="2455"/>
      <c r="G844" s="2456"/>
      <c r="H844" s="2455"/>
      <c r="I844" s="2455"/>
      <c r="J844" s="2455"/>
      <c r="K844" s="2455"/>
      <c r="L844" s="2455"/>
      <c r="M844" s="2455"/>
      <c r="N844" s="2455"/>
      <c r="O844" s="2455"/>
      <c r="P844" s="2455"/>
      <c r="Q844" s="2455"/>
      <c r="R844" s="2455"/>
      <c r="S844" s="2455"/>
      <c r="T844" s="2455"/>
      <c r="U844" s="2455"/>
      <c r="V844" s="2455"/>
      <c r="W844" s="2455"/>
      <c r="X844" s="2455"/>
      <c r="Y844" s="2455"/>
      <c r="Z844" s="2455"/>
    </row>
    <row r="845" spans="1:26" ht="12" x14ac:dyDescent="0.2">
      <c r="A845" s="2455"/>
      <c r="B845" s="2455"/>
      <c r="C845" s="2455"/>
      <c r="D845" s="2455"/>
      <c r="E845" s="2455"/>
      <c r="F845" s="2455"/>
      <c r="G845" s="2456"/>
      <c r="H845" s="2455"/>
      <c r="I845" s="2455"/>
      <c r="J845" s="2455"/>
      <c r="K845" s="2455"/>
      <c r="L845" s="2455"/>
      <c r="M845" s="2455"/>
      <c r="N845" s="2455"/>
      <c r="O845" s="2455"/>
      <c r="P845" s="2455"/>
      <c r="Q845" s="2455"/>
      <c r="R845" s="2455"/>
      <c r="S845" s="2455"/>
      <c r="T845" s="2455"/>
      <c r="U845" s="2455"/>
      <c r="V845" s="2455"/>
      <c r="W845" s="2455"/>
      <c r="X845" s="2455"/>
      <c r="Y845" s="2455"/>
      <c r="Z845" s="2455"/>
    </row>
    <row r="846" spans="1:26" ht="12" x14ac:dyDescent="0.2">
      <c r="A846" s="2455"/>
      <c r="B846" s="2455"/>
      <c r="C846" s="2455"/>
      <c r="D846" s="2455"/>
      <c r="E846" s="2455"/>
      <c r="F846" s="2455"/>
      <c r="G846" s="2456"/>
      <c r="H846" s="2455"/>
      <c r="I846" s="2455"/>
      <c r="J846" s="2455"/>
      <c r="K846" s="2455"/>
      <c r="L846" s="2455"/>
      <c r="M846" s="2455"/>
      <c r="N846" s="2455"/>
      <c r="O846" s="2455"/>
      <c r="P846" s="2455"/>
      <c r="Q846" s="2455"/>
      <c r="R846" s="2455"/>
      <c r="S846" s="2455"/>
      <c r="T846" s="2455"/>
      <c r="U846" s="2455"/>
      <c r="V846" s="2455"/>
      <c r="W846" s="2455"/>
      <c r="X846" s="2455"/>
      <c r="Y846" s="2455"/>
      <c r="Z846" s="2455"/>
    </row>
    <row r="847" spans="1:26" ht="12" x14ac:dyDescent="0.2">
      <c r="A847" s="2455"/>
      <c r="B847" s="2455"/>
      <c r="C847" s="2455"/>
      <c r="D847" s="2455"/>
      <c r="E847" s="2455"/>
      <c r="F847" s="2455"/>
      <c r="G847" s="2456"/>
      <c r="H847" s="2455"/>
      <c r="I847" s="2455"/>
      <c r="J847" s="2455"/>
      <c r="K847" s="2455"/>
      <c r="L847" s="2455"/>
      <c r="M847" s="2455"/>
      <c r="N847" s="2455"/>
      <c r="O847" s="2455"/>
      <c r="P847" s="2455"/>
      <c r="Q847" s="2455"/>
      <c r="R847" s="2455"/>
      <c r="S847" s="2455"/>
      <c r="T847" s="2455"/>
      <c r="U847" s="2455"/>
      <c r="V847" s="2455"/>
      <c r="W847" s="2455"/>
      <c r="X847" s="2455"/>
      <c r="Y847" s="2455"/>
      <c r="Z847" s="2455"/>
    </row>
    <row r="848" spans="1:26" ht="12" x14ac:dyDescent="0.2">
      <c r="A848" s="2455"/>
      <c r="B848" s="2455"/>
      <c r="C848" s="2455"/>
      <c r="D848" s="2455"/>
      <c r="E848" s="2455"/>
      <c r="F848" s="2455"/>
      <c r="G848" s="2456"/>
      <c r="H848" s="2455"/>
      <c r="I848" s="2455"/>
      <c r="J848" s="2455"/>
      <c r="K848" s="2455"/>
      <c r="L848" s="2455"/>
      <c r="M848" s="2455"/>
      <c r="N848" s="2455"/>
      <c r="O848" s="2455"/>
      <c r="P848" s="2455"/>
      <c r="Q848" s="2455"/>
      <c r="R848" s="2455"/>
      <c r="S848" s="2455"/>
      <c r="T848" s="2455"/>
      <c r="U848" s="2455"/>
      <c r="V848" s="2455"/>
      <c r="W848" s="2455"/>
      <c r="X848" s="2455"/>
      <c r="Y848" s="2455"/>
      <c r="Z848" s="2455"/>
    </row>
    <row r="849" spans="1:26" ht="12" x14ac:dyDescent="0.2">
      <c r="A849" s="2455"/>
      <c r="B849" s="2455"/>
      <c r="C849" s="2455"/>
      <c r="D849" s="2455"/>
      <c r="E849" s="2455"/>
      <c r="F849" s="2455"/>
      <c r="G849" s="2456"/>
      <c r="H849" s="2455"/>
      <c r="I849" s="2455"/>
      <c r="J849" s="2455"/>
      <c r="K849" s="2455"/>
      <c r="L849" s="2455"/>
      <c r="M849" s="2455"/>
      <c r="N849" s="2455"/>
      <c r="O849" s="2455"/>
      <c r="P849" s="2455"/>
      <c r="Q849" s="2455"/>
      <c r="R849" s="2455"/>
      <c r="S849" s="2455"/>
      <c r="T849" s="2455"/>
      <c r="U849" s="2455"/>
      <c r="V849" s="2455"/>
      <c r="W849" s="2455"/>
      <c r="X849" s="2455"/>
      <c r="Y849" s="2455"/>
      <c r="Z849" s="2455"/>
    </row>
    <row r="850" spans="1:26" ht="12" x14ac:dyDescent="0.2">
      <c r="A850" s="2455"/>
      <c r="B850" s="2455"/>
      <c r="C850" s="2455"/>
      <c r="D850" s="2455"/>
      <c r="E850" s="2455"/>
      <c r="F850" s="2455"/>
      <c r="G850" s="2456"/>
      <c r="H850" s="2455"/>
      <c r="I850" s="2455"/>
      <c r="J850" s="2455"/>
      <c r="K850" s="2455"/>
      <c r="L850" s="2455"/>
      <c r="M850" s="2455"/>
      <c r="N850" s="2455"/>
      <c r="O850" s="2455"/>
      <c r="P850" s="2455"/>
      <c r="Q850" s="2455"/>
      <c r="R850" s="2455"/>
      <c r="S850" s="2455"/>
      <c r="T850" s="2455"/>
      <c r="U850" s="2455"/>
      <c r="V850" s="2455"/>
      <c r="W850" s="2455"/>
      <c r="X850" s="2455"/>
      <c r="Y850" s="2455"/>
      <c r="Z850" s="2455"/>
    </row>
    <row r="851" spans="1:26" ht="12" x14ac:dyDescent="0.2">
      <c r="A851" s="2455"/>
      <c r="B851" s="2455"/>
      <c r="C851" s="2455"/>
      <c r="D851" s="2455"/>
      <c r="E851" s="2455"/>
      <c r="F851" s="2455"/>
      <c r="G851" s="2456"/>
      <c r="H851" s="2455"/>
      <c r="I851" s="2455"/>
      <c r="J851" s="2455"/>
      <c r="K851" s="2455"/>
      <c r="L851" s="2455"/>
      <c r="M851" s="2455"/>
      <c r="N851" s="2455"/>
      <c r="O851" s="2455"/>
      <c r="P851" s="2455"/>
      <c r="Q851" s="2455"/>
      <c r="R851" s="2455"/>
      <c r="S851" s="2455"/>
      <c r="T851" s="2455"/>
      <c r="U851" s="2455"/>
      <c r="V851" s="2455"/>
      <c r="W851" s="2455"/>
      <c r="X851" s="2455"/>
      <c r="Y851" s="2455"/>
      <c r="Z851" s="2455"/>
    </row>
    <row r="852" spans="1:26" ht="12" x14ac:dyDescent="0.2">
      <c r="A852" s="2455"/>
      <c r="B852" s="2455"/>
      <c r="C852" s="2455"/>
      <c r="D852" s="2455"/>
      <c r="E852" s="2455"/>
      <c r="F852" s="2455"/>
      <c r="G852" s="2456"/>
      <c r="H852" s="2455"/>
      <c r="I852" s="2455"/>
      <c r="J852" s="2455"/>
      <c r="K852" s="2455"/>
      <c r="L852" s="2455"/>
      <c r="M852" s="2455"/>
      <c r="N852" s="2455"/>
      <c r="O852" s="2455"/>
      <c r="P852" s="2455"/>
      <c r="Q852" s="2455"/>
      <c r="R852" s="2455"/>
      <c r="S852" s="2455"/>
      <c r="T852" s="2455"/>
      <c r="U852" s="2455"/>
      <c r="V852" s="2455"/>
      <c r="W852" s="2455"/>
      <c r="X852" s="2455"/>
      <c r="Y852" s="2455"/>
      <c r="Z852" s="2455"/>
    </row>
    <row r="853" spans="1:26" ht="12" x14ac:dyDescent="0.2">
      <c r="A853" s="2455"/>
      <c r="B853" s="2455"/>
      <c r="C853" s="2455"/>
      <c r="D853" s="2455"/>
      <c r="E853" s="2455"/>
      <c r="F853" s="2455"/>
      <c r="G853" s="2456"/>
      <c r="H853" s="2455"/>
      <c r="I853" s="2455"/>
      <c r="J853" s="2455"/>
      <c r="K853" s="2455"/>
      <c r="L853" s="2455"/>
      <c r="M853" s="2455"/>
      <c r="N853" s="2455"/>
      <c r="O853" s="2455"/>
      <c r="P853" s="2455"/>
      <c r="Q853" s="2455"/>
      <c r="R853" s="2455"/>
      <c r="S853" s="2455"/>
      <c r="T853" s="2455"/>
      <c r="U853" s="2455"/>
      <c r="V853" s="2455"/>
      <c r="W853" s="2455"/>
      <c r="X853" s="2455"/>
      <c r="Y853" s="2455"/>
      <c r="Z853" s="2455"/>
    </row>
    <row r="854" spans="1:26" ht="12" x14ac:dyDescent="0.2">
      <c r="A854" s="2455"/>
      <c r="B854" s="2455"/>
      <c r="C854" s="2455"/>
      <c r="D854" s="2455"/>
      <c r="E854" s="2455"/>
      <c r="F854" s="2455"/>
      <c r="G854" s="2456"/>
      <c r="H854" s="2455"/>
      <c r="I854" s="2455"/>
      <c r="J854" s="2455"/>
      <c r="K854" s="2455"/>
      <c r="L854" s="2455"/>
      <c r="M854" s="2455"/>
      <c r="N854" s="2455"/>
      <c r="O854" s="2455"/>
      <c r="P854" s="2455"/>
      <c r="Q854" s="2455"/>
      <c r="R854" s="2455"/>
      <c r="S854" s="2455"/>
      <c r="T854" s="2455"/>
      <c r="U854" s="2455"/>
      <c r="V854" s="2455"/>
      <c r="W854" s="2455"/>
      <c r="X854" s="2455"/>
      <c r="Y854" s="2455"/>
      <c r="Z854" s="2455"/>
    </row>
    <row r="855" spans="1:26" ht="12" x14ac:dyDescent="0.2">
      <c r="A855" s="2455"/>
      <c r="B855" s="2455"/>
      <c r="C855" s="2455"/>
      <c r="D855" s="2455"/>
      <c r="E855" s="2455"/>
      <c r="F855" s="2455"/>
      <c r="G855" s="2456"/>
      <c r="H855" s="2455"/>
      <c r="I855" s="2455"/>
      <c r="J855" s="2455"/>
      <c r="K855" s="2455"/>
      <c r="L855" s="2455"/>
      <c r="M855" s="2455"/>
      <c r="N855" s="2455"/>
      <c r="O855" s="2455"/>
      <c r="P855" s="2455"/>
      <c r="Q855" s="2455"/>
      <c r="R855" s="2455"/>
      <c r="S855" s="2455"/>
      <c r="T855" s="2455"/>
      <c r="U855" s="2455"/>
      <c r="V855" s="2455"/>
      <c r="W855" s="2455"/>
      <c r="X855" s="2455"/>
      <c r="Y855" s="2455"/>
      <c r="Z855" s="2455"/>
    </row>
    <row r="856" spans="1:26" ht="12" x14ac:dyDescent="0.2">
      <c r="A856" s="2455"/>
      <c r="B856" s="2455"/>
      <c r="C856" s="2455"/>
      <c r="D856" s="2455"/>
      <c r="E856" s="2455"/>
      <c r="F856" s="2455"/>
      <c r="G856" s="2456"/>
      <c r="H856" s="2455"/>
      <c r="I856" s="2455"/>
      <c r="J856" s="2455"/>
      <c r="K856" s="2455"/>
      <c r="L856" s="2455"/>
      <c r="M856" s="2455"/>
      <c r="N856" s="2455"/>
      <c r="O856" s="2455"/>
      <c r="P856" s="2455"/>
      <c r="Q856" s="2455"/>
      <c r="R856" s="2455"/>
      <c r="S856" s="2455"/>
      <c r="T856" s="2455"/>
      <c r="U856" s="2455"/>
      <c r="V856" s="2455"/>
      <c r="W856" s="2455"/>
      <c r="X856" s="2455"/>
      <c r="Y856" s="2455"/>
      <c r="Z856" s="2455"/>
    </row>
    <row r="857" spans="1:26" ht="12" x14ac:dyDescent="0.2">
      <c r="A857" s="2455"/>
      <c r="B857" s="2455"/>
      <c r="C857" s="2455"/>
      <c r="D857" s="2455"/>
      <c r="E857" s="2455"/>
      <c r="F857" s="2455"/>
      <c r="G857" s="2456"/>
      <c r="H857" s="2455"/>
      <c r="I857" s="2455"/>
      <c r="J857" s="2455"/>
      <c r="K857" s="2455"/>
      <c r="L857" s="2455"/>
      <c r="M857" s="2455"/>
      <c r="N857" s="2455"/>
      <c r="O857" s="2455"/>
      <c r="P857" s="2455"/>
      <c r="Q857" s="2455"/>
      <c r="R857" s="2455"/>
      <c r="S857" s="2455"/>
      <c r="T857" s="2455"/>
      <c r="U857" s="2455"/>
      <c r="V857" s="2455"/>
      <c r="W857" s="2455"/>
      <c r="X857" s="2455"/>
      <c r="Y857" s="2455"/>
      <c r="Z857" s="2455"/>
    </row>
    <row r="858" spans="1:26" ht="12" x14ac:dyDescent="0.2">
      <c r="A858" s="2455"/>
      <c r="B858" s="2455"/>
      <c r="C858" s="2455"/>
      <c r="D858" s="2455"/>
      <c r="E858" s="2455"/>
      <c r="F858" s="2455"/>
      <c r="G858" s="2456"/>
      <c r="H858" s="2455"/>
      <c r="I858" s="2455"/>
      <c r="J858" s="2455"/>
      <c r="K858" s="2455"/>
      <c r="L858" s="2455"/>
      <c r="M858" s="2455"/>
      <c r="N858" s="2455"/>
      <c r="O858" s="2455"/>
      <c r="P858" s="2455"/>
      <c r="Q858" s="2455"/>
      <c r="R858" s="2455"/>
      <c r="S858" s="2455"/>
      <c r="T858" s="2455"/>
      <c r="U858" s="2455"/>
      <c r="V858" s="2455"/>
      <c r="W858" s="2455"/>
      <c r="X858" s="2455"/>
      <c r="Y858" s="2455"/>
      <c r="Z858" s="2455"/>
    </row>
    <row r="859" spans="1:26" ht="12" x14ac:dyDescent="0.2">
      <c r="A859" s="2455"/>
      <c r="B859" s="2455"/>
      <c r="C859" s="2455"/>
      <c r="D859" s="2455"/>
      <c r="E859" s="2455"/>
      <c r="F859" s="2455"/>
      <c r="G859" s="2456"/>
      <c r="H859" s="2455"/>
      <c r="I859" s="2455"/>
      <c r="J859" s="2455"/>
      <c r="K859" s="2455"/>
      <c r="L859" s="2455"/>
      <c r="M859" s="2455"/>
      <c r="N859" s="2455"/>
      <c r="O859" s="2455"/>
      <c r="P859" s="2455"/>
      <c r="Q859" s="2455"/>
      <c r="R859" s="2455"/>
      <c r="S859" s="2455"/>
      <c r="T859" s="2455"/>
      <c r="U859" s="2455"/>
      <c r="V859" s="2455"/>
      <c r="W859" s="2455"/>
      <c r="X859" s="2455"/>
      <c r="Y859" s="2455"/>
      <c r="Z859" s="2455"/>
    </row>
    <row r="860" spans="1:26" ht="12" x14ac:dyDescent="0.2">
      <c r="A860" s="2455"/>
      <c r="B860" s="2455"/>
      <c r="C860" s="2455"/>
      <c r="D860" s="2455"/>
      <c r="E860" s="2455"/>
      <c r="F860" s="2455"/>
      <c r="G860" s="2456"/>
      <c r="H860" s="2455"/>
      <c r="I860" s="2455"/>
      <c r="J860" s="2455"/>
      <c r="K860" s="2455"/>
      <c r="L860" s="2455"/>
      <c r="M860" s="2455"/>
      <c r="N860" s="2455"/>
      <c r="O860" s="2455"/>
      <c r="P860" s="2455"/>
      <c r="Q860" s="2455"/>
      <c r="R860" s="2455"/>
      <c r="S860" s="2455"/>
      <c r="T860" s="2455"/>
      <c r="U860" s="2455"/>
      <c r="V860" s="2455"/>
      <c r="W860" s="2455"/>
      <c r="X860" s="2455"/>
      <c r="Y860" s="2455"/>
      <c r="Z860" s="2455"/>
    </row>
    <row r="861" spans="1:26" ht="12" x14ac:dyDescent="0.2">
      <c r="A861" s="2455"/>
      <c r="B861" s="2455"/>
      <c r="C861" s="2455"/>
      <c r="D861" s="2455"/>
      <c r="E861" s="2455"/>
      <c r="F861" s="2455"/>
      <c r="G861" s="2456"/>
      <c r="H861" s="2455"/>
      <c r="I861" s="2455"/>
      <c r="J861" s="2455"/>
      <c r="K861" s="2455"/>
      <c r="L861" s="2455"/>
      <c r="M861" s="2455"/>
      <c r="N861" s="2455"/>
      <c r="O861" s="2455"/>
      <c r="P861" s="2455"/>
      <c r="Q861" s="2455"/>
      <c r="R861" s="2455"/>
      <c r="S861" s="2455"/>
      <c r="T861" s="2455"/>
      <c r="U861" s="2455"/>
      <c r="V861" s="2455"/>
      <c r="W861" s="2455"/>
      <c r="X861" s="2455"/>
      <c r="Y861" s="2455"/>
      <c r="Z861" s="2455"/>
    </row>
    <row r="862" spans="1:26" ht="12" x14ac:dyDescent="0.2">
      <c r="A862" s="2455"/>
      <c r="B862" s="2455"/>
      <c r="C862" s="2455"/>
      <c r="D862" s="2455"/>
      <c r="E862" s="2455"/>
      <c r="F862" s="2455"/>
      <c r="G862" s="2456"/>
      <c r="H862" s="2455"/>
      <c r="I862" s="2455"/>
      <c r="J862" s="2455"/>
      <c r="K862" s="2455"/>
      <c r="L862" s="2455"/>
      <c r="M862" s="2455"/>
      <c r="N862" s="2455"/>
      <c r="O862" s="2455"/>
      <c r="P862" s="2455"/>
      <c r="Q862" s="2455"/>
      <c r="R862" s="2455"/>
      <c r="S862" s="2455"/>
      <c r="T862" s="2455"/>
      <c r="U862" s="2455"/>
      <c r="V862" s="2455"/>
      <c r="W862" s="2455"/>
      <c r="X862" s="2455"/>
      <c r="Y862" s="2455"/>
      <c r="Z862" s="2455"/>
    </row>
    <row r="863" spans="1:26" ht="12" x14ac:dyDescent="0.2">
      <c r="A863" s="2455"/>
      <c r="B863" s="2455"/>
      <c r="C863" s="2455"/>
      <c r="D863" s="2455"/>
      <c r="E863" s="2455"/>
      <c r="F863" s="2455"/>
      <c r="G863" s="2456"/>
      <c r="H863" s="2455"/>
      <c r="I863" s="2455"/>
      <c r="J863" s="2455"/>
      <c r="K863" s="2455"/>
      <c r="L863" s="2455"/>
      <c r="M863" s="2455"/>
      <c r="N863" s="2455"/>
      <c r="O863" s="2455"/>
      <c r="P863" s="2455"/>
      <c r="Q863" s="2455"/>
      <c r="R863" s="2455"/>
      <c r="S863" s="2455"/>
      <c r="T863" s="2455"/>
      <c r="U863" s="2455"/>
      <c r="V863" s="2455"/>
      <c r="W863" s="2455"/>
      <c r="X863" s="2455"/>
      <c r="Y863" s="2455"/>
      <c r="Z863" s="2455"/>
    </row>
    <row r="864" spans="1:26" ht="12" x14ac:dyDescent="0.2">
      <c r="A864" s="2455"/>
      <c r="B864" s="2455"/>
      <c r="C864" s="2455"/>
      <c r="D864" s="2455"/>
      <c r="E864" s="2455"/>
      <c r="F864" s="2455"/>
      <c r="G864" s="2456"/>
      <c r="H864" s="2455"/>
      <c r="I864" s="2455"/>
      <c r="J864" s="2455"/>
      <c r="K864" s="2455"/>
      <c r="L864" s="2455"/>
      <c r="M864" s="2455"/>
      <c r="N864" s="2455"/>
      <c r="O864" s="2455"/>
      <c r="P864" s="2455"/>
      <c r="Q864" s="2455"/>
      <c r="R864" s="2455"/>
      <c r="S864" s="2455"/>
      <c r="T864" s="2455"/>
      <c r="U864" s="2455"/>
      <c r="V864" s="2455"/>
      <c r="W864" s="2455"/>
      <c r="X864" s="2455"/>
      <c r="Y864" s="2455"/>
      <c r="Z864" s="2455"/>
    </row>
    <row r="865" spans="1:26" ht="12" x14ac:dyDescent="0.2">
      <c r="A865" s="2455"/>
      <c r="B865" s="2455"/>
      <c r="C865" s="2455"/>
      <c r="D865" s="2455"/>
      <c r="E865" s="2455"/>
      <c r="F865" s="2455"/>
      <c r="G865" s="2456"/>
      <c r="H865" s="2455"/>
      <c r="I865" s="2455"/>
      <c r="J865" s="2455"/>
      <c r="K865" s="2455"/>
      <c r="L865" s="2455"/>
      <c r="M865" s="2455"/>
      <c r="N865" s="2455"/>
      <c r="O865" s="2455"/>
      <c r="P865" s="2455"/>
      <c r="Q865" s="2455"/>
      <c r="R865" s="2455"/>
      <c r="S865" s="2455"/>
      <c r="T865" s="2455"/>
      <c r="U865" s="2455"/>
      <c r="V865" s="2455"/>
      <c r="W865" s="2455"/>
      <c r="X865" s="2455"/>
      <c r="Y865" s="2455"/>
      <c r="Z865" s="2455"/>
    </row>
    <row r="866" spans="1:26" ht="12" x14ac:dyDescent="0.2">
      <c r="A866" s="2455"/>
      <c r="B866" s="2455"/>
      <c r="C866" s="2455"/>
      <c r="D866" s="2455"/>
      <c r="E866" s="2455"/>
      <c r="F866" s="2455"/>
      <c r="G866" s="2456"/>
      <c r="H866" s="2455"/>
      <c r="I866" s="2455"/>
      <c r="J866" s="2455"/>
      <c r="K866" s="2455"/>
      <c r="L866" s="2455"/>
      <c r="M866" s="2455"/>
      <c r="N866" s="2455"/>
      <c r="O866" s="2455"/>
      <c r="P866" s="2455"/>
      <c r="Q866" s="2455"/>
      <c r="R866" s="2455"/>
      <c r="S866" s="2455"/>
      <c r="T866" s="2455"/>
      <c r="U866" s="2455"/>
      <c r="V866" s="2455"/>
      <c r="W866" s="2455"/>
      <c r="X866" s="2455"/>
      <c r="Y866" s="2455"/>
      <c r="Z866" s="2455"/>
    </row>
    <row r="867" spans="1:26" ht="12" x14ac:dyDescent="0.2">
      <c r="A867" s="2455"/>
      <c r="B867" s="2455"/>
      <c r="C867" s="2455"/>
      <c r="D867" s="2455"/>
      <c r="E867" s="2455"/>
      <c r="F867" s="2455"/>
      <c r="G867" s="2456"/>
      <c r="H867" s="2455"/>
      <c r="I867" s="2455"/>
      <c r="J867" s="2455"/>
      <c r="K867" s="2455"/>
      <c r="L867" s="2455"/>
      <c r="M867" s="2455"/>
      <c r="N867" s="2455"/>
      <c r="O867" s="2455"/>
      <c r="P867" s="2455"/>
      <c r="Q867" s="2455"/>
      <c r="R867" s="2455"/>
      <c r="S867" s="2455"/>
      <c r="T867" s="2455"/>
      <c r="U867" s="2455"/>
      <c r="V867" s="2455"/>
      <c r="W867" s="2455"/>
      <c r="X867" s="2455"/>
      <c r="Y867" s="2455"/>
      <c r="Z867" s="2455"/>
    </row>
    <row r="868" spans="1:26" ht="12" x14ac:dyDescent="0.2">
      <c r="A868" s="2455"/>
      <c r="B868" s="2455"/>
      <c r="C868" s="2455"/>
      <c r="D868" s="2455"/>
      <c r="E868" s="2455"/>
      <c r="F868" s="2455"/>
      <c r="G868" s="2456"/>
      <c r="H868" s="2455"/>
      <c r="I868" s="2455"/>
      <c r="J868" s="2455"/>
      <c r="K868" s="2455"/>
      <c r="L868" s="2455"/>
      <c r="M868" s="2455"/>
      <c r="N868" s="2455"/>
      <c r="O868" s="2455"/>
      <c r="P868" s="2455"/>
      <c r="Q868" s="2455"/>
      <c r="R868" s="2455"/>
      <c r="S868" s="2455"/>
      <c r="T868" s="2455"/>
      <c r="U868" s="2455"/>
      <c r="V868" s="2455"/>
      <c r="W868" s="2455"/>
      <c r="X868" s="2455"/>
      <c r="Y868" s="2455"/>
      <c r="Z868" s="2455"/>
    </row>
    <row r="869" spans="1:26" ht="12" x14ac:dyDescent="0.2">
      <c r="A869" s="2455"/>
      <c r="B869" s="2455"/>
      <c r="C869" s="2455"/>
      <c r="D869" s="2455"/>
      <c r="E869" s="2455"/>
      <c r="F869" s="2455"/>
      <c r="G869" s="2456"/>
      <c r="H869" s="2455"/>
      <c r="I869" s="2455"/>
      <c r="J869" s="2455"/>
      <c r="K869" s="2455"/>
      <c r="L869" s="2455"/>
      <c r="M869" s="2455"/>
      <c r="N869" s="2455"/>
      <c r="O869" s="2455"/>
      <c r="P869" s="2455"/>
      <c r="Q869" s="2455"/>
      <c r="R869" s="2455"/>
      <c r="S869" s="2455"/>
      <c r="T869" s="2455"/>
      <c r="U869" s="2455"/>
      <c r="V869" s="2455"/>
      <c r="W869" s="2455"/>
      <c r="X869" s="2455"/>
      <c r="Y869" s="2455"/>
      <c r="Z869" s="2455"/>
    </row>
    <row r="870" spans="1:26" ht="12" x14ac:dyDescent="0.2">
      <c r="A870" s="2455"/>
      <c r="B870" s="2455"/>
      <c r="C870" s="2455"/>
      <c r="D870" s="2455"/>
      <c r="E870" s="2455"/>
      <c r="F870" s="2455"/>
      <c r="G870" s="2456"/>
      <c r="H870" s="2455"/>
      <c r="I870" s="2455"/>
      <c r="J870" s="2455"/>
      <c r="K870" s="2455"/>
      <c r="L870" s="2455"/>
      <c r="M870" s="2455"/>
      <c r="N870" s="2455"/>
      <c r="O870" s="2455"/>
      <c r="P870" s="2455"/>
      <c r="Q870" s="2455"/>
      <c r="R870" s="2455"/>
      <c r="S870" s="2455"/>
      <c r="T870" s="2455"/>
      <c r="U870" s="2455"/>
      <c r="V870" s="2455"/>
      <c r="W870" s="2455"/>
      <c r="X870" s="2455"/>
      <c r="Y870" s="2455"/>
      <c r="Z870" s="2455"/>
    </row>
    <row r="871" spans="1:26" ht="12" x14ac:dyDescent="0.2">
      <c r="A871" s="2455"/>
      <c r="B871" s="2455"/>
      <c r="C871" s="2455"/>
      <c r="D871" s="2455"/>
      <c r="E871" s="2455"/>
      <c r="F871" s="2455"/>
      <c r="G871" s="2456"/>
      <c r="H871" s="2455"/>
      <c r="I871" s="2455"/>
      <c r="J871" s="2455"/>
      <c r="K871" s="2455"/>
      <c r="L871" s="2455"/>
      <c r="M871" s="2455"/>
      <c r="N871" s="2455"/>
      <c r="O871" s="2455"/>
      <c r="P871" s="2455"/>
      <c r="Q871" s="2455"/>
      <c r="R871" s="2455"/>
      <c r="S871" s="2455"/>
      <c r="T871" s="2455"/>
      <c r="U871" s="2455"/>
      <c r="V871" s="2455"/>
      <c r="W871" s="2455"/>
      <c r="X871" s="2455"/>
      <c r="Y871" s="2455"/>
      <c r="Z871" s="2455"/>
    </row>
    <row r="872" spans="1:26" ht="12" x14ac:dyDescent="0.2">
      <c r="A872" s="2455"/>
      <c r="B872" s="2455"/>
      <c r="C872" s="2455"/>
      <c r="D872" s="2455"/>
      <c r="E872" s="2455"/>
      <c r="F872" s="2455"/>
      <c r="G872" s="2456"/>
      <c r="H872" s="2455"/>
      <c r="I872" s="2455"/>
      <c r="J872" s="2455"/>
      <c r="K872" s="2455"/>
      <c r="L872" s="2455"/>
      <c r="M872" s="2455"/>
      <c r="N872" s="2455"/>
      <c r="O872" s="2455"/>
      <c r="P872" s="2455"/>
      <c r="Q872" s="2455"/>
      <c r="R872" s="2455"/>
      <c r="S872" s="2455"/>
      <c r="T872" s="2455"/>
      <c r="U872" s="2455"/>
      <c r="V872" s="2455"/>
      <c r="W872" s="2455"/>
      <c r="X872" s="2455"/>
      <c r="Y872" s="2455"/>
      <c r="Z872" s="2455"/>
    </row>
    <row r="873" spans="1:26" ht="12" x14ac:dyDescent="0.2">
      <c r="A873" s="2455"/>
      <c r="B873" s="2455"/>
      <c r="C873" s="2455"/>
      <c r="D873" s="2455"/>
      <c r="E873" s="2455"/>
      <c r="F873" s="2455"/>
      <c r="G873" s="2456"/>
      <c r="H873" s="2455"/>
      <c r="I873" s="2455"/>
      <c r="J873" s="2455"/>
      <c r="K873" s="2455"/>
      <c r="L873" s="2455"/>
      <c r="M873" s="2455"/>
      <c r="N873" s="2455"/>
      <c r="O873" s="2455"/>
      <c r="P873" s="2455"/>
      <c r="Q873" s="2455"/>
      <c r="R873" s="2455"/>
      <c r="S873" s="2455"/>
      <c r="T873" s="2455"/>
      <c r="U873" s="2455"/>
      <c r="V873" s="2455"/>
      <c r="W873" s="2455"/>
      <c r="X873" s="2455"/>
      <c r="Y873" s="2455"/>
      <c r="Z873" s="2455"/>
    </row>
    <row r="874" spans="1:26" ht="12" x14ac:dyDescent="0.2">
      <c r="A874" s="2455"/>
      <c r="B874" s="2455"/>
      <c r="C874" s="2455"/>
      <c r="D874" s="2455"/>
      <c r="E874" s="2455"/>
      <c r="F874" s="2455"/>
      <c r="G874" s="2456"/>
      <c r="H874" s="2455"/>
      <c r="I874" s="2455"/>
      <c r="J874" s="2455"/>
      <c r="K874" s="2455"/>
      <c r="L874" s="2455"/>
      <c r="M874" s="2455"/>
      <c r="N874" s="2455"/>
      <c r="O874" s="2455"/>
      <c r="P874" s="2455"/>
      <c r="Q874" s="2455"/>
      <c r="R874" s="2455"/>
      <c r="S874" s="2455"/>
      <c r="T874" s="2455"/>
      <c r="U874" s="2455"/>
      <c r="V874" s="2455"/>
      <c r="W874" s="2455"/>
      <c r="X874" s="2455"/>
      <c r="Y874" s="2455"/>
      <c r="Z874" s="2455"/>
    </row>
    <row r="875" spans="1:26" ht="12" x14ac:dyDescent="0.2">
      <c r="A875" s="2455"/>
      <c r="B875" s="2455"/>
      <c r="C875" s="2455"/>
      <c r="D875" s="2455"/>
      <c r="E875" s="2455"/>
      <c r="F875" s="2455"/>
      <c r="G875" s="2456"/>
      <c r="H875" s="2455"/>
      <c r="I875" s="2455"/>
      <c r="J875" s="2455"/>
      <c r="K875" s="2455"/>
      <c r="L875" s="2455"/>
      <c r="M875" s="2455"/>
      <c r="N875" s="2455"/>
      <c r="O875" s="2455"/>
      <c r="P875" s="2455"/>
      <c r="Q875" s="2455"/>
      <c r="R875" s="2455"/>
      <c r="S875" s="2455"/>
      <c r="T875" s="2455"/>
      <c r="U875" s="2455"/>
      <c r="V875" s="2455"/>
      <c r="W875" s="2455"/>
      <c r="X875" s="2455"/>
      <c r="Y875" s="2455"/>
      <c r="Z875" s="2455"/>
    </row>
    <row r="876" spans="1:26" ht="12" x14ac:dyDescent="0.2">
      <c r="A876" s="2455"/>
      <c r="B876" s="2455"/>
      <c r="C876" s="2455"/>
      <c r="D876" s="2455"/>
      <c r="E876" s="2455"/>
      <c r="F876" s="2455"/>
      <c r="G876" s="2456"/>
      <c r="H876" s="2455"/>
      <c r="I876" s="2455"/>
      <c r="J876" s="2455"/>
      <c r="K876" s="2455"/>
      <c r="L876" s="2455"/>
      <c r="M876" s="2455"/>
      <c r="N876" s="2455"/>
      <c r="O876" s="2455"/>
      <c r="P876" s="2455"/>
      <c r="Q876" s="2455"/>
      <c r="R876" s="2455"/>
      <c r="S876" s="2455"/>
      <c r="T876" s="2455"/>
      <c r="U876" s="2455"/>
      <c r="V876" s="2455"/>
      <c r="W876" s="2455"/>
      <c r="X876" s="2455"/>
      <c r="Y876" s="2455"/>
      <c r="Z876" s="2455"/>
    </row>
    <row r="877" spans="1:26" ht="12" x14ac:dyDescent="0.2">
      <c r="A877" s="2455"/>
      <c r="B877" s="2455"/>
      <c r="C877" s="2455"/>
      <c r="D877" s="2455"/>
      <c r="E877" s="2455"/>
      <c r="F877" s="2455"/>
      <c r="G877" s="2456"/>
      <c r="H877" s="2455"/>
      <c r="I877" s="2455"/>
      <c r="J877" s="2455"/>
      <c r="K877" s="2455"/>
      <c r="L877" s="2455"/>
      <c r="M877" s="2455"/>
      <c r="N877" s="2455"/>
      <c r="O877" s="2455"/>
      <c r="P877" s="2455"/>
      <c r="Q877" s="2455"/>
      <c r="R877" s="2455"/>
      <c r="S877" s="2455"/>
      <c r="T877" s="2455"/>
      <c r="U877" s="2455"/>
      <c r="V877" s="2455"/>
      <c r="W877" s="2455"/>
      <c r="X877" s="2455"/>
      <c r="Y877" s="2455"/>
      <c r="Z877" s="2455"/>
    </row>
    <row r="878" spans="1:26" ht="12" x14ac:dyDescent="0.2">
      <c r="A878" s="2455"/>
      <c r="B878" s="2455"/>
      <c r="C878" s="2455"/>
      <c r="D878" s="2455"/>
      <c r="E878" s="2455"/>
      <c r="F878" s="2455"/>
      <c r="G878" s="2456"/>
      <c r="H878" s="2455"/>
      <c r="I878" s="2455"/>
      <c r="J878" s="2455"/>
      <c r="K878" s="2455"/>
      <c r="L878" s="2455"/>
      <c r="M878" s="2455"/>
      <c r="N878" s="2455"/>
      <c r="O878" s="2455"/>
      <c r="P878" s="2455"/>
      <c r="Q878" s="2455"/>
      <c r="R878" s="2455"/>
      <c r="S878" s="2455"/>
      <c r="T878" s="2455"/>
      <c r="U878" s="2455"/>
      <c r="V878" s="2455"/>
      <c r="W878" s="2455"/>
      <c r="X878" s="2455"/>
      <c r="Y878" s="2455"/>
      <c r="Z878" s="2455"/>
    </row>
    <row r="879" spans="1:26" ht="12" x14ac:dyDescent="0.2">
      <c r="A879" s="2455"/>
      <c r="B879" s="2455"/>
      <c r="C879" s="2455"/>
      <c r="D879" s="2455"/>
      <c r="E879" s="2455"/>
      <c r="F879" s="2455"/>
      <c r="G879" s="2456"/>
      <c r="H879" s="2455"/>
      <c r="I879" s="2455"/>
      <c r="J879" s="2455"/>
      <c r="K879" s="2455"/>
      <c r="L879" s="2455"/>
      <c r="M879" s="2455"/>
      <c r="N879" s="2455"/>
      <c r="O879" s="2455"/>
      <c r="P879" s="2455"/>
      <c r="Q879" s="2455"/>
      <c r="R879" s="2455"/>
      <c r="S879" s="2455"/>
      <c r="T879" s="2455"/>
      <c r="U879" s="2455"/>
      <c r="V879" s="2455"/>
      <c r="W879" s="2455"/>
      <c r="X879" s="2455"/>
      <c r="Y879" s="2455"/>
      <c r="Z879" s="2455"/>
    </row>
    <row r="880" spans="1:26" ht="12" x14ac:dyDescent="0.2">
      <c r="A880" s="2455"/>
      <c r="B880" s="2455"/>
      <c r="C880" s="2455"/>
      <c r="D880" s="2455"/>
      <c r="E880" s="2455"/>
      <c r="F880" s="2455"/>
      <c r="G880" s="2456"/>
      <c r="H880" s="2455"/>
      <c r="I880" s="2455"/>
      <c r="J880" s="2455"/>
      <c r="K880" s="2455"/>
      <c r="L880" s="2455"/>
      <c r="M880" s="2455"/>
      <c r="N880" s="2455"/>
      <c r="O880" s="2455"/>
      <c r="P880" s="2455"/>
      <c r="Q880" s="2455"/>
      <c r="R880" s="2455"/>
      <c r="S880" s="2455"/>
      <c r="T880" s="2455"/>
      <c r="U880" s="2455"/>
      <c r="V880" s="2455"/>
      <c r="W880" s="2455"/>
      <c r="X880" s="2455"/>
      <c r="Y880" s="2455"/>
      <c r="Z880" s="2455"/>
    </row>
    <row r="881" spans="1:26" ht="12" x14ac:dyDescent="0.2">
      <c r="A881" s="2455"/>
      <c r="B881" s="2455"/>
      <c r="C881" s="2455"/>
      <c r="D881" s="2455"/>
      <c r="E881" s="2455"/>
      <c r="F881" s="2455"/>
      <c r="G881" s="2456"/>
      <c r="H881" s="2455"/>
      <c r="I881" s="2455"/>
      <c r="J881" s="2455"/>
      <c r="K881" s="2455"/>
      <c r="L881" s="2455"/>
      <c r="M881" s="2455"/>
      <c r="N881" s="2455"/>
      <c r="O881" s="2455"/>
      <c r="P881" s="2455"/>
      <c r="Q881" s="2455"/>
      <c r="R881" s="2455"/>
      <c r="S881" s="2455"/>
      <c r="T881" s="2455"/>
      <c r="U881" s="2455"/>
      <c r="V881" s="2455"/>
      <c r="W881" s="2455"/>
      <c r="X881" s="2455"/>
      <c r="Y881" s="2455"/>
      <c r="Z881" s="2455"/>
    </row>
    <row r="882" spans="1:26" ht="12" x14ac:dyDescent="0.2">
      <c r="A882" s="2455"/>
      <c r="B882" s="2455"/>
      <c r="C882" s="2455"/>
      <c r="D882" s="2455"/>
      <c r="E882" s="2455"/>
      <c r="F882" s="2455"/>
      <c r="G882" s="2456"/>
      <c r="H882" s="2455"/>
      <c r="I882" s="2455"/>
      <c r="J882" s="2455"/>
      <c r="K882" s="2455"/>
      <c r="L882" s="2455"/>
      <c r="M882" s="2455"/>
      <c r="N882" s="2455"/>
      <c r="O882" s="2455"/>
      <c r="P882" s="2455"/>
      <c r="Q882" s="2455"/>
      <c r="R882" s="2455"/>
      <c r="S882" s="2455"/>
      <c r="T882" s="2455"/>
      <c r="U882" s="2455"/>
      <c r="V882" s="2455"/>
      <c r="W882" s="2455"/>
      <c r="X882" s="2455"/>
      <c r="Y882" s="2455"/>
      <c r="Z882" s="2455"/>
    </row>
    <row r="883" spans="1:26" ht="12" x14ac:dyDescent="0.2">
      <c r="A883" s="2455"/>
      <c r="B883" s="2455"/>
      <c r="C883" s="2455"/>
      <c r="D883" s="2455"/>
      <c r="E883" s="2455"/>
      <c r="F883" s="2455"/>
      <c r="G883" s="2456"/>
      <c r="H883" s="2455"/>
      <c r="I883" s="2455"/>
      <c r="J883" s="2455"/>
      <c r="K883" s="2455"/>
      <c r="L883" s="2455"/>
      <c r="M883" s="2455"/>
      <c r="N883" s="2455"/>
      <c r="O883" s="2455"/>
      <c r="P883" s="2455"/>
      <c r="Q883" s="2455"/>
      <c r="R883" s="2455"/>
      <c r="S883" s="2455"/>
      <c r="T883" s="2455"/>
      <c r="U883" s="2455"/>
      <c r="V883" s="2455"/>
      <c r="W883" s="2455"/>
      <c r="X883" s="2455"/>
      <c r="Y883" s="2455"/>
      <c r="Z883" s="2455"/>
    </row>
    <row r="884" spans="1:26" ht="12" x14ac:dyDescent="0.2">
      <c r="A884" s="2455"/>
      <c r="B884" s="2455"/>
      <c r="C884" s="2455"/>
      <c r="D884" s="2455"/>
      <c r="E884" s="2455"/>
      <c r="F884" s="2455"/>
      <c r="G884" s="2456"/>
      <c r="H884" s="2455"/>
      <c r="I884" s="2455"/>
      <c r="J884" s="2455"/>
      <c r="K884" s="2455"/>
      <c r="L884" s="2455"/>
      <c r="M884" s="2455"/>
      <c r="N884" s="2455"/>
      <c r="O884" s="2455"/>
      <c r="P884" s="2455"/>
      <c r="Q884" s="2455"/>
      <c r="R884" s="2455"/>
      <c r="S884" s="2455"/>
      <c r="T884" s="2455"/>
      <c r="U884" s="2455"/>
      <c r="V884" s="2455"/>
      <c r="W884" s="2455"/>
      <c r="X884" s="2455"/>
      <c r="Y884" s="2455"/>
      <c r="Z884" s="2455"/>
    </row>
    <row r="885" spans="1:26" ht="12" x14ac:dyDescent="0.2">
      <c r="A885" s="2455"/>
      <c r="B885" s="2455"/>
      <c r="C885" s="2455"/>
      <c r="D885" s="2455"/>
      <c r="E885" s="2455"/>
      <c r="F885" s="2455"/>
      <c r="G885" s="2456"/>
      <c r="H885" s="2455"/>
      <c r="I885" s="2455"/>
      <c r="J885" s="2455"/>
      <c r="K885" s="2455"/>
      <c r="L885" s="2455"/>
      <c r="M885" s="2455"/>
      <c r="N885" s="2455"/>
      <c r="O885" s="2455"/>
      <c r="P885" s="2455"/>
      <c r="Q885" s="2455"/>
      <c r="R885" s="2455"/>
      <c r="S885" s="2455"/>
      <c r="T885" s="2455"/>
      <c r="U885" s="2455"/>
      <c r="V885" s="2455"/>
      <c r="W885" s="2455"/>
      <c r="X885" s="2455"/>
      <c r="Y885" s="2455"/>
      <c r="Z885" s="2455"/>
    </row>
    <row r="886" spans="1:26" ht="12" x14ac:dyDescent="0.2">
      <c r="A886" s="2455"/>
      <c r="B886" s="2455"/>
      <c r="C886" s="2455"/>
      <c r="D886" s="2455"/>
      <c r="E886" s="2455"/>
      <c r="F886" s="2455"/>
      <c r="G886" s="2456"/>
      <c r="H886" s="2455"/>
      <c r="I886" s="2455"/>
      <c r="J886" s="2455"/>
      <c r="K886" s="2455"/>
      <c r="L886" s="2455"/>
      <c r="M886" s="2455"/>
      <c r="N886" s="2455"/>
      <c r="O886" s="2455"/>
      <c r="P886" s="2455"/>
      <c r="Q886" s="2455"/>
      <c r="R886" s="2455"/>
      <c r="S886" s="2455"/>
      <c r="T886" s="2455"/>
      <c r="U886" s="2455"/>
      <c r="V886" s="2455"/>
      <c r="W886" s="2455"/>
      <c r="X886" s="2455"/>
      <c r="Y886" s="2455"/>
      <c r="Z886" s="2455"/>
    </row>
    <row r="887" spans="1:26" ht="12" x14ac:dyDescent="0.2">
      <c r="A887" s="2455"/>
      <c r="B887" s="2455"/>
      <c r="C887" s="2455"/>
      <c r="D887" s="2455"/>
      <c r="E887" s="2455"/>
      <c r="F887" s="2455"/>
      <c r="G887" s="2456"/>
      <c r="H887" s="2455"/>
      <c r="I887" s="2455"/>
      <c r="J887" s="2455"/>
      <c r="K887" s="2455"/>
      <c r="L887" s="2455"/>
      <c r="M887" s="2455"/>
      <c r="N887" s="2455"/>
      <c r="O887" s="2455"/>
      <c r="P887" s="2455"/>
      <c r="Q887" s="2455"/>
      <c r="R887" s="2455"/>
      <c r="S887" s="2455"/>
      <c r="T887" s="2455"/>
      <c r="U887" s="2455"/>
      <c r="V887" s="2455"/>
      <c r="W887" s="2455"/>
      <c r="X887" s="2455"/>
      <c r="Y887" s="2455"/>
      <c r="Z887" s="2455"/>
    </row>
    <row r="888" spans="1:26" ht="12" x14ac:dyDescent="0.2">
      <c r="A888" s="2455"/>
      <c r="B888" s="2455"/>
      <c r="C888" s="2455"/>
      <c r="D888" s="2455"/>
      <c r="E888" s="2455"/>
      <c r="F888" s="2455"/>
      <c r="G888" s="2456"/>
      <c r="H888" s="2455"/>
      <c r="I888" s="2455"/>
      <c r="J888" s="2455"/>
      <c r="K888" s="2455"/>
      <c r="L888" s="2455"/>
      <c r="M888" s="2455"/>
      <c r="N888" s="2455"/>
      <c r="O888" s="2455"/>
      <c r="P888" s="2455"/>
      <c r="Q888" s="2455"/>
      <c r="R888" s="2455"/>
      <c r="S888" s="2455"/>
      <c r="T888" s="2455"/>
      <c r="U888" s="2455"/>
      <c r="V888" s="2455"/>
      <c r="W888" s="2455"/>
      <c r="X888" s="2455"/>
      <c r="Y888" s="2455"/>
      <c r="Z888" s="2455"/>
    </row>
    <row r="889" spans="1:26" ht="12" x14ac:dyDescent="0.2">
      <c r="A889" s="2455"/>
      <c r="B889" s="2455"/>
      <c r="C889" s="2455"/>
      <c r="D889" s="2455"/>
      <c r="E889" s="2455"/>
      <c r="F889" s="2455"/>
      <c r="G889" s="2456"/>
      <c r="H889" s="2455"/>
      <c r="I889" s="2455"/>
      <c r="J889" s="2455"/>
      <c r="K889" s="2455"/>
      <c r="L889" s="2455"/>
      <c r="M889" s="2455"/>
      <c r="N889" s="2455"/>
      <c r="O889" s="2455"/>
      <c r="P889" s="2455"/>
      <c r="Q889" s="2455"/>
      <c r="R889" s="2455"/>
      <c r="S889" s="2455"/>
      <c r="T889" s="2455"/>
      <c r="U889" s="2455"/>
      <c r="V889" s="2455"/>
      <c r="W889" s="2455"/>
      <c r="X889" s="2455"/>
      <c r="Y889" s="2455"/>
      <c r="Z889" s="2455"/>
    </row>
    <row r="890" spans="1:26" ht="12" x14ac:dyDescent="0.2">
      <c r="A890" s="2455"/>
      <c r="B890" s="2455"/>
      <c r="C890" s="2455"/>
      <c r="D890" s="2455"/>
      <c r="E890" s="2455"/>
      <c r="F890" s="2455"/>
      <c r="G890" s="2456"/>
      <c r="H890" s="2455"/>
      <c r="I890" s="2455"/>
      <c r="J890" s="2455"/>
      <c r="K890" s="2455"/>
      <c r="L890" s="2455"/>
      <c r="M890" s="2455"/>
      <c r="N890" s="2455"/>
      <c r="O890" s="2455"/>
      <c r="P890" s="2455"/>
      <c r="Q890" s="2455"/>
      <c r="R890" s="2455"/>
      <c r="S890" s="2455"/>
      <c r="T890" s="2455"/>
      <c r="U890" s="2455"/>
      <c r="V890" s="2455"/>
      <c r="W890" s="2455"/>
      <c r="X890" s="2455"/>
      <c r="Y890" s="2455"/>
      <c r="Z890" s="2455"/>
    </row>
    <row r="891" spans="1:26" ht="12" x14ac:dyDescent="0.2">
      <c r="A891" s="2455"/>
      <c r="B891" s="2455"/>
      <c r="C891" s="2455"/>
      <c r="D891" s="2455"/>
      <c r="E891" s="2455"/>
      <c r="F891" s="2455"/>
      <c r="G891" s="2456"/>
      <c r="H891" s="2455"/>
      <c r="I891" s="2455"/>
      <c r="J891" s="2455"/>
      <c r="K891" s="2455"/>
      <c r="L891" s="2455"/>
      <c r="M891" s="2455"/>
      <c r="N891" s="2455"/>
      <c r="O891" s="2455"/>
      <c r="P891" s="2455"/>
      <c r="Q891" s="2455"/>
      <c r="R891" s="2455"/>
      <c r="S891" s="2455"/>
      <c r="T891" s="2455"/>
      <c r="U891" s="2455"/>
      <c r="V891" s="2455"/>
      <c r="W891" s="2455"/>
      <c r="X891" s="2455"/>
      <c r="Y891" s="2455"/>
      <c r="Z891" s="2455"/>
    </row>
    <row r="892" spans="1:26" ht="12" x14ac:dyDescent="0.2">
      <c r="A892" s="2455"/>
      <c r="B892" s="2455"/>
      <c r="C892" s="2455"/>
      <c r="D892" s="2455"/>
      <c r="E892" s="2455"/>
      <c r="F892" s="2455"/>
      <c r="G892" s="2456"/>
      <c r="H892" s="2455"/>
      <c r="I892" s="2455"/>
      <c r="J892" s="2455"/>
      <c r="K892" s="2455"/>
      <c r="L892" s="2455"/>
      <c r="M892" s="2455"/>
      <c r="N892" s="2455"/>
      <c r="O892" s="2455"/>
      <c r="P892" s="2455"/>
      <c r="Q892" s="2455"/>
      <c r="R892" s="2455"/>
      <c r="S892" s="2455"/>
      <c r="T892" s="2455"/>
      <c r="U892" s="2455"/>
      <c r="V892" s="2455"/>
      <c r="W892" s="2455"/>
      <c r="X892" s="2455"/>
      <c r="Y892" s="2455"/>
      <c r="Z892" s="2455"/>
    </row>
    <row r="893" spans="1:26" ht="12" x14ac:dyDescent="0.2">
      <c r="A893" s="2455"/>
      <c r="B893" s="2455"/>
      <c r="C893" s="2455"/>
      <c r="D893" s="2455"/>
      <c r="E893" s="2455"/>
      <c r="F893" s="2455"/>
      <c r="G893" s="2456"/>
      <c r="H893" s="2455"/>
      <c r="I893" s="2455"/>
      <c r="J893" s="2455"/>
      <c r="K893" s="2455"/>
      <c r="L893" s="2455"/>
      <c r="M893" s="2455"/>
      <c r="N893" s="2455"/>
      <c r="O893" s="2455"/>
      <c r="P893" s="2455"/>
      <c r="Q893" s="2455"/>
      <c r="R893" s="2455"/>
      <c r="S893" s="2455"/>
      <c r="T893" s="2455"/>
      <c r="U893" s="2455"/>
      <c r="V893" s="2455"/>
      <c r="W893" s="2455"/>
      <c r="X893" s="2455"/>
      <c r="Y893" s="2455"/>
      <c r="Z893" s="2455"/>
    </row>
    <row r="894" spans="1:26" ht="12" x14ac:dyDescent="0.2">
      <c r="A894" s="2455"/>
      <c r="B894" s="2455"/>
      <c r="C894" s="2455"/>
      <c r="D894" s="2455"/>
      <c r="E894" s="2455"/>
      <c r="F894" s="2455"/>
      <c r="G894" s="2456"/>
      <c r="H894" s="2455"/>
      <c r="I894" s="2455"/>
      <c r="J894" s="2455"/>
      <c r="K894" s="2455"/>
      <c r="L894" s="2455"/>
      <c r="M894" s="2455"/>
      <c r="N894" s="2455"/>
      <c r="O894" s="2455"/>
      <c r="P894" s="2455"/>
      <c r="Q894" s="2455"/>
      <c r="R894" s="2455"/>
      <c r="S894" s="2455"/>
      <c r="T894" s="2455"/>
      <c r="U894" s="2455"/>
      <c r="V894" s="2455"/>
      <c r="W894" s="2455"/>
      <c r="X894" s="2455"/>
      <c r="Y894" s="2455"/>
      <c r="Z894" s="2455"/>
    </row>
    <row r="895" spans="1:26" ht="12" x14ac:dyDescent="0.2">
      <c r="A895" s="2455"/>
      <c r="B895" s="2455"/>
      <c r="C895" s="2455"/>
      <c r="D895" s="2455"/>
      <c r="E895" s="2455"/>
      <c r="F895" s="2455"/>
      <c r="G895" s="2456"/>
      <c r="H895" s="2455"/>
      <c r="I895" s="2455"/>
      <c r="J895" s="2455"/>
      <c r="K895" s="2455"/>
      <c r="L895" s="2455"/>
      <c r="M895" s="2455"/>
      <c r="N895" s="2455"/>
      <c r="O895" s="2455"/>
      <c r="P895" s="2455"/>
      <c r="Q895" s="2455"/>
      <c r="R895" s="2455"/>
      <c r="S895" s="2455"/>
      <c r="T895" s="2455"/>
      <c r="U895" s="2455"/>
      <c r="V895" s="2455"/>
      <c r="W895" s="2455"/>
      <c r="X895" s="2455"/>
      <c r="Y895" s="2455"/>
      <c r="Z895" s="2455"/>
    </row>
    <row r="896" spans="1:26" ht="12" x14ac:dyDescent="0.2">
      <c r="A896" s="2455"/>
      <c r="B896" s="2455"/>
      <c r="C896" s="2455"/>
      <c r="D896" s="2455"/>
      <c r="E896" s="2455"/>
      <c r="F896" s="2455"/>
      <c r="G896" s="2456"/>
      <c r="H896" s="2455"/>
      <c r="I896" s="2455"/>
      <c r="J896" s="2455"/>
      <c r="K896" s="2455"/>
      <c r="L896" s="2455"/>
      <c r="M896" s="2455"/>
      <c r="N896" s="2455"/>
      <c r="O896" s="2455"/>
      <c r="P896" s="2455"/>
      <c r="Q896" s="2455"/>
      <c r="R896" s="2455"/>
      <c r="S896" s="2455"/>
      <c r="T896" s="2455"/>
      <c r="U896" s="2455"/>
      <c r="V896" s="2455"/>
      <c r="W896" s="2455"/>
      <c r="X896" s="2455"/>
      <c r="Y896" s="2455"/>
      <c r="Z896" s="2455"/>
    </row>
    <row r="897" spans="1:26" ht="12" x14ac:dyDescent="0.2">
      <c r="A897" s="2455"/>
      <c r="B897" s="2455"/>
      <c r="C897" s="2455"/>
      <c r="D897" s="2455"/>
      <c r="E897" s="2455"/>
      <c r="F897" s="2455"/>
      <c r="G897" s="2456"/>
      <c r="H897" s="2455"/>
      <c r="I897" s="2455"/>
      <c r="J897" s="2455"/>
      <c r="K897" s="2455"/>
      <c r="L897" s="2455"/>
      <c r="M897" s="2455"/>
      <c r="N897" s="2455"/>
      <c r="O897" s="2455"/>
      <c r="P897" s="2455"/>
      <c r="Q897" s="2455"/>
      <c r="R897" s="2455"/>
      <c r="S897" s="2455"/>
      <c r="T897" s="2455"/>
      <c r="U897" s="2455"/>
      <c r="V897" s="2455"/>
      <c r="W897" s="2455"/>
      <c r="X897" s="2455"/>
      <c r="Y897" s="2455"/>
      <c r="Z897" s="2455"/>
    </row>
    <row r="898" spans="1:26" ht="12" x14ac:dyDescent="0.2">
      <c r="A898" s="2455"/>
      <c r="B898" s="2455"/>
      <c r="C898" s="2455"/>
      <c r="D898" s="2455"/>
      <c r="E898" s="2455"/>
      <c r="F898" s="2455"/>
      <c r="G898" s="2456"/>
      <c r="H898" s="2455"/>
      <c r="I898" s="2455"/>
      <c r="J898" s="2455"/>
      <c r="K898" s="2455"/>
      <c r="L898" s="2455"/>
      <c r="M898" s="2455"/>
      <c r="N898" s="2455"/>
      <c r="O898" s="2455"/>
      <c r="P898" s="2455"/>
      <c r="Q898" s="2455"/>
      <c r="R898" s="2455"/>
      <c r="S898" s="2455"/>
      <c r="T898" s="2455"/>
      <c r="U898" s="2455"/>
      <c r="V898" s="2455"/>
      <c r="W898" s="2455"/>
      <c r="X898" s="2455"/>
      <c r="Y898" s="2455"/>
      <c r="Z898" s="2455"/>
    </row>
    <row r="899" spans="1:26" ht="12" x14ac:dyDescent="0.2">
      <c r="A899" s="2455"/>
      <c r="B899" s="2455"/>
      <c r="C899" s="2455"/>
      <c r="D899" s="2455"/>
      <c r="E899" s="2455"/>
      <c r="F899" s="2455"/>
      <c r="G899" s="2456"/>
      <c r="H899" s="2455"/>
      <c r="I899" s="2455"/>
      <c r="J899" s="2455"/>
      <c r="K899" s="2455"/>
      <c r="L899" s="2455"/>
      <c r="M899" s="2455"/>
      <c r="N899" s="2455"/>
      <c r="O899" s="2455"/>
      <c r="P899" s="2455"/>
      <c r="Q899" s="2455"/>
      <c r="R899" s="2455"/>
      <c r="S899" s="2455"/>
      <c r="T899" s="2455"/>
      <c r="U899" s="2455"/>
      <c r="V899" s="2455"/>
      <c r="W899" s="2455"/>
      <c r="X899" s="2455"/>
      <c r="Y899" s="2455"/>
      <c r="Z899" s="2455"/>
    </row>
    <row r="900" spans="1:26" ht="12" x14ac:dyDescent="0.2">
      <c r="A900" s="2455"/>
      <c r="B900" s="2455"/>
      <c r="C900" s="2455"/>
      <c r="D900" s="2455"/>
      <c r="E900" s="2455"/>
      <c r="F900" s="2455"/>
      <c r="G900" s="2456"/>
      <c r="H900" s="2455"/>
      <c r="I900" s="2455"/>
      <c r="J900" s="2455"/>
      <c r="K900" s="2455"/>
      <c r="L900" s="2455"/>
      <c r="M900" s="2455"/>
      <c r="N900" s="2455"/>
      <c r="O900" s="2455"/>
      <c r="P900" s="2455"/>
      <c r="Q900" s="2455"/>
      <c r="R900" s="2455"/>
      <c r="S900" s="2455"/>
      <c r="T900" s="2455"/>
      <c r="U900" s="2455"/>
      <c r="V900" s="2455"/>
      <c r="W900" s="2455"/>
      <c r="X900" s="2455"/>
      <c r="Y900" s="2455"/>
      <c r="Z900" s="2455"/>
    </row>
    <row r="901" spans="1:26" ht="12" x14ac:dyDescent="0.2">
      <c r="A901" s="2455"/>
      <c r="B901" s="2455"/>
      <c r="C901" s="2455"/>
      <c r="D901" s="2455"/>
      <c r="E901" s="2455"/>
      <c r="F901" s="2455"/>
      <c r="G901" s="2456"/>
      <c r="H901" s="2455"/>
      <c r="I901" s="2455"/>
      <c r="J901" s="2455"/>
      <c r="K901" s="2455"/>
      <c r="L901" s="2455"/>
      <c r="M901" s="2455"/>
      <c r="N901" s="2455"/>
      <c r="O901" s="2455"/>
      <c r="P901" s="2455"/>
      <c r="Q901" s="2455"/>
      <c r="R901" s="2455"/>
      <c r="S901" s="2455"/>
      <c r="T901" s="2455"/>
      <c r="U901" s="2455"/>
      <c r="V901" s="2455"/>
      <c r="W901" s="2455"/>
      <c r="X901" s="2455"/>
      <c r="Y901" s="2455"/>
      <c r="Z901" s="2455"/>
    </row>
    <row r="902" spans="1:26" ht="12" x14ac:dyDescent="0.2">
      <c r="A902" s="2455"/>
      <c r="B902" s="2455"/>
      <c r="C902" s="2455"/>
      <c r="D902" s="2455"/>
      <c r="E902" s="2455"/>
      <c r="F902" s="2455"/>
      <c r="G902" s="2456"/>
      <c r="H902" s="2455"/>
      <c r="I902" s="2455"/>
      <c r="J902" s="2455"/>
      <c r="K902" s="2455"/>
      <c r="L902" s="2455"/>
      <c r="M902" s="2455"/>
      <c r="N902" s="2455"/>
      <c r="O902" s="2455"/>
      <c r="P902" s="2455"/>
      <c r="Q902" s="2455"/>
      <c r="R902" s="2455"/>
      <c r="S902" s="2455"/>
      <c r="T902" s="2455"/>
      <c r="U902" s="2455"/>
      <c r="V902" s="2455"/>
      <c r="W902" s="2455"/>
      <c r="X902" s="2455"/>
      <c r="Y902" s="2455"/>
      <c r="Z902" s="2455"/>
    </row>
    <row r="903" spans="1:26" ht="12" x14ac:dyDescent="0.2">
      <c r="A903" s="2455"/>
      <c r="B903" s="2455"/>
      <c r="C903" s="2455"/>
      <c r="D903" s="2455"/>
      <c r="E903" s="2455"/>
      <c r="F903" s="2455"/>
      <c r="G903" s="2456"/>
      <c r="H903" s="2455"/>
      <c r="I903" s="2455"/>
      <c r="J903" s="2455"/>
      <c r="K903" s="2455"/>
      <c r="L903" s="2455"/>
      <c r="M903" s="2455"/>
      <c r="N903" s="2455"/>
      <c r="O903" s="2455"/>
      <c r="P903" s="2455"/>
      <c r="Q903" s="2455"/>
      <c r="R903" s="2455"/>
      <c r="S903" s="2455"/>
      <c r="T903" s="2455"/>
      <c r="U903" s="2455"/>
      <c r="V903" s="2455"/>
      <c r="W903" s="2455"/>
      <c r="X903" s="2455"/>
      <c r="Y903" s="2455"/>
      <c r="Z903" s="2455"/>
    </row>
    <row r="904" spans="1:26" ht="12" x14ac:dyDescent="0.2">
      <c r="A904" s="2455"/>
      <c r="B904" s="2455"/>
      <c r="C904" s="2455"/>
      <c r="D904" s="2455"/>
      <c r="E904" s="2455"/>
      <c r="F904" s="2455"/>
      <c r="G904" s="2456"/>
      <c r="H904" s="2455"/>
      <c r="I904" s="2455"/>
      <c r="J904" s="2455"/>
      <c r="K904" s="2455"/>
      <c r="L904" s="2455"/>
      <c r="M904" s="2455"/>
      <c r="N904" s="2455"/>
      <c r="O904" s="2455"/>
      <c r="P904" s="2455"/>
      <c r="Q904" s="2455"/>
      <c r="R904" s="2455"/>
      <c r="S904" s="2455"/>
      <c r="T904" s="2455"/>
      <c r="U904" s="2455"/>
      <c r="V904" s="2455"/>
      <c r="W904" s="2455"/>
      <c r="X904" s="2455"/>
      <c r="Y904" s="2455"/>
      <c r="Z904" s="2455"/>
    </row>
    <row r="905" spans="1:26" ht="12" x14ac:dyDescent="0.2">
      <c r="A905" s="2455"/>
      <c r="B905" s="2455"/>
      <c r="C905" s="2455"/>
      <c r="D905" s="2455"/>
      <c r="E905" s="2455"/>
      <c r="F905" s="2455"/>
      <c r="G905" s="2456"/>
      <c r="H905" s="2455"/>
      <c r="I905" s="2455"/>
      <c r="J905" s="2455"/>
      <c r="K905" s="2455"/>
      <c r="L905" s="2455"/>
      <c r="M905" s="2455"/>
      <c r="N905" s="2455"/>
      <c r="O905" s="2455"/>
      <c r="P905" s="2455"/>
      <c r="Q905" s="2455"/>
      <c r="R905" s="2455"/>
      <c r="S905" s="2455"/>
      <c r="T905" s="2455"/>
      <c r="U905" s="2455"/>
      <c r="V905" s="2455"/>
      <c r="W905" s="2455"/>
      <c r="X905" s="2455"/>
      <c r="Y905" s="2455"/>
      <c r="Z905" s="2455"/>
    </row>
    <row r="906" spans="1:26" ht="12" x14ac:dyDescent="0.2">
      <c r="A906" s="2455"/>
      <c r="B906" s="2455"/>
      <c r="C906" s="2455"/>
      <c r="D906" s="2455"/>
      <c r="E906" s="2455"/>
      <c r="F906" s="2455"/>
      <c r="G906" s="2456"/>
      <c r="H906" s="2455"/>
      <c r="I906" s="2455"/>
      <c r="J906" s="2455"/>
      <c r="K906" s="2455"/>
      <c r="L906" s="2455"/>
      <c r="M906" s="2455"/>
      <c r="N906" s="2455"/>
      <c r="O906" s="2455"/>
      <c r="P906" s="2455"/>
      <c r="Q906" s="2455"/>
      <c r="R906" s="2455"/>
      <c r="S906" s="2455"/>
      <c r="T906" s="2455"/>
      <c r="U906" s="2455"/>
      <c r="V906" s="2455"/>
      <c r="W906" s="2455"/>
      <c r="X906" s="2455"/>
      <c r="Y906" s="2455"/>
      <c r="Z906" s="2455"/>
    </row>
    <row r="907" spans="1:26" ht="12" x14ac:dyDescent="0.2">
      <c r="A907" s="2455"/>
      <c r="B907" s="2455"/>
      <c r="C907" s="2455"/>
      <c r="D907" s="2455"/>
      <c r="E907" s="2455"/>
      <c r="F907" s="2455"/>
      <c r="G907" s="2456"/>
      <c r="H907" s="2455"/>
      <c r="I907" s="2455"/>
      <c r="J907" s="2455"/>
      <c r="K907" s="2455"/>
      <c r="L907" s="2455"/>
      <c r="M907" s="2455"/>
      <c r="N907" s="2455"/>
      <c r="O907" s="2455"/>
      <c r="P907" s="2455"/>
      <c r="Q907" s="2455"/>
      <c r="R907" s="2455"/>
      <c r="S907" s="2455"/>
      <c r="T907" s="2455"/>
      <c r="U907" s="2455"/>
      <c r="V907" s="2455"/>
      <c r="W907" s="2455"/>
      <c r="X907" s="2455"/>
      <c r="Y907" s="2455"/>
      <c r="Z907" s="2455"/>
    </row>
    <row r="908" spans="1:26" ht="12" x14ac:dyDescent="0.2">
      <c r="A908" s="2455"/>
      <c r="B908" s="2455"/>
      <c r="C908" s="2455"/>
      <c r="D908" s="2455"/>
      <c r="E908" s="2455"/>
      <c r="F908" s="2455"/>
      <c r="G908" s="2456"/>
      <c r="H908" s="2455"/>
      <c r="I908" s="2455"/>
      <c r="J908" s="2455"/>
      <c r="K908" s="2455"/>
      <c r="L908" s="2455"/>
      <c r="M908" s="2455"/>
      <c r="N908" s="2455"/>
      <c r="O908" s="2455"/>
      <c r="P908" s="2455"/>
      <c r="Q908" s="2455"/>
      <c r="R908" s="2455"/>
      <c r="S908" s="2455"/>
      <c r="T908" s="2455"/>
      <c r="U908" s="2455"/>
      <c r="V908" s="2455"/>
      <c r="W908" s="2455"/>
      <c r="X908" s="2455"/>
      <c r="Y908" s="2455"/>
      <c r="Z908" s="2455"/>
    </row>
    <row r="909" spans="1:26" ht="12" x14ac:dyDescent="0.2">
      <c r="A909" s="2455"/>
      <c r="B909" s="2455"/>
      <c r="C909" s="2455"/>
      <c r="D909" s="2455"/>
      <c r="E909" s="2455"/>
      <c r="F909" s="2455"/>
      <c r="G909" s="2456"/>
      <c r="H909" s="2455"/>
      <c r="I909" s="2455"/>
      <c r="J909" s="2455"/>
      <c r="K909" s="2455"/>
      <c r="L909" s="2455"/>
      <c r="M909" s="2455"/>
      <c r="N909" s="2455"/>
      <c r="O909" s="2455"/>
      <c r="P909" s="2455"/>
      <c r="Q909" s="2455"/>
      <c r="R909" s="2455"/>
      <c r="S909" s="2455"/>
      <c r="T909" s="2455"/>
      <c r="U909" s="2455"/>
      <c r="V909" s="2455"/>
      <c r="W909" s="2455"/>
      <c r="X909" s="2455"/>
      <c r="Y909" s="2455"/>
      <c r="Z909" s="2455"/>
    </row>
    <row r="910" spans="1:26" ht="12" x14ac:dyDescent="0.2">
      <c r="A910" s="2455"/>
      <c r="B910" s="2455"/>
      <c r="C910" s="2455"/>
      <c r="D910" s="2455"/>
      <c r="E910" s="2455"/>
      <c r="F910" s="2455"/>
      <c r="G910" s="2456"/>
      <c r="H910" s="2455"/>
      <c r="I910" s="2455"/>
      <c r="J910" s="2455"/>
      <c r="K910" s="2455"/>
      <c r="L910" s="2455"/>
      <c r="M910" s="2455"/>
      <c r="N910" s="2455"/>
      <c r="O910" s="2455"/>
      <c r="P910" s="2455"/>
      <c r="Q910" s="2455"/>
      <c r="R910" s="2455"/>
      <c r="S910" s="2455"/>
      <c r="T910" s="2455"/>
      <c r="U910" s="2455"/>
      <c r="V910" s="2455"/>
      <c r="W910" s="2455"/>
      <c r="X910" s="2455"/>
      <c r="Y910" s="2455"/>
      <c r="Z910" s="2455"/>
    </row>
    <row r="911" spans="1:26" ht="12" x14ac:dyDescent="0.2">
      <c r="A911" s="2455"/>
      <c r="B911" s="2455"/>
      <c r="C911" s="2455"/>
      <c r="D911" s="2455"/>
      <c r="E911" s="2455"/>
      <c r="F911" s="2455"/>
      <c r="G911" s="2456"/>
      <c r="H911" s="2455"/>
      <c r="I911" s="2455"/>
      <c r="J911" s="2455"/>
      <c r="K911" s="2455"/>
      <c r="L911" s="2455"/>
      <c r="M911" s="2455"/>
      <c r="N911" s="2455"/>
      <c r="O911" s="2455"/>
      <c r="P911" s="2455"/>
      <c r="Q911" s="2455"/>
      <c r="R911" s="2455"/>
      <c r="S911" s="2455"/>
      <c r="T911" s="2455"/>
      <c r="U911" s="2455"/>
      <c r="V911" s="2455"/>
      <c r="W911" s="2455"/>
      <c r="X911" s="2455"/>
      <c r="Y911" s="2455"/>
      <c r="Z911" s="2455"/>
    </row>
    <row r="912" spans="1:26" ht="12" x14ac:dyDescent="0.2">
      <c r="A912" s="2455"/>
      <c r="B912" s="2455"/>
      <c r="C912" s="2455"/>
      <c r="D912" s="2455"/>
      <c r="E912" s="2455"/>
      <c r="F912" s="2455"/>
      <c r="G912" s="2456"/>
      <c r="H912" s="2455"/>
      <c r="I912" s="2455"/>
      <c r="J912" s="2455"/>
      <c r="K912" s="2455"/>
      <c r="L912" s="2455"/>
      <c r="M912" s="2455"/>
      <c r="N912" s="2455"/>
      <c r="O912" s="2455"/>
      <c r="P912" s="2455"/>
      <c r="Q912" s="2455"/>
      <c r="R912" s="2455"/>
      <c r="S912" s="2455"/>
      <c r="T912" s="2455"/>
      <c r="U912" s="2455"/>
      <c r="V912" s="2455"/>
      <c r="W912" s="2455"/>
      <c r="X912" s="2455"/>
      <c r="Y912" s="2455"/>
      <c r="Z912" s="2455"/>
    </row>
    <row r="913" spans="1:26" ht="12" x14ac:dyDescent="0.2">
      <c r="A913" s="2455"/>
      <c r="B913" s="2455"/>
      <c r="C913" s="2455"/>
      <c r="D913" s="2455"/>
      <c r="E913" s="2455"/>
      <c r="F913" s="2455"/>
      <c r="G913" s="2456"/>
      <c r="H913" s="2455"/>
      <c r="I913" s="2455"/>
      <c r="J913" s="2455"/>
      <c r="K913" s="2455"/>
      <c r="L913" s="2455"/>
      <c r="M913" s="2455"/>
      <c r="N913" s="2455"/>
      <c r="O913" s="2455"/>
      <c r="P913" s="2455"/>
      <c r="Q913" s="2455"/>
      <c r="R913" s="2455"/>
      <c r="S913" s="2455"/>
      <c r="T913" s="2455"/>
      <c r="U913" s="2455"/>
      <c r="V913" s="2455"/>
      <c r="W913" s="2455"/>
      <c r="X913" s="2455"/>
      <c r="Y913" s="2455"/>
      <c r="Z913" s="2455"/>
    </row>
    <row r="914" spans="1:26" ht="12" x14ac:dyDescent="0.2">
      <c r="A914" s="2455"/>
      <c r="B914" s="2455"/>
      <c r="C914" s="2455"/>
      <c r="D914" s="2455"/>
      <c r="E914" s="2455"/>
      <c r="F914" s="2455"/>
      <c r="G914" s="2456"/>
      <c r="H914" s="2455"/>
      <c r="I914" s="2455"/>
      <c r="J914" s="2455"/>
      <c r="K914" s="2455"/>
      <c r="L914" s="2455"/>
      <c r="M914" s="2455"/>
      <c r="N914" s="2455"/>
      <c r="O914" s="2455"/>
      <c r="P914" s="2455"/>
      <c r="Q914" s="2455"/>
      <c r="R914" s="2455"/>
      <c r="S914" s="2455"/>
      <c r="T914" s="2455"/>
      <c r="U914" s="2455"/>
      <c r="V914" s="2455"/>
      <c r="W914" s="2455"/>
      <c r="X914" s="2455"/>
      <c r="Y914" s="2455"/>
      <c r="Z914" s="2455"/>
    </row>
    <row r="915" spans="1:26" ht="12" x14ac:dyDescent="0.2">
      <c r="A915" s="2455"/>
      <c r="B915" s="2455"/>
      <c r="C915" s="2455"/>
      <c r="D915" s="2455"/>
      <c r="E915" s="2455"/>
      <c r="F915" s="2455"/>
      <c r="G915" s="2456"/>
      <c r="H915" s="2455"/>
      <c r="I915" s="2455"/>
      <c r="J915" s="2455"/>
      <c r="K915" s="2455"/>
      <c r="L915" s="2455"/>
      <c r="M915" s="2455"/>
      <c r="N915" s="2455"/>
      <c r="O915" s="2455"/>
      <c r="P915" s="2455"/>
      <c r="Q915" s="2455"/>
      <c r="R915" s="2455"/>
      <c r="S915" s="2455"/>
      <c r="T915" s="2455"/>
      <c r="U915" s="2455"/>
      <c r="V915" s="2455"/>
      <c r="W915" s="2455"/>
      <c r="X915" s="2455"/>
      <c r="Y915" s="2455"/>
      <c r="Z915" s="2455"/>
    </row>
    <row r="916" spans="1:26" ht="12" x14ac:dyDescent="0.2">
      <c r="A916" s="2455"/>
      <c r="B916" s="2455"/>
      <c r="C916" s="2455"/>
      <c r="D916" s="2455"/>
      <c r="E916" s="2455"/>
      <c r="F916" s="2455"/>
      <c r="G916" s="2456"/>
      <c r="H916" s="2455"/>
      <c r="I916" s="2455"/>
      <c r="J916" s="2455"/>
      <c r="K916" s="2455"/>
      <c r="L916" s="2455"/>
      <c r="M916" s="2455"/>
      <c r="N916" s="2455"/>
      <c r="O916" s="2455"/>
      <c r="P916" s="2455"/>
      <c r="Q916" s="2455"/>
      <c r="R916" s="2455"/>
      <c r="S916" s="2455"/>
      <c r="T916" s="2455"/>
      <c r="U916" s="2455"/>
      <c r="V916" s="2455"/>
      <c r="W916" s="2455"/>
      <c r="X916" s="2455"/>
      <c r="Y916" s="2455"/>
      <c r="Z916" s="2455"/>
    </row>
    <row r="917" spans="1:26" ht="12" x14ac:dyDescent="0.2">
      <c r="A917" s="2455"/>
      <c r="B917" s="2455"/>
      <c r="C917" s="2455"/>
      <c r="D917" s="2455"/>
      <c r="E917" s="2455"/>
      <c r="F917" s="2455"/>
      <c r="G917" s="2456"/>
      <c r="H917" s="2455"/>
      <c r="I917" s="2455"/>
      <c r="J917" s="2455"/>
      <c r="K917" s="2455"/>
      <c r="L917" s="2455"/>
      <c r="M917" s="2455"/>
      <c r="N917" s="2455"/>
      <c r="O917" s="2455"/>
      <c r="P917" s="2455"/>
      <c r="Q917" s="2455"/>
      <c r="R917" s="2455"/>
      <c r="S917" s="2455"/>
      <c r="T917" s="2455"/>
      <c r="U917" s="2455"/>
      <c r="V917" s="2455"/>
      <c r="W917" s="2455"/>
      <c r="X917" s="2455"/>
      <c r="Y917" s="2455"/>
      <c r="Z917" s="2455"/>
    </row>
    <row r="918" spans="1:26" ht="12" x14ac:dyDescent="0.2">
      <c r="A918" s="2455"/>
      <c r="B918" s="2455"/>
      <c r="C918" s="2455"/>
      <c r="D918" s="2455"/>
      <c r="E918" s="2455"/>
      <c r="F918" s="2455"/>
      <c r="G918" s="2456"/>
      <c r="H918" s="2455"/>
      <c r="I918" s="2455"/>
      <c r="J918" s="2455"/>
      <c r="K918" s="2455"/>
      <c r="L918" s="2455"/>
      <c r="M918" s="2455"/>
      <c r="N918" s="2455"/>
      <c r="O918" s="2455"/>
      <c r="P918" s="2455"/>
      <c r="Q918" s="2455"/>
      <c r="R918" s="2455"/>
      <c r="S918" s="2455"/>
      <c r="T918" s="2455"/>
      <c r="U918" s="2455"/>
      <c r="V918" s="2455"/>
      <c r="W918" s="2455"/>
      <c r="X918" s="2455"/>
      <c r="Y918" s="2455"/>
      <c r="Z918" s="2455"/>
    </row>
    <row r="919" spans="1:26" ht="12" x14ac:dyDescent="0.2">
      <c r="A919" s="2455"/>
      <c r="B919" s="2455"/>
      <c r="C919" s="2455"/>
      <c r="D919" s="2455"/>
      <c r="E919" s="2455"/>
      <c r="F919" s="2455"/>
      <c r="G919" s="2456"/>
      <c r="H919" s="2455"/>
      <c r="I919" s="2455"/>
      <c r="J919" s="2455"/>
      <c r="K919" s="2455"/>
      <c r="L919" s="2455"/>
      <c r="M919" s="2455"/>
      <c r="N919" s="2455"/>
      <c r="O919" s="2455"/>
      <c r="P919" s="2455"/>
      <c r="Q919" s="2455"/>
      <c r="R919" s="2455"/>
      <c r="S919" s="2455"/>
      <c r="T919" s="2455"/>
      <c r="U919" s="2455"/>
      <c r="V919" s="2455"/>
      <c r="W919" s="2455"/>
      <c r="X919" s="2455"/>
      <c r="Y919" s="2455"/>
      <c r="Z919" s="2455"/>
    </row>
    <row r="920" spans="1:26" ht="12" x14ac:dyDescent="0.2">
      <c r="A920" s="2455"/>
      <c r="B920" s="2455"/>
      <c r="C920" s="2455"/>
      <c r="D920" s="2455"/>
      <c r="E920" s="2455"/>
      <c r="F920" s="2455"/>
      <c r="G920" s="2456"/>
      <c r="H920" s="2455"/>
      <c r="I920" s="2455"/>
      <c r="J920" s="2455"/>
      <c r="K920" s="2455"/>
      <c r="L920" s="2455"/>
      <c r="M920" s="2455"/>
      <c r="N920" s="2455"/>
      <c r="O920" s="2455"/>
      <c r="P920" s="2455"/>
      <c r="Q920" s="2455"/>
      <c r="R920" s="2455"/>
      <c r="S920" s="2455"/>
      <c r="T920" s="2455"/>
      <c r="U920" s="2455"/>
      <c r="V920" s="2455"/>
      <c r="W920" s="2455"/>
      <c r="X920" s="2455"/>
      <c r="Y920" s="2455"/>
      <c r="Z920" s="2455"/>
    </row>
    <row r="921" spans="1:26" ht="12" x14ac:dyDescent="0.2">
      <c r="A921" s="2455"/>
      <c r="B921" s="2455"/>
      <c r="C921" s="2455"/>
      <c r="D921" s="2455"/>
      <c r="E921" s="2455"/>
      <c r="F921" s="2455"/>
      <c r="G921" s="2456"/>
      <c r="H921" s="2455"/>
      <c r="I921" s="2455"/>
      <c r="J921" s="2455"/>
      <c r="K921" s="2455"/>
      <c r="L921" s="2455"/>
      <c r="M921" s="2455"/>
      <c r="N921" s="2455"/>
      <c r="O921" s="2455"/>
      <c r="P921" s="2455"/>
      <c r="Q921" s="2455"/>
      <c r="R921" s="2455"/>
      <c r="S921" s="2455"/>
      <c r="T921" s="2455"/>
      <c r="U921" s="2455"/>
      <c r="V921" s="2455"/>
      <c r="W921" s="2455"/>
      <c r="X921" s="2455"/>
      <c r="Y921" s="2455"/>
      <c r="Z921" s="2455"/>
    </row>
    <row r="922" spans="1:26" ht="12" x14ac:dyDescent="0.2">
      <c r="A922" s="2455"/>
      <c r="B922" s="2455"/>
      <c r="C922" s="2455"/>
      <c r="D922" s="2455"/>
      <c r="E922" s="2455"/>
      <c r="F922" s="2455"/>
      <c r="G922" s="2456"/>
      <c r="H922" s="2455"/>
      <c r="I922" s="2455"/>
      <c r="J922" s="2455"/>
      <c r="K922" s="2455"/>
      <c r="L922" s="2455"/>
      <c r="M922" s="2455"/>
      <c r="N922" s="2455"/>
      <c r="O922" s="2455"/>
      <c r="P922" s="2455"/>
      <c r="Q922" s="2455"/>
      <c r="R922" s="2455"/>
      <c r="S922" s="2455"/>
      <c r="T922" s="2455"/>
      <c r="U922" s="2455"/>
      <c r="V922" s="2455"/>
      <c r="W922" s="2455"/>
      <c r="X922" s="2455"/>
      <c r="Y922" s="2455"/>
      <c r="Z922" s="2455"/>
    </row>
    <row r="923" spans="1:26" ht="12" x14ac:dyDescent="0.2">
      <c r="A923" s="2455"/>
      <c r="B923" s="2455"/>
      <c r="C923" s="2455"/>
      <c r="D923" s="2455"/>
      <c r="E923" s="2455"/>
      <c r="F923" s="2455"/>
      <c r="G923" s="2456"/>
      <c r="H923" s="2455"/>
      <c r="I923" s="2455"/>
      <c r="J923" s="2455"/>
      <c r="K923" s="2455"/>
      <c r="L923" s="2455"/>
      <c r="M923" s="2455"/>
      <c r="N923" s="2455"/>
      <c r="O923" s="2455"/>
      <c r="P923" s="2455"/>
      <c r="Q923" s="2455"/>
      <c r="R923" s="2455"/>
      <c r="S923" s="2455"/>
      <c r="T923" s="2455"/>
      <c r="U923" s="2455"/>
      <c r="V923" s="2455"/>
      <c r="W923" s="2455"/>
      <c r="X923" s="2455"/>
      <c r="Y923" s="2455"/>
      <c r="Z923" s="2455"/>
    </row>
    <row r="924" spans="1:26" ht="12" x14ac:dyDescent="0.2">
      <c r="A924" s="2455"/>
      <c r="B924" s="2455"/>
      <c r="C924" s="2455"/>
      <c r="D924" s="2455"/>
      <c r="E924" s="2455"/>
      <c r="F924" s="2455"/>
      <c r="G924" s="2456"/>
      <c r="H924" s="2455"/>
      <c r="I924" s="2455"/>
      <c r="J924" s="2455"/>
      <c r="K924" s="2455"/>
      <c r="L924" s="2455"/>
      <c r="M924" s="2455"/>
      <c r="N924" s="2455"/>
      <c r="O924" s="2455"/>
      <c r="P924" s="2455"/>
      <c r="Q924" s="2455"/>
      <c r="R924" s="2455"/>
      <c r="S924" s="2455"/>
      <c r="T924" s="2455"/>
      <c r="U924" s="2455"/>
      <c r="V924" s="2455"/>
      <c r="W924" s="2455"/>
      <c r="X924" s="2455"/>
      <c r="Y924" s="2455"/>
      <c r="Z924" s="2455"/>
    </row>
    <row r="925" spans="1:26" ht="12" x14ac:dyDescent="0.2">
      <c r="A925" s="2455"/>
      <c r="B925" s="2455"/>
      <c r="C925" s="2455"/>
      <c r="D925" s="2455"/>
      <c r="E925" s="2455"/>
      <c r="F925" s="2455"/>
      <c r="G925" s="2456"/>
      <c r="H925" s="2455"/>
      <c r="I925" s="2455"/>
      <c r="J925" s="2455"/>
      <c r="K925" s="2455"/>
      <c r="L925" s="2455"/>
      <c r="M925" s="2455"/>
      <c r="N925" s="2455"/>
      <c r="O925" s="2455"/>
      <c r="P925" s="2455"/>
      <c r="Q925" s="2455"/>
      <c r="R925" s="2455"/>
      <c r="S925" s="2455"/>
      <c r="T925" s="2455"/>
      <c r="U925" s="2455"/>
      <c r="V925" s="2455"/>
      <c r="W925" s="2455"/>
      <c r="X925" s="2455"/>
      <c r="Y925" s="2455"/>
      <c r="Z925" s="2455"/>
    </row>
    <row r="926" spans="1:26" ht="12" x14ac:dyDescent="0.2">
      <c r="A926" s="2455"/>
      <c r="B926" s="2455"/>
      <c r="C926" s="2455"/>
      <c r="D926" s="2455"/>
      <c r="E926" s="2455"/>
      <c r="F926" s="2455"/>
      <c r="G926" s="2456"/>
      <c r="H926" s="2455"/>
      <c r="I926" s="2455"/>
      <c r="J926" s="2455"/>
      <c r="K926" s="2455"/>
      <c r="L926" s="2455"/>
      <c r="M926" s="2455"/>
      <c r="N926" s="2455"/>
      <c r="O926" s="2455"/>
      <c r="P926" s="2455"/>
      <c r="Q926" s="2455"/>
      <c r="R926" s="2455"/>
      <c r="S926" s="2455"/>
      <c r="T926" s="2455"/>
      <c r="U926" s="2455"/>
      <c r="V926" s="2455"/>
      <c r="W926" s="2455"/>
      <c r="X926" s="2455"/>
      <c r="Y926" s="2455"/>
      <c r="Z926" s="2455"/>
    </row>
    <row r="927" spans="1:26" ht="12" x14ac:dyDescent="0.2">
      <c r="A927" s="2455"/>
      <c r="B927" s="2455"/>
      <c r="C927" s="2455"/>
      <c r="D927" s="2455"/>
      <c r="E927" s="2455"/>
      <c r="F927" s="2455"/>
      <c r="G927" s="2456"/>
      <c r="H927" s="2455"/>
      <c r="I927" s="2455"/>
      <c r="J927" s="2455"/>
      <c r="K927" s="2455"/>
      <c r="L927" s="2455"/>
      <c r="M927" s="2455"/>
      <c r="N927" s="2455"/>
      <c r="O927" s="2455"/>
      <c r="P927" s="2455"/>
      <c r="Q927" s="2455"/>
      <c r="R927" s="2455"/>
      <c r="S927" s="2455"/>
      <c r="T927" s="2455"/>
      <c r="U927" s="2455"/>
      <c r="V927" s="2455"/>
      <c r="W927" s="2455"/>
      <c r="X927" s="2455"/>
      <c r="Y927" s="2455"/>
      <c r="Z927" s="2455"/>
    </row>
    <row r="928" spans="1:26" ht="12" x14ac:dyDescent="0.2">
      <c r="A928" s="2455"/>
      <c r="B928" s="2455"/>
      <c r="C928" s="2455"/>
      <c r="D928" s="2455"/>
      <c r="E928" s="2455"/>
      <c r="F928" s="2455"/>
      <c r="G928" s="2456"/>
      <c r="H928" s="2455"/>
      <c r="I928" s="2455"/>
      <c r="J928" s="2455"/>
      <c r="K928" s="2455"/>
      <c r="L928" s="2455"/>
      <c r="M928" s="2455"/>
      <c r="N928" s="2455"/>
      <c r="O928" s="2455"/>
      <c r="P928" s="2455"/>
      <c r="Q928" s="2455"/>
      <c r="R928" s="2455"/>
      <c r="S928" s="2455"/>
      <c r="T928" s="2455"/>
      <c r="U928" s="2455"/>
      <c r="V928" s="2455"/>
      <c r="W928" s="2455"/>
      <c r="X928" s="2455"/>
      <c r="Y928" s="2455"/>
      <c r="Z928" s="2455"/>
    </row>
    <row r="929" spans="1:26" ht="12" x14ac:dyDescent="0.2">
      <c r="A929" s="2455"/>
      <c r="B929" s="2455"/>
      <c r="C929" s="2455"/>
      <c r="D929" s="2455"/>
      <c r="E929" s="2455"/>
      <c r="F929" s="2455"/>
      <c r="G929" s="2456"/>
      <c r="H929" s="2455"/>
      <c r="I929" s="2455"/>
      <c r="J929" s="2455"/>
      <c r="K929" s="2455"/>
      <c r="L929" s="2455"/>
      <c r="M929" s="2455"/>
      <c r="N929" s="2455"/>
      <c r="O929" s="2455"/>
      <c r="P929" s="2455"/>
      <c r="Q929" s="2455"/>
      <c r="R929" s="2455"/>
      <c r="S929" s="2455"/>
      <c r="T929" s="2455"/>
      <c r="U929" s="2455"/>
      <c r="V929" s="2455"/>
      <c r="W929" s="2455"/>
      <c r="X929" s="2455"/>
      <c r="Y929" s="2455"/>
      <c r="Z929" s="2455"/>
    </row>
    <row r="930" spans="1:26" ht="12" x14ac:dyDescent="0.2">
      <c r="A930" s="2455"/>
      <c r="B930" s="2455"/>
      <c r="C930" s="2455"/>
      <c r="D930" s="2455"/>
      <c r="E930" s="2455"/>
      <c r="F930" s="2455"/>
      <c r="G930" s="2456"/>
      <c r="H930" s="2455"/>
      <c r="I930" s="2455"/>
      <c r="J930" s="2455"/>
      <c r="K930" s="2455"/>
      <c r="L930" s="2455"/>
      <c r="M930" s="2455"/>
      <c r="N930" s="2455"/>
      <c r="O930" s="2455"/>
      <c r="P930" s="2455"/>
      <c r="Q930" s="2455"/>
      <c r="R930" s="2455"/>
      <c r="S930" s="2455"/>
      <c r="T930" s="2455"/>
      <c r="U930" s="2455"/>
      <c r="V930" s="2455"/>
      <c r="W930" s="2455"/>
      <c r="X930" s="2455"/>
      <c r="Y930" s="2455"/>
      <c r="Z930" s="2455"/>
    </row>
    <row r="931" spans="1:26" ht="12" x14ac:dyDescent="0.2">
      <c r="A931" s="2455"/>
      <c r="B931" s="2455"/>
      <c r="C931" s="2455"/>
      <c r="D931" s="2455"/>
      <c r="E931" s="2455"/>
      <c r="F931" s="2455"/>
      <c r="G931" s="2456"/>
      <c r="H931" s="2455"/>
      <c r="I931" s="2455"/>
      <c r="J931" s="2455"/>
      <c r="K931" s="2455"/>
      <c r="L931" s="2455"/>
      <c r="M931" s="2455"/>
      <c r="N931" s="2455"/>
      <c r="O931" s="2455"/>
      <c r="P931" s="2455"/>
      <c r="Q931" s="2455"/>
      <c r="R931" s="2455"/>
      <c r="S931" s="2455"/>
      <c r="T931" s="2455"/>
      <c r="U931" s="2455"/>
      <c r="V931" s="2455"/>
      <c r="W931" s="2455"/>
      <c r="X931" s="2455"/>
      <c r="Y931" s="2455"/>
      <c r="Z931" s="2455"/>
    </row>
    <row r="932" spans="1:26" ht="12" x14ac:dyDescent="0.2">
      <c r="A932" s="2455"/>
      <c r="B932" s="2455"/>
      <c r="C932" s="2455"/>
      <c r="D932" s="2455"/>
      <c r="E932" s="2455"/>
      <c r="F932" s="2455"/>
      <c r="G932" s="2456"/>
      <c r="H932" s="2455"/>
      <c r="I932" s="2455"/>
      <c r="J932" s="2455"/>
      <c r="K932" s="2455"/>
      <c r="L932" s="2455"/>
      <c r="M932" s="2455"/>
      <c r="N932" s="2455"/>
      <c r="O932" s="2455"/>
      <c r="P932" s="2455"/>
      <c r="Q932" s="2455"/>
      <c r="R932" s="2455"/>
      <c r="S932" s="2455"/>
      <c r="T932" s="2455"/>
      <c r="U932" s="2455"/>
      <c r="V932" s="2455"/>
      <c r="W932" s="2455"/>
      <c r="X932" s="2455"/>
      <c r="Y932" s="2455"/>
      <c r="Z932" s="2455"/>
    </row>
    <row r="933" spans="1:26" ht="12" x14ac:dyDescent="0.2">
      <c r="A933" s="2455"/>
      <c r="B933" s="2455"/>
      <c r="C933" s="2455"/>
      <c r="D933" s="2455"/>
      <c r="E933" s="2455"/>
      <c r="F933" s="2455"/>
      <c r="G933" s="2456"/>
      <c r="H933" s="2455"/>
      <c r="I933" s="2455"/>
      <c r="J933" s="2455"/>
      <c r="K933" s="2455"/>
      <c r="L933" s="2455"/>
      <c r="M933" s="2455"/>
      <c r="N933" s="2455"/>
      <c r="O933" s="2455"/>
      <c r="P933" s="2455"/>
      <c r="Q933" s="2455"/>
      <c r="R933" s="2455"/>
      <c r="S933" s="2455"/>
      <c r="T933" s="2455"/>
      <c r="U933" s="2455"/>
      <c r="V933" s="2455"/>
      <c r="W933" s="2455"/>
      <c r="X933" s="2455"/>
      <c r="Y933" s="2455"/>
      <c r="Z933" s="2455"/>
    </row>
    <row r="934" spans="1:26" ht="12" x14ac:dyDescent="0.2">
      <c r="A934" s="2455"/>
      <c r="B934" s="2455"/>
      <c r="C934" s="2455"/>
      <c r="D934" s="2455"/>
      <c r="E934" s="2455"/>
      <c r="F934" s="2455"/>
      <c r="G934" s="2456"/>
      <c r="H934" s="2455"/>
      <c r="I934" s="2455"/>
      <c r="J934" s="2455"/>
      <c r="K934" s="2455"/>
      <c r="L934" s="2455"/>
      <c r="M934" s="2455"/>
      <c r="N934" s="2455"/>
      <c r="O934" s="2455"/>
      <c r="P934" s="2455"/>
      <c r="Q934" s="2455"/>
      <c r="R934" s="2455"/>
      <c r="S934" s="2455"/>
      <c r="T934" s="2455"/>
      <c r="U934" s="2455"/>
      <c r="V934" s="2455"/>
      <c r="W934" s="2455"/>
      <c r="X934" s="2455"/>
      <c r="Y934" s="2455"/>
      <c r="Z934" s="2455"/>
    </row>
    <row r="935" spans="1:26" ht="12" x14ac:dyDescent="0.2">
      <c r="A935" s="2455"/>
      <c r="B935" s="2455"/>
      <c r="C935" s="2455"/>
      <c r="D935" s="2455"/>
      <c r="E935" s="2455"/>
      <c r="F935" s="2455"/>
      <c r="G935" s="2456"/>
      <c r="H935" s="2455"/>
      <c r="I935" s="2455"/>
      <c r="J935" s="2455"/>
      <c r="K935" s="2455"/>
      <c r="L935" s="2455"/>
      <c r="M935" s="2455"/>
      <c r="N935" s="2455"/>
      <c r="O935" s="2455"/>
      <c r="P935" s="2455"/>
      <c r="Q935" s="2455"/>
      <c r="R935" s="2455"/>
      <c r="S935" s="2455"/>
      <c r="T935" s="2455"/>
      <c r="U935" s="2455"/>
      <c r="V935" s="2455"/>
      <c r="W935" s="2455"/>
      <c r="X935" s="2455"/>
      <c r="Y935" s="2455"/>
      <c r="Z935" s="2455"/>
    </row>
    <row r="936" spans="1:26" ht="12" x14ac:dyDescent="0.2">
      <c r="A936" s="2455"/>
      <c r="B936" s="2455"/>
      <c r="C936" s="2455"/>
      <c r="D936" s="2455"/>
      <c r="E936" s="2455"/>
      <c r="F936" s="2455"/>
      <c r="G936" s="2456"/>
      <c r="H936" s="2455"/>
      <c r="I936" s="2455"/>
      <c r="J936" s="2455"/>
      <c r="K936" s="2455"/>
      <c r="L936" s="2455"/>
      <c r="M936" s="2455"/>
      <c r="N936" s="2455"/>
      <c r="O936" s="2455"/>
      <c r="P936" s="2455"/>
      <c r="Q936" s="2455"/>
      <c r="R936" s="2455"/>
      <c r="S936" s="2455"/>
      <c r="T936" s="2455"/>
      <c r="U936" s="2455"/>
      <c r="V936" s="2455"/>
      <c r="W936" s="2455"/>
      <c r="X936" s="2455"/>
      <c r="Y936" s="2455"/>
      <c r="Z936" s="2455"/>
    </row>
    <row r="937" spans="1:26" ht="12" x14ac:dyDescent="0.2">
      <c r="A937" s="2455"/>
      <c r="B937" s="2455"/>
      <c r="C937" s="2455"/>
      <c r="D937" s="2455"/>
      <c r="E937" s="2455"/>
      <c r="F937" s="2455"/>
      <c r="G937" s="2456"/>
      <c r="H937" s="2455"/>
      <c r="I937" s="2455"/>
      <c r="J937" s="2455"/>
      <c r="K937" s="2455"/>
      <c r="L937" s="2455"/>
      <c r="M937" s="2455"/>
      <c r="N937" s="2455"/>
      <c r="O937" s="2455"/>
      <c r="P937" s="2455"/>
      <c r="Q937" s="2455"/>
      <c r="R937" s="2455"/>
      <c r="S937" s="2455"/>
      <c r="T937" s="2455"/>
      <c r="U937" s="2455"/>
      <c r="V937" s="2455"/>
      <c r="W937" s="2455"/>
      <c r="X937" s="2455"/>
      <c r="Y937" s="2455"/>
      <c r="Z937" s="2455"/>
    </row>
    <row r="938" spans="1:26" ht="12" x14ac:dyDescent="0.2">
      <c r="A938" s="2455"/>
      <c r="B938" s="2455"/>
      <c r="C938" s="2455"/>
      <c r="D938" s="2455"/>
      <c r="E938" s="2455"/>
      <c r="F938" s="2455"/>
      <c r="G938" s="2456"/>
      <c r="H938" s="2455"/>
      <c r="I938" s="2455"/>
      <c r="J938" s="2455"/>
      <c r="K938" s="2455"/>
      <c r="L938" s="2455"/>
      <c r="M938" s="2455"/>
      <c r="N938" s="2455"/>
      <c r="O938" s="2455"/>
      <c r="P938" s="2455"/>
      <c r="Q938" s="2455"/>
      <c r="R938" s="2455"/>
      <c r="S938" s="2455"/>
      <c r="T938" s="2455"/>
      <c r="U938" s="2455"/>
      <c r="V938" s="2455"/>
      <c r="W938" s="2455"/>
      <c r="X938" s="2455"/>
      <c r="Y938" s="2455"/>
      <c r="Z938" s="2455"/>
    </row>
    <row r="939" spans="1:26" ht="12" x14ac:dyDescent="0.2">
      <c r="A939" s="2455"/>
      <c r="B939" s="2455"/>
      <c r="C939" s="2455"/>
      <c r="D939" s="2455"/>
      <c r="E939" s="2455"/>
      <c r="F939" s="2455"/>
      <c r="G939" s="2456"/>
      <c r="H939" s="2455"/>
      <c r="I939" s="2455"/>
      <c r="J939" s="2455"/>
      <c r="K939" s="2455"/>
      <c r="L939" s="2455"/>
      <c r="M939" s="2455"/>
      <c r="N939" s="2455"/>
      <c r="O939" s="2455"/>
      <c r="P939" s="2455"/>
      <c r="Q939" s="2455"/>
      <c r="R939" s="2455"/>
      <c r="S939" s="2455"/>
      <c r="T939" s="2455"/>
      <c r="U939" s="2455"/>
      <c r="V939" s="2455"/>
      <c r="W939" s="2455"/>
      <c r="X939" s="2455"/>
      <c r="Y939" s="2455"/>
      <c r="Z939" s="2455"/>
    </row>
    <row r="940" spans="1:26" ht="12" x14ac:dyDescent="0.2">
      <c r="A940" s="2455"/>
      <c r="B940" s="2455"/>
      <c r="C940" s="2455"/>
      <c r="D940" s="2455"/>
      <c r="E940" s="2455"/>
      <c r="F940" s="2455"/>
      <c r="G940" s="2456"/>
      <c r="H940" s="2455"/>
      <c r="I940" s="2455"/>
      <c r="J940" s="2455"/>
      <c r="K940" s="2455"/>
      <c r="L940" s="2455"/>
      <c r="M940" s="2455"/>
      <c r="N940" s="2455"/>
      <c r="O940" s="2455"/>
      <c r="P940" s="2455"/>
      <c r="Q940" s="2455"/>
      <c r="R940" s="2455"/>
      <c r="S940" s="2455"/>
      <c r="T940" s="2455"/>
      <c r="U940" s="2455"/>
      <c r="V940" s="2455"/>
      <c r="W940" s="2455"/>
      <c r="X940" s="2455"/>
      <c r="Y940" s="2455"/>
      <c r="Z940" s="2455"/>
    </row>
    <row r="941" spans="1:26" ht="12" x14ac:dyDescent="0.2">
      <c r="A941" s="2455"/>
      <c r="B941" s="2455"/>
      <c r="C941" s="2455"/>
      <c r="D941" s="2455"/>
      <c r="E941" s="2455"/>
      <c r="F941" s="2455"/>
      <c r="G941" s="2456"/>
      <c r="H941" s="2455"/>
      <c r="I941" s="2455"/>
      <c r="J941" s="2455"/>
      <c r="K941" s="2455"/>
      <c r="L941" s="2455"/>
      <c r="M941" s="2455"/>
      <c r="N941" s="2455"/>
      <c r="O941" s="2455"/>
      <c r="P941" s="2455"/>
      <c r="Q941" s="2455"/>
      <c r="R941" s="2455"/>
      <c r="S941" s="2455"/>
      <c r="T941" s="2455"/>
      <c r="U941" s="2455"/>
      <c r="V941" s="2455"/>
      <c r="W941" s="2455"/>
      <c r="X941" s="2455"/>
      <c r="Y941" s="2455"/>
      <c r="Z941" s="2455"/>
    </row>
    <row r="942" spans="1:26" ht="12" x14ac:dyDescent="0.2">
      <c r="A942" s="2455"/>
      <c r="B942" s="2455"/>
      <c r="C942" s="2455"/>
      <c r="D942" s="2455"/>
      <c r="E942" s="2455"/>
      <c r="F942" s="2455"/>
      <c r="G942" s="2456"/>
      <c r="H942" s="2455"/>
      <c r="I942" s="2455"/>
      <c r="J942" s="2455"/>
      <c r="K942" s="2455"/>
      <c r="L942" s="2455"/>
      <c r="M942" s="2455"/>
      <c r="N942" s="2455"/>
      <c r="O942" s="2455"/>
      <c r="P942" s="2455"/>
      <c r="Q942" s="2455"/>
      <c r="R942" s="2455"/>
      <c r="S942" s="2455"/>
      <c r="T942" s="2455"/>
      <c r="U942" s="2455"/>
      <c r="V942" s="2455"/>
      <c r="W942" s="2455"/>
      <c r="X942" s="2455"/>
      <c r="Y942" s="2455"/>
      <c r="Z942" s="2455"/>
    </row>
    <row r="943" spans="1:26" ht="12" x14ac:dyDescent="0.2">
      <c r="A943" s="2455"/>
      <c r="B943" s="2455"/>
      <c r="C943" s="2455"/>
      <c r="D943" s="2455"/>
      <c r="E943" s="2455"/>
      <c r="F943" s="2455"/>
      <c r="G943" s="2456"/>
      <c r="H943" s="2455"/>
      <c r="I943" s="2455"/>
      <c r="J943" s="2455"/>
      <c r="K943" s="2455"/>
      <c r="L943" s="2455"/>
      <c r="M943" s="2455"/>
      <c r="N943" s="2455"/>
      <c r="O943" s="2455"/>
      <c r="P943" s="2455"/>
      <c r="Q943" s="2455"/>
      <c r="R943" s="2455"/>
      <c r="S943" s="2455"/>
      <c r="T943" s="2455"/>
      <c r="U943" s="2455"/>
      <c r="V943" s="2455"/>
      <c r="W943" s="2455"/>
      <c r="X943" s="2455"/>
      <c r="Y943" s="2455"/>
      <c r="Z943" s="2455"/>
    </row>
    <row r="944" spans="1:26" ht="12" x14ac:dyDescent="0.2">
      <c r="A944" s="2455"/>
      <c r="B944" s="2455"/>
      <c r="C944" s="2455"/>
      <c r="D944" s="2455"/>
      <c r="E944" s="2455"/>
      <c r="F944" s="2455"/>
      <c r="G944" s="2456"/>
      <c r="H944" s="2455"/>
      <c r="I944" s="2455"/>
      <c r="J944" s="2455"/>
      <c r="K944" s="2455"/>
      <c r="L944" s="2455"/>
      <c r="M944" s="2455"/>
      <c r="N944" s="2455"/>
      <c r="O944" s="2455"/>
      <c r="P944" s="2455"/>
      <c r="Q944" s="2455"/>
      <c r="R944" s="2455"/>
      <c r="S944" s="2455"/>
      <c r="T944" s="2455"/>
      <c r="U944" s="2455"/>
      <c r="V944" s="2455"/>
      <c r="W944" s="2455"/>
      <c r="X944" s="2455"/>
      <c r="Y944" s="2455"/>
      <c r="Z944" s="2455"/>
    </row>
    <row r="945" spans="1:26" ht="12" x14ac:dyDescent="0.2">
      <c r="A945" s="2455"/>
      <c r="B945" s="2455"/>
      <c r="C945" s="2455"/>
      <c r="D945" s="2455"/>
      <c r="E945" s="2455"/>
      <c r="F945" s="2455"/>
      <c r="G945" s="2456"/>
      <c r="H945" s="2455"/>
      <c r="I945" s="2455"/>
      <c r="J945" s="2455"/>
      <c r="K945" s="2455"/>
      <c r="L945" s="2455"/>
      <c r="M945" s="2455"/>
      <c r="N945" s="2455"/>
      <c r="O945" s="2455"/>
      <c r="P945" s="2455"/>
      <c r="Q945" s="2455"/>
      <c r="R945" s="2455"/>
      <c r="S945" s="2455"/>
      <c r="T945" s="2455"/>
      <c r="U945" s="2455"/>
      <c r="V945" s="2455"/>
      <c r="W945" s="2455"/>
      <c r="X945" s="2455"/>
      <c r="Y945" s="2455"/>
      <c r="Z945" s="2455"/>
    </row>
    <row r="946" spans="1:26" ht="12" x14ac:dyDescent="0.2">
      <c r="A946" s="2455"/>
      <c r="B946" s="2455"/>
      <c r="C946" s="2455"/>
      <c r="D946" s="2455"/>
      <c r="E946" s="2455"/>
      <c r="F946" s="2455"/>
      <c r="G946" s="2456"/>
      <c r="H946" s="2455"/>
      <c r="I946" s="2455"/>
      <c r="J946" s="2455"/>
      <c r="K946" s="2455"/>
      <c r="L946" s="2455"/>
      <c r="M946" s="2455"/>
      <c r="N946" s="2455"/>
      <c r="O946" s="2455"/>
      <c r="P946" s="2455"/>
      <c r="Q946" s="2455"/>
      <c r="R946" s="2455"/>
      <c r="S946" s="2455"/>
      <c r="T946" s="2455"/>
      <c r="U946" s="2455"/>
      <c r="V946" s="2455"/>
      <c r="W946" s="2455"/>
      <c r="X946" s="2455"/>
      <c r="Y946" s="2455"/>
      <c r="Z946" s="2455"/>
    </row>
    <row r="947" spans="1:26" ht="12" x14ac:dyDescent="0.2">
      <c r="A947" s="2455"/>
      <c r="B947" s="2455"/>
      <c r="C947" s="2455"/>
      <c r="D947" s="2455"/>
      <c r="E947" s="2455"/>
      <c r="F947" s="2455"/>
      <c r="G947" s="2456"/>
      <c r="H947" s="2455"/>
      <c r="I947" s="2455"/>
      <c r="J947" s="2455"/>
      <c r="K947" s="2455"/>
      <c r="L947" s="2455"/>
      <c r="M947" s="2455"/>
      <c r="N947" s="2455"/>
      <c r="O947" s="2455"/>
      <c r="P947" s="2455"/>
      <c r="Q947" s="2455"/>
      <c r="R947" s="2455"/>
      <c r="S947" s="2455"/>
      <c r="T947" s="2455"/>
      <c r="U947" s="2455"/>
      <c r="V947" s="2455"/>
      <c r="W947" s="2455"/>
      <c r="X947" s="2455"/>
      <c r="Y947" s="2455"/>
      <c r="Z947" s="2455"/>
    </row>
    <row r="948" spans="1:26" ht="12" x14ac:dyDescent="0.2">
      <c r="A948" s="2455"/>
      <c r="B948" s="2455"/>
      <c r="C948" s="2455"/>
      <c r="D948" s="2455"/>
      <c r="E948" s="2455"/>
      <c r="F948" s="2455"/>
      <c r="G948" s="2456"/>
      <c r="H948" s="2455"/>
      <c r="I948" s="2455"/>
      <c r="J948" s="2455"/>
      <c r="K948" s="2455"/>
      <c r="L948" s="2455"/>
      <c r="M948" s="2455"/>
      <c r="N948" s="2455"/>
      <c r="O948" s="2455"/>
      <c r="P948" s="2455"/>
      <c r="Q948" s="2455"/>
      <c r="R948" s="2455"/>
      <c r="S948" s="2455"/>
      <c r="T948" s="2455"/>
      <c r="U948" s="2455"/>
      <c r="V948" s="2455"/>
      <c r="W948" s="2455"/>
      <c r="X948" s="2455"/>
      <c r="Y948" s="2455"/>
      <c r="Z948" s="2455"/>
    </row>
    <row r="949" spans="1:26" ht="12" x14ac:dyDescent="0.2">
      <c r="A949" s="2455"/>
      <c r="B949" s="2455"/>
      <c r="C949" s="2455"/>
      <c r="D949" s="2455"/>
      <c r="E949" s="2455"/>
      <c r="F949" s="2455"/>
      <c r="G949" s="2456"/>
      <c r="H949" s="2455"/>
      <c r="I949" s="2455"/>
      <c r="J949" s="2455"/>
      <c r="K949" s="2455"/>
      <c r="L949" s="2455"/>
      <c r="M949" s="2455"/>
      <c r="N949" s="2455"/>
      <c r="O949" s="2455"/>
      <c r="P949" s="2455"/>
      <c r="Q949" s="2455"/>
      <c r="R949" s="2455"/>
      <c r="S949" s="2455"/>
      <c r="T949" s="2455"/>
      <c r="U949" s="2455"/>
      <c r="V949" s="2455"/>
      <c r="W949" s="2455"/>
      <c r="X949" s="2455"/>
      <c r="Y949" s="2455"/>
      <c r="Z949" s="2455"/>
    </row>
    <row r="950" spans="1:26" ht="12" x14ac:dyDescent="0.2">
      <c r="A950" s="2455"/>
      <c r="B950" s="2455"/>
      <c r="C950" s="2455"/>
      <c r="D950" s="2455"/>
      <c r="E950" s="2455"/>
      <c r="F950" s="2455"/>
      <c r="G950" s="2456"/>
      <c r="H950" s="2455"/>
      <c r="I950" s="2455"/>
      <c r="J950" s="2455"/>
      <c r="K950" s="2455"/>
      <c r="L950" s="2455"/>
      <c r="M950" s="2455"/>
      <c r="N950" s="2455"/>
      <c r="O950" s="2455"/>
      <c r="P950" s="2455"/>
      <c r="Q950" s="2455"/>
      <c r="R950" s="2455"/>
      <c r="S950" s="2455"/>
      <c r="T950" s="2455"/>
      <c r="U950" s="2455"/>
      <c r="V950" s="2455"/>
      <c r="W950" s="2455"/>
      <c r="X950" s="2455"/>
      <c r="Y950" s="2455"/>
      <c r="Z950" s="2455"/>
    </row>
    <row r="951" spans="1:26" ht="12" x14ac:dyDescent="0.2">
      <c r="A951" s="2455"/>
      <c r="B951" s="2455"/>
      <c r="C951" s="2455"/>
      <c r="D951" s="2455"/>
      <c r="E951" s="2455"/>
      <c r="F951" s="2455"/>
      <c r="G951" s="2456"/>
      <c r="H951" s="2455"/>
      <c r="I951" s="2455"/>
      <c r="J951" s="2455"/>
      <c r="K951" s="2455"/>
      <c r="L951" s="2455"/>
      <c r="M951" s="2455"/>
      <c r="N951" s="2455"/>
      <c r="O951" s="2455"/>
      <c r="P951" s="2455"/>
      <c r="Q951" s="2455"/>
      <c r="R951" s="2455"/>
      <c r="S951" s="2455"/>
      <c r="T951" s="2455"/>
      <c r="U951" s="2455"/>
      <c r="V951" s="2455"/>
      <c r="W951" s="2455"/>
      <c r="X951" s="2455"/>
      <c r="Y951" s="2455"/>
      <c r="Z951" s="2455"/>
    </row>
    <row r="952" spans="1:26" ht="12" x14ac:dyDescent="0.2">
      <c r="A952" s="2455"/>
      <c r="B952" s="2455"/>
      <c r="C952" s="2455"/>
      <c r="D952" s="2455"/>
      <c r="E952" s="2455"/>
      <c r="F952" s="2455"/>
      <c r="G952" s="2456"/>
      <c r="H952" s="2455"/>
      <c r="I952" s="2455"/>
      <c r="J952" s="2455"/>
      <c r="K952" s="2455"/>
      <c r="L952" s="2455"/>
      <c r="M952" s="2455"/>
      <c r="N952" s="2455"/>
      <c r="O952" s="2455"/>
      <c r="P952" s="2455"/>
      <c r="Q952" s="2455"/>
      <c r="R952" s="2455"/>
      <c r="S952" s="2455"/>
      <c r="T952" s="2455"/>
      <c r="U952" s="2455"/>
      <c r="V952" s="2455"/>
      <c r="W952" s="2455"/>
      <c r="X952" s="2455"/>
      <c r="Y952" s="2455"/>
      <c r="Z952" s="2455"/>
    </row>
    <row r="953" spans="1:26" ht="12" x14ac:dyDescent="0.2">
      <c r="A953" s="2455"/>
      <c r="B953" s="2455"/>
      <c r="C953" s="2455"/>
      <c r="D953" s="2455"/>
      <c r="E953" s="2455"/>
      <c r="F953" s="2455"/>
      <c r="G953" s="2456"/>
      <c r="H953" s="2455"/>
      <c r="I953" s="2455"/>
      <c r="J953" s="2455"/>
      <c r="K953" s="2455"/>
      <c r="L953" s="2455"/>
      <c r="M953" s="2455"/>
      <c r="N953" s="2455"/>
      <c r="O953" s="2455"/>
      <c r="P953" s="2455"/>
      <c r="Q953" s="2455"/>
      <c r="R953" s="2455"/>
      <c r="S953" s="2455"/>
      <c r="T953" s="2455"/>
      <c r="U953" s="2455"/>
      <c r="V953" s="2455"/>
      <c r="W953" s="2455"/>
      <c r="X953" s="2455"/>
      <c r="Y953" s="2455"/>
      <c r="Z953" s="2455"/>
    </row>
    <row r="954" spans="1:26" ht="12" x14ac:dyDescent="0.2">
      <c r="A954" s="2455"/>
      <c r="B954" s="2455"/>
      <c r="C954" s="2455"/>
      <c r="D954" s="2455"/>
      <c r="E954" s="2455"/>
      <c r="F954" s="2455"/>
      <c r="G954" s="2456"/>
      <c r="H954" s="2455"/>
      <c r="I954" s="2455"/>
      <c r="J954" s="2455"/>
      <c r="K954" s="2455"/>
      <c r="L954" s="2455"/>
      <c r="M954" s="2455"/>
      <c r="N954" s="2455"/>
      <c r="O954" s="2455"/>
      <c r="P954" s="2455"/>
      <c r="Q954" s="2455"/>
      <c r="R954" s="2455"/>
      <c r="S954" s="2455"/>
      <c r="T954" s="2455"/>
      <c r="U954" s="2455"/>
      <c r="V954" s="2455"/>
      <c r="W954" s="2455"/>
      <c r="X954" s="2455"/>
      <c r="Y954" s="2455"/>
      <c r="Z954" s="2455"/>
    </row>
    <row r="955" spans="1:26" ht="12" x14ac:dyDescent="0.2">
      <c r="A955" s="2455"/>
      <c r="B955" s="2455"/>
      <c r="C955" s="2455"/>
      <c r="D955" s="2455"/>
      <c r="E955" s="2455"/>
      <c r="F955" s="2455"/>
      <c r="G955" s="2456"/>
      <c r="H955" s="2455"/>
      <c r="I955" s="2455"/>
      <c r="J955" s="2455"/>
      <c r="K955" s="2455"/>
      <c r="L955" s="2455"/>
      <c r="M955" s="2455"/>
      <c r="N955" s="2455"/>
      <c r="O955" s="2455"/>
      <c r="P955" s="2455"/>
      <c r="Q955" s="2455"/>
      <c r="R955" s="2455"/>
      <c r="S955" s="2455"/>
      <c r="T955" s="2455"/>
      <c r="U955" s="2455"/>
      <c r="V955" s="2455"/>
      <c r="W955" s="2455"/>
      <c r="X955" s="2455"/>
      <c r="Y955" s="2455"/>
      <c r="Z955" s="2455"/>
    </row>
    <row r="956" spans="1:26" ht="12" x14ac:dyDescent="0.2">
      <c r="A956" s="2455"/>
      <c r="B956" s="2455"/>
      <c r="C956" s="2455"/>
      <c r="D956" s="2455"/>
      <c r="E956" s="2455"/>
      <c r="F956" s="2455"/>
      <c r="G956" s="2456"/>
      <c r="H956" s="2455"/>
      <c r="I956" s="2455"/>
      <c r="J956" s="2455"/>
      <c r="K956" s="2455"/>
      <c r="L956" s="2455"/>
      <c r="M956" s="2455"/>
      <c r="N956" s="2455"/>
      <c r="O956" s="2455"/>
      <c r="P956" s="2455"/>
      <c r="Q956" s="2455"/>
      <c r="R956" s="2455"/>
      <c r="S956" s="2455"/>
      <c r="T956" s="2455"/>
      <c r="U956" s="2455"/>
      <c r="V956" s="2455"/>
      <c r="W956" s="2455"/>
      <c r="X956" s="2455"/>
      <c r="Y956" s="2455"/>
      <c r="Z956" s="2455"/>
    </row>
    <row r="957" spans="1:26" ht="12" x14ac:dyDescent="0.2">
      <c r="A957" s="2455"/>
      <c r="B957" s="2455"/>
      <c r="C957" s="2455"/>
      <c r="D957" s="2455"/>
      <c r="E957" s="2455"/>
      <c r="F957" s="2455"/>
      <c r="G957" s="2459"/>
      <c r="J957" s="2455"/>
      <c r="K957" s="2455"/>
      <c r="L957" s="2455"/>
      <c r="M957" s="2455"/>
      <c r="N957" s="2455"/>
      <c r="O957" s="2455"/>
      <c r="P957" s="2455"/>
      <c r="Q957" s="2455"/>
      <c r="R957" s="2455"/>
      <c r="S957" s="2455"/>
      <c r="T957" s="2455"/>
      <c r="U957" s="2455"/>
      <c r="V957" s="2455"/>
      <c r="W957" s="2455"/>
      <c r="X957" s="2455"/>
      <c r="Y957" s="2455"/>
      <c r="Z957" s="2455"/>
    </row>
    <row r="958" spans="1:26" ht="12" x14ac:dyDescent="0.2">
      <c r="A958" s="2455"/>
      <c r="B958" s="2455"/>
      <c r="C958" s="2455"/>
      <c r="D958" s="2455"/>
      <c r="E958" s="2455"/>
      <c r="F958" s="2455"/>
      <c r="G958" s="2459"/>
      <c r="J958" s="2455"/>
      <c r="K958" s="2455"/>
      <c r="L958" s="2455"/>
      <c r="M958" s="2455"/>
      <c r="N958" s="2455"/>
      <c r="O958" s="2455"/>
      <c r="P958" s="2455"/>
      <c r="Q958" s="2455"/>
      <c r="R958" s="2455"/>
      <c r="S958" s="2455"/>
      <c r="T958" s="2455"/>
      <c r="U958" s="2455"/>
      <c r="V958" s="2455"/>
      <c r="W958" s="2455"/>
      <c r="X958" s="2455"/>
      <c r="Y958" s="2455"/>
      <c r="Z958" s="2455"/>
    </row>
    <row r="959" spans="1:26" ht="12" x14ac:dyDescent="0.2">
      <c r="A959" s="2455"/>
      <c r="B959" s="2455"/>
      <c r="C959" s="2455"/>
      <c r="D959" s="2455"/>
      <c r="E959" s="2455"/>
      <c r="F959" s="2455"/>
      <c r="G959" s="2459"/>
      <c r="J959" s="2455"/>
      <c r="K959" s="2455"/>
      <c r="L959" s="2455"/>
      <c r="M959" s="2455"/>
      <c r="N959" s="2455"/>
      <c r="O959" s="2455"/>
      <c r="P959" s="2455"/>
      <c r="Q959" s="2455"/>
      <c r="R959" s="2455"/>
      <c r="S959" s="2455"/>
      <c r="T959" s="2455"/>
      <c r="U959" s="2455"/>
      <c r="V959" s="2455"/>
      <c r="W959" s="2455"/>
      <c r="X959" s="2455"/>
      <c r="Y959" s="2455"/>
      <c r="Z959" s="2455"/>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1:AB1000"/>
  <sheetViews>
    <sheetView workbookViewId="0"/>
  </sheetViews>
  <sheetFormatPr defaultColWidth="16.83203125" defaultRowHeight="15" customHeight="1" x14ac:dyDescent="0.2"/>
  <cols>
    <col min="1" max="2" width="8" customWidth="1"/>
    <col min="3" max="3" width="62" customWidth="1"/>
    <col min="4" max="4" width="14.5" customWidth="1"/>
    <col min="5" max="5" width="16.6640625" customWidth="1"/>
    <col min="6" max="6" width="15.1640625" customWidth="1"/>
    <col min="7" max="7" width="12" customWidth="1"/>
    <col min="8" max="8" width="36.1640625" customWidth="1"/>
    <col min="9" max="15" width="11.1640625" customWidth="1"/>
    <col min="16" max="16" width="11.5" customWidth="1"/>
    <col min="17" max="23" width="11.1640625" customWidth="1"/>
    <col min="24" max="24" width="13.1640625" customWidth="1"/>
    <col min="25" max="28" width="8" customWidth="1"/>
  </cols>
  <sheetData>
    <row r="1" spans="2:9" ht="15.75" customHeight="1" x14ac:dyDescent="0.25">
      <c r="I1" s="2057" t="s">
        <v>1832</v>
      </c>
    </row>
    <row r="2" spans="2:9" ht="12" customHeight="1" x14ac:dyDescent="0.2"/>
    <row r="3" spans="2:9" ht="18.75" customHeight="1" x14ac:dyDescent="0.35">
      <c r="B3" s="2306" t="s">
        <v>1833</v>
      </c>
      <c r="C3" s="2395"/>
      <c r="D3" s="45">
        <v>2006</v>
      </c>
      <c r="E3" s="45">
        <v>2011</v>
      </c>
      <c r="F3" s="2058">
        <v>2020</v>
      </c>
    </row>
    <row r="4" spans="2:9" ht="18" customHeight="1" x14ac:dyDescent="0.35">
      <c r="B4" s="2396" t="s">
        <v>1834</v>
      </c>
      <c r="C4" s="2315"/>
      <c r="D4" s="2059">
        <v>95.759950025284567</v>
      </c>
      <c r="E4" s="2060">
        <v>90.966191245433336</v>
      </c>
      <c r="F4" s="2061">
        <v>125.34260748462694</v>
      </c>
    </row>
    <row r="5" spans="2:9" ht="17.25" customHeight="1" x14ac:dyDescent="0.25">
      <c r="B5" s="2062" t="s">
        <v>1835</v>
      </c>
      <c r="C5" s="2063"/>
      <c r="D5" s="49">
        <v>42.475674553317035</v>
      </c>
      <c r="E5" s="2064">
        <v>37.860129294372811</v>
      </c>
      <c r="F5" s="495">
        <v>58.792780404291136</v>
      </c>
      <c r="G5" s="2065"/>
    </row>
    <row r="6" spans="2:9" ht="15" customHeight="1" x14ac:dyDescent="0.25">
      <c r="B6" s="2066"/>
      <c r="C6" s="2067" t="s">
        <v>63</v>
      </c>
      <c r="D6" s="2059">
        <v>32.164847642882265</v>
      </c>
      <c r="E6" s="2068">
        <v>24.55109638553953</v>
      </c>
      <c r="F6" s="2061">
        <v>42.876074662365383</v>
      </c>
    </row>
    <row r="7" spans="2:9" ht="15" customHeight="1" x14ac:dyDescent="0.25">
      <c r="B7" s="2069"/>
      <c r="C7" s="2070" t="s">
        <v>1836</v>
      </c>
      <c r="D7" s="2059">
        <v>28.277691054483199</v>
      </c>
      <c r="E7" s="2071">
        <v>21.931503322661907</v>
      </c>
      <c r="F7" s="2061">
        <v>33.788987335979449</v>
      </c>
    </row>
    <row r="8" spans="2:9" ht="18" customHeight="1" x14ac:dyDescent="0.35">
      <c r="B8" s="2069"/>
      <c r="C8" s="2072" t="s">
        <v>1837</v>
      </c>
      <c r="D8" s="179">
        <v>28.130573867498466</v>
      </c>
      <c r="E8" s="2073">
        <v>21.847712881476784</v>
      </c>
      <c r="F8" s="30">
        <v>33.613197142984042</v>
      </c>
    </row>
    <row r="9" spans="2:9" ht="18" customHeight="1" x14ac:dyDescent="0.35">
      <c r="B9" s="2069"/>
      <c r="C9" s="2072" t="s">
        <v>1838</v>
      </c>
      <c r="D9" s="179">
        <v>6.3569154869947851E-3</v>
      </c>
      <c r="E9" s="2073">
        <v>8.7823035842036039E-3</v>
      </c>
      <c r="F9" s="30">
        <v>7.5958725368387037E-3</v>
      </c>
    </row>
    <row r="10" spans="2:9" ht="18" customHeight="1" x14ac:dyDescent="0.35">
      <c r="B10" s="2069"/>
      <c r="C10" s="2072" t="s">
        <v>1839</v>
      </c>
      <c r="D10" s="179">
        <v>0.14076027149774165</v>
      </c>
      <c r="E10" s="2073">
        <v>7.5008137600917041E-2</v>
      </c>
      <c r="F10" s="30">
        <v>0.16819432045857127</v>
      </c>
    </row>
    <row r="11" spans="2:9" ht="15" customHeight="1" x14ac:dyDescent="0.25">
      <c r="B11" s="2069"/>
      <c r="C11" s="2070" t="s">
        <v>1840</v>
      </c>
      <c r="D11" s="2059">
        <v>3.6498808125927029</v>
      </c>
      <c r="E11" s="2071">
        <v>2.4188260648040507</v>
      </c>
      <c r="F11" s="2061">
        <v>8.4483296990229935</v>
      </c>
    </row>
    <row r="12" spans="2:9" ht="18" customHeight="1" x14ac:dyDescent="0.35">
      <c r="B12" s="2069"/>
      <c r="C12" s="2072" t="s">
        <v>1841</v>
      </c>
      <c r="D12" s="179">
        <v>3.6484130104806791</v>
      </c>
      <c r="E12" s="2073">
        <v>2.4133302497043454</v>
      </c>
      <c r="F12" s="30">
        <v>8.4449321973477289</v>
      </c>
    </row>
    <row r="13" spans="2:9" ht="18" customHeight="1" x14ac:dyDescent="0.35">
      <c r="B13" s="2069"/>
      <c r="C13" s="2072" t="s">
        <v>1842</v>
      </c>
      <c r="D13" s="179">
        <v>5.9276623754803105E-4</v>
      </c>
      <c r="E13" s="2073">
        <v>8.7859147150217472E-4</v>
      </c>
      <c r="F13" s="30">
        <v>1.3720679842413213E-3</v>
      </c>
    </row>
    <row r="14" spans="2:9" ht="18" customHeight="1" x14ac:dyDescent="0.35">
      <c r="B14" s="2069"/>
      <c r="C14" s="2072" t="s">
        <v>1843</v>
      </c>
      <c r="D14" s="179">
        <v>8.7503587447566498E-4</v>
      </c>
      <c r="E14" s="2073">
        <v>4.6172236282033714E-3</v>
      </c>
      <c r="F14" s="30">
        <v>2.0254336910229031E-3</v>
      </c>
    </row>
    <row r="15" spans="2:9" ht="15" customHeight="1" x14ac:dyDescent="0.25">
      <c r="B15" s="2069"/>
      <c r="C15" s="2070" t="s">
        <v>1844</v>
      </c>
      <c r="D15" s="2059">
        <v>0.23727577580636292</v>
      </c>
      <c r="E15" s="2071">
        <v>0.19606179478813007</v>
      </c>
      <c r="F15" s="2061">
        <v>0.63875762736294017</v>
      </c>
    </row>
    <row r="16" spans="2:9" ht="18" customHeight="1" x14ac:dyDescent="0.35">
      <c r="B16" s="2069"/>
      <c r="C16" s="2072" t="s">
        <v>1845</v>
      </c>
      <c r="D16" s="179">
        <v>0.23657260855402951</v>
      </c>
      <c r="E16" s="2073">
        <v>0.1946277957923413</v>
      </c>
      <c r="F16" s="30">
        <v>0.63687802594508114</v>
      </c>
    </row>
    <row r="17" spans="2:9" ht="18" customHeight="1" x14ac:dyDescent="0.35">
      <c r="B17" s="2069"/>
      <c r="C17" s="2072" t="s">
        <v>1846</v>
      </c>
      <c r="D17" s="179">
        <v>1.7790978673495471E-4</v>
      </c>
      <c r="E17" s="2073">
        <v>1.0093170237830259E-4</v>
      </c>
      <c r="F17" s="30">
        <v>4.7556180451855236E-4</v>
      </c>
    </row>
    <row r="18" spans="2:9" ht="18" customHeight="1" x14ac:dyDescent="0.35">
      <c r="B18" s="2069"/>
      <c r="C18" s="2072" t="s">
        <v>1847</v>
      </c>
      <c r="D18" s="179">
        <v>5.2525746559843763E-4</v>
      </c>
      <c r="E18" s="2073">
        <v>1.3330672934104781E-3</v>
      </c>
      <c r="F18" s="30">
        <v>1.4040396133404858E-3</v>
      </c>
    </row>
    <row r="19" spans="2:9" ht="15" customHeight="1" x14ac:dyDescent="0.25">
      <c r="B19" s="2069"/>
      <c r="C19" s="2070" t="s">
        <v>1848</v>
      </c>
      <c r="D19" s="2059">
        <v>0</v>
      </c>
      <c r="E19" s="2074">
        <v>4.7052032854445229E-3</v>
      </c>
      <c r="F19" s="2061">
        <v>0</v>
      </c>
    </row>
    <row r="20" spans="2:9" ht="18" customHeight="1" x14ac:dyDescent="0.35">
      <c r="B20" s="2069"/>
      <c r="C20" s="2072" t="s">
        <v>1849</v>
      </c>
      <c r="D20" s="179">
        <v>0</v>
      </c>
      <c r="E20" s="2075">
        <v>4.6682246945562601E-3</v>
      </c>
      <c r="F20" s="30">
        <v>0</v>
      </c>
    </row>
    <row r="21" spans="2:9" ht="18" customHeight="1" x14ac:dyDescent="0.35">
      <c r="B21" s="2069"/>
      <c r="C21" s="2072" t="s">
        <v>1850</v>
      </c>
      <c r="D21" s="179">
        <v>0</v>
      </c>
      <c r="E21" s="2075">
        <v>1.165272220521636E-5</v>
      </c>
      <c r="F21" s="30">
        <v>0</v>
      </c>
    </row>
    <row r="22" spans="2:9" ht="18" customHeight="1" x14ac:dyDescent="0.35">
      <c r="B22" s="2069"/>
      <c r="C22" s="2072" t="s">
        <v>1851</v>
      </c>
      <c r="D22" s="179">
        <v>0</v>
      </c>
      <c r="E22" s="2075">
        <v>2.5325868683045963E-5</v>
      </c>
      <c r="F22" s="30">
        <v>0</v>
      </c>
      <c r="I22" s="2057" t="s">
        <v>1852</v>
      </c>
    </row>
    <row r="23" spans="2:9" ht="15" customHeight="1" x14ac:dyDescent="0.25">
      <c r="B23" s="2069"/>
      <c r="C23" s="2070" t="s">
        <v>1853</v>
      </c>
      <c r="D23" s="179"/>
      <c r="E23" s="2073"/>
      <c r="F23" s="30"/>
    </row>
    <row r="24" spans="2:9" ht="15" customHeight="1" x14ac:dyDescent="0.25">
      <c r="B24" s="2076"/>
      <c r="C24" s="2077" t="s">
        <v>149</v>
      </c>
      <c r="D24" s="179">
        <v>10.310826910434773</v>
      </c>
      <c r="E24" s="2073">
        <v>13.309032908833277</v>
      </c>
      <c r="F24" s="30">
        <v>15.916705741925753</v>
      </c>
    </row>
    <row r="25" spans="2:9" ht="15" customHeight="1" x14ac:dyDescent="0.25">
      <c r="B25" s="2062" t="s">
        <v>153</v>
      </c>
      <c r="C25" s="2063"/>
      <c r="D25" s="2078">
        <v>16.870796954329833</v>
      </c>
      <c r="E25" s="2079">
        <v>17.000425590955349</v>
      </c>
      <c r="F25" s="2080">
        <v>18.84224894318902</v>
      </c>
    </row>
    <row r="26" spans="2:9" ht="15" customHeight="1" x14ac:dyDescent="0.25">
      <c r="B26" s="2066"/>
      <c r="C26" s="2081" t="s">
        <v>1854</v>
      </c>
      <c r="D26" s="2059">
        <v>2.9977886922530943</v>
      </c>
      <c r="E26" s="2074">
        <v>2.9565234962334581</v>
      </c>
      <c r="F26" s="2061">
        <v>4.197594934024055</v>
      </c>
    </row>
    <row r="27" spans="2:9" ht="18" customHeight="1" x14ac:dyDescent="0.35">
      <c r="B27" s="2069"/>
      <c r="C27" s="2072" t="s">
        <v>1855</v>
      </c>
      <c r="D27" s="179">
        <v>2.9761269853411139</v>
      </c>
      <c r="E27" s="2073">
        <v>2.9357259289580111</v>
      </c>
      <c r="F27" s="30">
        <v>4.1674057464580709</v>
      </c>
    </row>
    <row r="28" spans="2:9" ht="18" customHeight="1" x14ac:dyDescent="0.35">
      <c r="B28" s="2069"/>
      <c r="C28" s="2072" t="s">
        <v>1856</v>
      </c>
      <c r="D28" s="179">
        <v>7.1348289907982405E-3</v>
      </c>
      <c r="E28" s="2073">
        <v>6.4703542634723527E-3</v>
      </c>
      <c r="F28" s="30">
        <v>9.8491359212319104E-3</v>
      </c>
    </row>
    <row r="29" spans="2:9" ht="18" customHeight="1" x14ac:dyDescent="0.35">
      <c r="B29" s="2069"/>
      <c r="C29" s="2072" t="s">
        <v>1857</v>
      </c>
      <c r="D29" s="179">
        <v>1.4526877921181814E-2</v>
      </c>
      <c r="E29" s="2073">
        <v>1.4327213011974494E-2</v>
      </c>
      <c r="F29" s="30">
        <v>2.0340051644752919E-2</v>
      </c>
    </row>
    <row r="30" spans="2:9" ht="15" customHeight="1" x14ac:dyDescent="0.25">
      <c r="B30" s="2069"/>
      <c r="C30" s="2072" t="s">
        <v>1858</v>
      </c>
      <c r="D30" s="2059">
        <v>9.2104147103389131</v>
      </c>
      <c r="E30" s="2074">
        <v>9.9817454474748253</v>
      </c>
      <c r="F30" s="2061">
        <v>9.9965876161581342</v>
      </c>
    </row>
    <row r="31" spans="2:9" ht="18" customHeight="1" x14ac:dyDescent="0.35">
      <c r="B31" s="2069"/>
      <c r="C31" s="2072" t="s">
        <v>1859</v>
      </c>
      <c r="D31" s="179">
        <v>9.1880239703649558</v>
      </c>
      <c r="E31" s="2073">
        <v>9.956569199153952</v>
      </c>
      <c r="F31" s="30">
        <v>9.9716848670661307</v>
      </c>
    </row>
    <row r="32" spans="2:9" ht="18" customHeight="1" x14ac:dyDescent="0.35">
      <c r="B32" s="2069"/>
      <c r="C32" s="2072" t="s">
        <v>1860</v>
      </c>
      <c r="D32" s="179">
        <v>1.6000535456314961E-2</v>
      </c>
      <c r="E32" s="2073">
        <v>1.7805969765862278E-2</v>
      </c>
      <c r="F32" s="30">
        <v>1.7922089094710016E-2</v>
      </c>
    </row>
    <row r="33" spans="2:9" ht="18" customHeight="1" x14ac:dyDescent="0.35">
      <c r="B33" s="2069"/>
      <c r="C33" s="2072" t="s">
        <v>1861</v>
      </c>
      <c r="D33" s="179">
        <v>6.3902045176420985E-3</v>
      </c>
      <c r="E33" s="2073">
        <v>7.3702785550122255E-3</v>
      </c>
      <c r="F33" s="30">
        <v>6.9806599972935838E-3</v>
      </c>
    </row>
    <row r="34" spans="2:9" ht="15" customHeight="1" x14ac:dyDescent="0.25">
      <c r="B34" s="2069"/>
      <c r="C34" s="2072" t="s">
        <v>1862</v>
      </c>
      <c r="D34" s="2059">
        <v>4.5765247180938387</v>
      </c>
      <c r="E34" s="2074">
        <v>3.9512819473900591</v>
      </c>
      <c r="F34" s="2061">
        <v>4.5565816085388926</v>
      </c>
    </row>
    <row r="35" spans="2:9" ht="18" customHeight="1" x14ac:dyDescent="0.35">
      <c r="B35" s="2069"/>
      <c r="C35" s="2072" t="s">
        <v>1863</v>
      </c>
      <c r="D35" s="179">
        <v>4.5574772247834741</v>
      </c>
      <c r="E35" s="2073">
        <v>3.9357243119608962</v>
      </c>
      <c r="F35" s="30">
        <v>4.5275020179792955</v>
      </c>
    </row>
    <row r="36" spans="2:9" ht="18" customHeight="1" x14ac:dyDescent="0.35">
      <c r="B36" s="2069"/>
      <c r="C36" s="2072" t="s">
        <v>1864</v>
      </c>
      <c r="D36" s="179">
        <v>8.5088482807772082E-3</v>
      </c>
      <c r="E36" s="2073">
        <v>6.6581660710486584E-3</v>
      </c>
      <c r="F36" s="30">
        <v>9.2149143569085455E-3</v>
      </c>
    </row>
    <row r="37" spans="2:9" ht="18" customHeight="1" x14ac:dyDescent="0.35">
      <c r="B37" s="2069"/>
      <c r="C37" s="2072" t="s">
        <v>1865</v>
      </c>
      <c r="D37" s="179">
        <v>1.0538645029587863E-2</v>
      </c>
      <c r="E37" s="2073">
        <v>8.8994693581140073E-3</v>
      </c>
      <c r="F37" s="30">
        <v>1.9864676202688399E-2</v>
      </c>
    </row>
    <row r="38" spans="2:9" ht="15" customHeight="1" x14ac:dyDescent="0.25">
      <c r="B38" s="2069"/>
      <c r="C38" s="2072" t="s">
        <v>1866</v>
      </c>
      <c r="D38" s="2059">
        <v>8.6068833643987333E-2</v>
      </c>
      <c r="E38" s="2074">
        <v>0.11087469985700518</v>
      </c>
      <c r="F38" s="2061">
        <v>9.1484784467937327E-2</v>
      </c>
    </row>
    <row r="39" spans="2:9" ht="18" customHeight="1" x14ac:dyDescent="0.35">
      <c r="B39" s="2069"/>
      <c r="C39" s="2072" t="s">
        <v>1867</v>
      </c>
      <c r="D39" s="179">
        <v>0</v>
      </c>
      <c r="E39" s="2075">
        <v>0</v>
      </c>
      <c r="F39" s="30">
        <v>0</v>
      </c>
    </row>
    <row r="40" spans="2:9" ht="18" customHeight="1" x14ac:dyDescent="0.35">
      <c r="B40" s="2069"/>
      <c r="C40" s="2072" t="s">
        <v>1868</v>
      </c>
      <c r="D40" s="179">
        <v>6.1142771997801576E-2</v>
      </c>
      <c r="E40" s="2073">
        <v>8.1869158886662644E-2</v>
      </c>
      <c r="F40" s="30">
        <v>6.7513097504323313E-2</v>
      </c>
    </row>
    <row r="41" spans="2:9" ht="18" customHeight="1" x14ac:dyDescent="0.35">
      <c r="B41" s="2076"/>
      <c r="C41" s="2082" t="s">
        <v>1869</v>
      </c>
      <c r="D41" s="179">
        <v>2.4926061646185754E-2</v>
      </c>
      <c r="E41" s="2073">
        <v>2.9005540970342532E-2</v>
      </c>
      <c r="F41" s="30">
        <v>2.3971686963614021E-2</v>
      </c>
    </row>
    <row r="42" spans="2:9" ht="15" customHeight="1" x14ac:dyDescent="0.25">
      <c r="B42" s="2062" t="s">
        <v>207</v>
      </c>
      <c r="C42" s="2063"/>
      <c r="D42" s="2083">
        <v>35.471593879185441</v>
      </c>
      <c r="E42" s="2079">
        <v>35.269544157212074</v>
      </c>
      <c r="F42" s="2084">
        <v>46.78388945370331</v>
      </c>
    </row>
    <row r="43" spans="2:9" ht="15" customHeight="1" x14ac:dyDescent="0.25">
      <c r="B43" s="2066"/>
      <c r="C43" s="2081" t="s">
        <v>211</v>
      </c>
      <c r="D43" s="2059">
        <v>23.759499999999999</v>
      </c>
      <c r="E43" s="2074">
        <v>22.526256286619397</v>
      </c>
      <c r="F43" s="2061">
        <v>30.709353745791244</v>
      </c>
    </row>
    <row r="44" spans="2:9" ht="18" customHeight="1" x14ac:dyDescent="0.35">
      <c r="B44" s="2069"/>
      <c r="C44" s="2072" t="s">
        <v>1870</v>
      </c>
      <c r="D44" s="179">
        <v>23.195</v>
      </c>
      <c r="E44" s="2073">
        <v>22.519055143367485</v>
      </c>
      <c r="F44" s="30">
        <v>29.979732744107743</v>
      </c>
    </row>
    <row r="45" spans="2:9" ht="19.5" customHeight="1" x14ac:dyDescent="0.35">
      <c r="B45" s="2069"/>
      <c r="C45" s="2072" t="s">
        <v>1871</v>
      </c>
      <c r="D45" s="179">
        <v>4.6199999999999998E-2</v>
      </c>
      <c r="E45" s="2073">
        <v>6.3658375800336757E-3</v>
      </c>
      <c r="F45" s="30">
        <v>5.9713888888888879E-2</v>
      </c>
      <c r="I45" s="2085" t="s">
        <v>1872</v>
      </c>
    </row>
    <row r="46" spans="2:9" ht="18" customHeight="1" x14ac:dyDescent="0.35">
      <c r="B46" s="2069"/>
      <c r="C46" s="2072" t="s">
        <v>1873</v>
      </c>
      <c r="D46" s="179">
        <v>0.51829999999999998</v>
      </c>
      <c r="E46" s="2073">
        <v>8.3530567187743471E-4</v>
      </c>
      <c r="F46" s="30">
        <v>0.66990711279461268</v>
      </c>
    </row>
    <row r="47" spans="2:9" ht="15" customHeight="1" x14ac:dyDescent="0.25">
      <c r="B47" s="2069"/>
      <c r="C47" s="2072" t="s">
        <v>224</v>
      </c>
      <c r="D47" s="2059">
        <v>1.0441175460536907</v>
      </c>
      <c r="E47" s="2074">
        <v>2.7366303275114334</v>
      </c>
      <c r="F47" s="2061">
        <v>1.0638304392432043</v>
      </c>
    </row>
    <row r="48" spans="2:9" ht="18" customHeight="1" x14ac:dyDescent="0.35">
      <c r="B48" s="2069"/>
      <c r="C48" s="2072" t="s">
        <v>1874</v>
      </c>
      <c r="D48" s="179">
        <v>1.0395505155055149</v>
      </c>
      <c r="E48" s="2073">
        <v>2.7318932899032262</v>
      </c>
      <c r="F48" s="30">
        <v>1.0590100762313017</v>
      </c>
    </row>
    <row r="49" spans="2:6" ht="18" customHeight="1" x14ac:dyDescent="0.35">
      <c r="B49" s="2069"/>
      <c r="C49" s="2072" t="s">
        <v>1875</v>
      </c>
      <c r="D49" s="179">
        <v>9.2045473829539511E-4</v>
      </c>
      <c r="E49" s="2073">
        <v>9.4504836825138586E-4</v>
      </c>
      <c r="F49" s="30">
        <v>9.9654921398846237E-4</v>
      </c>
    </row>
    <row r="50" spans="2:6" ht="18" customHeight="1" x14ac:dyDescent="0.35">
      <c r="B50" s="2069"/>
      <c r="C50" s="2072" t="s">
        <v>1876</v>
      </c>
      <c r="D50" s="179">
        <v>3.6465758098802653E-3</v>
      </c>
      <c r="E50" s="2073">
        <v>3.7919892399557601E-3</v>
      </c>
      <c r="F50" s="30">
        <v>3.8238137979139937E-3</v>
      </c>
    </row>
    <row r="51" spans="2:6" ht="15" customHeight="1" x14ac:dyDescent="0.25">
      <c r="B51" s="2069"/>
      <c r="C51" s="2072" t="s">
        <v>235</v>
      </c>
      <c r="D51" s="2059">
        <v>5.9103000000000003</v>
      </c>
      <c r="E51" s="2074">
        <v>5.7208194133124737</v>
      </c>
      <c r="F51" s="2061">
        <v>7.880399999999999</v>
      </c>
    </row>
    <row r="52" spans="2:6" ht="18" customHeight="1" x14ac:dyDescent="0.35">
      <c r="B52" s="2069"/>
      <c r="C52" s="2072" t="s">
        <v>1877</v>
      </c>
      <c r="D52" s="179">
        <v>5.907</v>
      </c>
      <c r="E52" s="2073">
        <v>5.720528738777328</v>
      </c>
      <c r="F52" s="30">
        <v>7.8759999999999994</v>
      </c>
    </row>
    <row r="53" spans="2:6" ht="18" customHeight="1" x14ac:dyDescent="0.35">
      <c r="B53" s="2069"/>
      <c r="C53" s="2072" t="s">
        <v>1878</v>
      </c>
      <c r="D53" s="179">
        <v>2.9999999999999997E-4</v>
      </c>
      <c r="E53" s="2073">
        <v>8.1483343282146977E-5</v>
      </c>
      <c r="F53" s="30">
        <v>3.9999999999999996E-4</v>
      </c>
    </row>
    <row r="54" spans="2:6" ht="18" customHeight="1" x14ac:dyDescent="0.35">
      <c r="B54" s="2069"/>
      <c r="C54" s="2072" t="s">
        <v>1879</v>
      </c>
      <c r="D54" s="179">
        <v>3.0000000000000001E-3</v>
      </c>
      <c r="E54" s="2073">
        <v>2.0919119186306885E-4</v>
      </c>
      <c r="F54" s="30">
        <v>4.0000000000000001E-3</v>
      </c>
    </row>
    <row r="55" spans="2:6" ht="15" customHeight="1" x14ac:dyDescent="0.25">
      <c r="B55" s="2069"/>
      <c r="C55" s="2072" t="s">
        <v>244</v>
      </c>
      <c r="D55" s="2059">
        <v>1.5039261744604842</v>
      </c>
      <c r="E55" s="2074">
        <v>2.1557779984574936</v>
      </c>
      <c r="F55" s="2061">
        <v>1.8498913711038303</v>
      </c>
    </row>
    <row r="56" spans="2:6" ht="18" customHeight="1" x14ac:dyDescent="0.35">
      <c r="B56" s="2069"/>
      <c r="C56" s="2072" t="s">
        <v>1880</v>
      </c>
      <c r="D56" s="179">
        <v>1.4880829330956415</v>
      </c>
      <c r="E56" s="2073">
        <v>2.133145964549084</v>
      </c>
      <c r="F56" s="30">
        <v>1.8303526648197068</v>
      </c>
    </row>
    <row r="57" spans="2:6" ht="18" customHeight="1" x14ac:dyDescent="0.35">
      <c r="B57" s="2069"/>
      <c r="C57" s="2072" t="s">
        <v>1881</v>
      </c>
      <c r="D57" s="179">
        <v>4.2214091255211575E-3</v>
      </c>
      <c r="E57" s="2073">
        <v>6.1550960045122817E-3</v>
      </c>
      <c r="F57" s="30">
        <v>5.2437693983964466E-3</v>
      </c>
    </row>
    <row r="58" spans="2:6" ht="18" customHeight="1" x14ac:dyDescent="0.35">
      <c r="B58" s="2069"/>
      <c r="C58" s="2072" t="s">
        <v>1882</v>
      </c>
      <c r="D58" s="179">
        <v>1.1621832239321506E-2</v>
      </c>
      <c r="E58" s="2073">
        <v>1.6476937903896961E-2</v>
      </c>
      <c r="F58" s="30">
        <v>1.4294936885726995E-2</v>
      </c>
    </row>
    <row r="59" spans="2:6" ht="15" customHeight="1" x14ac:dyDescent="0.25">
      <c r="B59" s="2069"/>
      <c r="C59" s="2072" t="s">
        <v>250</v>
      </c>
      <c r="D59" s="2059">
        <v>0.23883958927046617</v>
      </c>
      <c r="E59" s="2074">
        <v>0.1870394264761171</v>
      </c>
      <c r="F59" s="2061">
        <v>0.29730034118358406</v>
      </c>
    </row>
    <row r="60" spans="2:6" ht="18" customHeight="1" x14ac:dyDescent="0.35">
      <c r="B60" s="2069"/>
      <c r="C60" s="2072" t="s">
        <v>1883</v>
      </c>
      <c r="D60" s="179">
        <v>0.23660057910605095</v>
      </c>
      <c r="E60" s="2073">
        <v>0.18530507924942111</v>
      </c>
      <c r="F60" s="30">
        <v>0.29451328863577403</v>
      </c>
    </row>
    <row r="61" spans="2:6" ht="18" customHeight="1" x14ac:dyDescent="0.35">
      <c r="B61" s="2069"/>
      <c r="C61" s="2072" t="s">
        <v>1884</v>
      </c>
      <c r="D61" s="179">
        <v>3.9117482073809992E-4</v>
      </c>
      <c r="E61" s="2073">
        <v>3.0300575507999995E-4</v>
      </c>
      <c r="F61" s="30">
        <v>4.8692265810325243E-4</v>
      </c>
    </row>
    <row r="62" spans="2:6" ht="18" customHeight="1" x14ac:dyDescent="0.35">
      <c r="B62" s="2069"/>
      <c r="C62" s="2072" t="s">
        <v>1885</v>
      </c>
      <c r="D62" s="179">
        <v>1.8478353436771201E-3</v>
      </c>
      <c r="E62" s="2073">
        <v>1.4313414716159998E-3</v>
      </c>
      <c r="F62" s="30">
        <v>2.3001298897067932E-3</v>
      </c>
    </row>
    <row r="63" spans="2:6" ht="15" customHeight="1" x14ac:dyDescent="0.25">
      <c r="B63" s="2069"/>
      <c r="C63" s="2072" t="s">
        <v>258</v>
      </c>
      <c r="D63" s="2059">
        <v>0.99763614870009376</v>
      </c>
      <c r="E63" s="2074">
        <v>0.35394885750021793</v>
      </c>
      <c r="F63" s="2061">
        <v>1.7459706655385421</v>
      </c>
    </row>
    <row r="64" spans="2:6" ht="18" customHeight="1" x14ac:dyDescent="0.35">
      <c r="B64" s="2069"/>
      <c r="C64" s="2072" t="s">
        <v>1886</v>
      </c>
      <c r="D64" s="179">
        <v>0.98859813830762433</v>
      </c>
      <c r="E64" s="2073">
        <v>0.35066338940802455</v>
      </c>
      <c r="F64" s="30">
        <v>1.7301531743212828</v>
      </c>
    </row>
    <row r="65" spans="2:6" ht="18" customHeight="1" x14ac:dyDescent="0.35">
      <c r="B65" s="2069"/>
      <c r="C65" s="2072" t="s">
        <v>1887</v>
      </c>
      <c r="D65" s="179">
        <v>1.4732902529742519E-3</v>
      </c>
      <c r="E65" s="2073">
        <v>5.3556567280776003E-4</v>
      </c>
      <c r="F65" s="30">
        <v>2.578416556846503E-3</v>
      </c>
    </row>
    <row r="66" spans="2:6" ht="18" customHeight="1" x14ac:dyDescent="0.35">
      <c r="B66" s="2069"/>
      <c r="C66" s="2072" t="s">
        <v>1888</v>
      </c>
      <c r="D66" s="179">
        <v>7.5647201394951225E-3</v>
      </c>
      <c r="E66" s="2073">
        <v>2.7499024193855998E-3</v>
      </c>
      <c r="F66" s="30">
        <v>1.3239074660412685E-2</v>
      </c>
    </row>
    <row r="67" spans="2:6" ht="15" customHeight="1" x14ac:dyDescent="0.25">
      <c r="B67" s="2069"/>
      <c r="C67" s="2072" t="s">
        <v>268</v>
      </c>
      <c r="D67" s="2059">
        <v>0.29595514575746695</v>
      </c>
      <c r="E67" s="2074">
        <v>0.45504484889968855</v>
      </c>
      <c r="F67" s="2061">
        <v>0.47492254215189089</v>
      </c>
    </row>
    <row r="68" spans="2:6" ht="18" customHeight="1" x14ac:dyDescent="0.35">
      <c r="B68" s="2069"/>
      <c r="C68" s="2072" t="s">
        <v>1889</v>
      </c>
      <c r="D68" s="179">
        <v>0.29595514575746695</v>
      </c>
      <c r="E68" s="2073">
        <v>0.45504484889968855</v>
      </c>
      <c r="F68" s="30">
        <v>0.47492254215189089</v>
      </c>
    </row>
    <row r="69" spans="2:6" ht="18" customHeight="1" x14ac:dyDescent="0.35">
      <c r="B69" s="2069"/>
      <c r="C69" s="2072" t="s">
        <v>1890</v>
      </c>
      <c r="D69" s="179">
        <v>0</v>
      </c>
      <c r="E69" s="2086">
        <v>0</v>
      </c>
      <c r="F69" s="30">
        <v>0</v>
      </c>
    </row>
    <row r="70" spans="2:6" ht="18" customHeight="1" x14ac:dyDescent="0.35">
      <c r="B70" s="2069"/>
      <c r="C70" s="2072" t="s">
        <v>1891</v>
      </c>
      <c r="D70" s="179">
        <v>0</v>
      </c>
      <c r="E70" s="2086">
        <v>0</v>
      </c>
      <c r="F70" s="30">
        <v>0</v>
      </c>
    </row>
    <row r="71" spans="2:6" ht="15" customHeight="1" x14ac:dyDescent="0.25">
      <c r="B71" s="2069"/>
      <c r="C71" s="2072" t="s">
        <v>272</v>
      </c>
      <c r="D71" s="2059">
        <v>1.7213192749432313</v>
      </c>
      <c r="E71" s="2074">
        <v>1.1340269984352445</v>
      </c>
      <c r="F71" s="2061">
        <v>2.76222034869101</v>
      </c>
    </row>
    <row r="72" spans="2:6" ht="18" customHeight="1" x14ac:dyDescent="0.35">
      <c r="B72" s="2069"/>
      <c r="C72" s="2072" t="s">
        <v>1892</v>
      </c>
      <c r="D72" s="179">
        <v>1.7033436072509349</v>
      </c>
      <c r="E72" s="2073">
        <v>1.1225113202933246</v>
      </c>
      <c r="F72" s="30">
        <v>2.7333745931105375</v>
      </c>
    </row>
    <row r="73" spans="2:6" ht="18" customHeight="1" x14ac:dyDescent="0.35">
      <c r="B73" s="2069"/>
      <c r="C73" s="2072" t="s">
        <v>1893</v>
      </c>
      <c r="D73" s="179">
        <v>1.6260244486223973E-3</v>
      </c>
      <c r="E73" s="2073">
        <v>8.8239814992000019E-4</v>
      </c>
      <c r="F73" s="30">
        <v>2.6092996719635246E-3</v>
      </c>
    </row>
    <row r="74" spans="2:6" ht="18" customHeight="1" x14ac:dyDescent="0.35">
      <c r="B74" s="2076"/>
      <c r="C74" s="2082" t="s">
        <v>1894</v>
      </c>
      <c r="D74" s="179">
        <v>1.6349643243674026E-2</v>
      </c>
      <c r="E74" s="2073">
        <v>1.0633279991999998E-2</v>
      </c>
      <c r="F74" s="30">
        <v>2.6236455908509065E-2</v>
      </c>
    </row>
    <row r="75" spans="2:6" ht="15" customHeight="1" x14ac:dyDescent="0.25">
      <c r="B75" s="2062" t="s">
        <v>292</v>
      </c>
      <c r="C75" s="2063"/>
      <c r="D75" s="2083">
        <v>0.94188463845227166</v>
      </c>
      <c r="E75" s="2079">
        <v>0.83609220289311492</v>
      </c>
      <c r="F75" s="2084">
        <v>0.92368868344346611</v>
      </c>
    </row>
    <row r="76" spans="2:6" ht="15" customHeight="1" x14ac:dyDescent="0.25">
      <c r="B76" s="2066"/>
      <c r="C76" s="2081" t="s">
        <v>1895</v>
      </c>
      <c r="D76" s="2059">
        <v>0.81153636654107164</v>
      </c>
      <c r="E76" s="2074">
        <v>0.69429473534991493</v>
      </c>
      <c r="F76" s="2061">
        <v>0.79334041153255652</v>
      </c>
    </row>
    <row r="77" spans="2:6" ht="18" customHeight="1" x14ac:dyDescent="0.35">
      <c r="B77" s="2069"/>
      <c r="C77" s="2072" t="s">
        <v>1896</v>
      </c>
      <c r="D77" s="179">
        <v>1.286356102429063E-4</v>
      </c>
      <c r="E77" s="2073">
        <v>3.271486645917849E-4</v>
      </c>
      <c r="F77" s="30">
        <v>1.2575139226700816E-4</v>
      </c>
    </row>
    <row r="78" spans="2:6" ht="18" customHeight="1" x14ac:dyDescent="0.35">
      <c r="B78" s="2069"/>
      <c r="C78" s="2072" t="s">
        <v>1897</v>
      </c>
      <c r="D78" s="179">
        <v>0.81133629419025521</v>
      </c>
      <c r="E78" s="2073">
        <v>0.69378590733356893</v>
      </c>
      <c r="F78" s="30">
        <v>0.79314482512672535</v>
      </c>
    </row>
    <row r="79" spans="2:6" ht="18" customHeight="1" x14ac:dyDescent="0.35">
      <c r="B79" s="2069"/>
      <c r="C79" s="2072" t="s">
        <v>1898</v>
      </c>
      <c r="D79" s="179">
        <v>7.1436740573558788E-5</v>
      </c>
      <c r="E79" s="2073">
        <v>1.8167935175414089E-4</v>
      </c>
      <c r="F79" s="30">
        <v>6.9835013564119024E-5</v>
      </c>
    </row>
    <row r="80" spans="2:6" ht="15" customHeight="1" x14ac:dyDescent="0.25">
      <c r="B80" s="2069"/>
      <c r="C80" s="2072" t="s">
        <v>1899</v>
      </c>
      <c r="D80" s="2059">
        <v>0</v>
      </c>
      <c r="E80" s="2074">
        <v>0</v>
      </c>
      <c r="F80" s="2061">
        <v>0</v>
      </c>
    </row>
    <row r="81" spans="2:6" ht="18" customHeight="1" x14ac:dyDescent="0.35">
      <c r="B81" s="2069"/>
      <c r="C81" s="2072" t="s">
        <v>1900</v>
      </c>
      <c r="D81" s="179">
        <v>0</v>
      </c>
      <c r="E81" s="2073">
        <v>0</v>
      </c>
      <c r="F81" s="30">
        <v>0</v>
      </c>
    </row>
    <row r="82" spans="2:6" ht="18" customHeight="1" x14ac:dyDescent="0.35">
      <c r="B82" s="2069"/>
      <c r="C82" s="2072" t="s">
        <v>1901</v>
      </c>
      <c r="D82" s="179">
        <v>0</v>
      </c>
      <c r="E82" s="2073">
        <v>0</v>
      </c>
      <c r="F82" s="30">
        <v>0</v>
      </c>
    </row>
    <row r="83" spans="2:6" ht="18" customHeight="1" x14ac:dyDescent="0.35">
      <c r="B83" s="2069"/>
      <c r="C83" s="2072" t="s">
        <v>1902</v>
      </c>
      <c r="D83" s="179">
        <v>0</v>
      </c>
      <c r="E83" s="2073">
        <v>0</v>
      </c>
      <c r="F83" s="30">
        <v>0</v>
      </c>
    </row>
    <row r="84" spans="2:6" ht="15" customHeight="1" x14ac:dyDescent="0.25">
      <c r="B84" s="2069"/>
      <c r="C84" s="2072" t="s">
        <v>1903</v>
      </c>
      <c r="D84" s="2059">
        <v>0.13034827191119999</v>
      </c>
      <c r="E84" s="2074">
        <v>0.14179746754319997</v>
      </c>
      <c r="F84" s="2061">
        <v>0.13034827191090953</v>
      </c>
    </row>
    <row r="85" spans="2:6" ht="18" customHeight="1" x14ac:dyDescent="0.35">
      <c r="B85" s="2069"/>
      <c r="C85" s="2072" t="s">
        <v>1904</v>
      </c>
      <c r="D85" s="179">
        <v>0</v>
      </c>
      <c r="E85" s="2073">
        <v>0</v>
      </c>
      <c r="F85" s="30">
        <v>0</v>
      </c>
    </row>
    <row r="86" spans="2:6" ht="18" customHeight="1" x14ac:dyDescent="0.35">
      <c r="B86" s="2069"/>
      <c r="C86" s="2072" t="s">
        <v>1905</v>
      </c>
      <c r="D86" s="179">
        <v>0.13034827191119999</v>
      </c>
      <c r="E86" s="2073">
        <v>0.14179746754319997</v>
      </c>
      <c r="F86" s="30">
        <v>0.13034827191090953</v>
      </c>
    </row>
    <row r="87" spans="2:6" ht="18" customHeight="1" x14ac:dyDescent="0.35">
      <c r="B87" s="2076"/>
      <c r="C87" s="2082" t="s">
        <v>1906</v>
      </c>
      <c r="D87" s="179">
        <v>0</v>
      </c>
      <c r="E87" s="2073">
        <v>0</v>
      </c>
      <c r="F87" s="30">
        <v>0</v>
      </c>
    </row>
    <row r="88" spans="2:6" ht="15" customHeight="1" x14ac:dyDescent="0.25">
      <c r="B88" s="57" t="s">
        <v>1907</v>
      </c>
      <c r="C88" s="2087"/>
      <c r="D88" s="2083">
        <v>7.4410423344781096</v>
      </c>
      <c r="E88" s="2088">
        <v>4.3985727448193961</v>
      </c>
      <c r="F88" s="2084">
        <v>10.244740524234293</v>
      </c>
    </row>
    <row r="89" spans="2:6" ht="15" customHeight="1" x14ac:dyDescent="0.25">
      <c r="B89" s="2066"/>
      <c r="C89" s="2067" t="s">
        <v>1908</v>
      </c>
      <c r="D89" s="2059">
        <v>1.4832417277099998</v>
      </c>
      <c r="E89" s="2074">
        <v>0.91825561308231174</v>
      </c>
      <c r="F89" s="2061">
        <v>2.0921304477375937</v>
      </c>
    </row>
    <row r="90" spans="2:6" ht="18" customHeight="1" x14ac:dyDescent="0.35">
      <c r="B90" s="2069"/>
      <c r="C90" s="2072" t="s">
        <v>1909</v>
      </c>
      <c r="D90" s="179">
        <v>1.4832417277099998</v>
      </c>
      <c r="E90" s="2073">
        <v>0.91825561308231174</v>
      </c>
      <c r="F90" s="30">
        <v>2.0921304477375937</v>
      </c>
    </row>
    <row r="91" spans="2:6" ht="18" customHeight="1" x14ac:dyDescent="0.35">
      <c r="B91" s="2069"/>
      <c r="C91" s="2072" t="s">
        <v>1910</v>
      </c>
      <c r="D91" s="179">
        <v>0</v>
      </c>
      <c r="E91" s="2073">
        <v>0</v>
      </c>
      <c r="F91" s="30">
        <v>0</v>
      </c>
    </row>
    <row r="92" spans="2:6" ht="18" customHeight="1" x14ac:dyDescent="0.35">
      <c r="B92" s="2069"/>
      <c r="C92" s="2072" t="s">
        <v>1911</v>
      </c>
      <c r="D92" s="179">
        <v>0</v>
      </c>
      <c r="E92" s="2073">
        <v>0</v>
      </c>
      <c r="F92" s="30">
        <v>0</v>
      </c>
    </row>
    <row r="93" spans="2:6" ht="15" customHeight="1" x14ac:dyDescent="0.25">
      <c r="B93" s="2069"/>
      <c r="C93" s="2089" t="s">
        <v>1912</v>
      </c>
      <c r="D93" s="2059">
        <v>0.11394119158533558</v>
      </c>
      <c r="E93" s="2074">
        <v>8.5604639999999996E-2</v>
      </c>
      <c r="F93" s="2061">
        <v>0.21205362527016922</v>
      </c>
    </row>
    <row r="94" spans="2:6" ht="18" customHeight="1" x14ac:dyDescent="0.35">
      <c r="B94" s="2069"/>
      <c r="C94" s="2072" t="s">
        <v>1913</v>
      </c>
      <c r="D94" s="179">
        <v>0.11394119158533558</v>
      </c>
      <c r="E94" s="2073">
        <v>8.5604639999999996E-2</v>
      </c>
      <c r="F94" s="30">
        <v>0.21205362527016922</v>
      </c>
    </row>
    <row r="95" spans="2:6" ht="18" customHeight="1" x14ac:dyDescent="0.35">
      <c r="B95" s="2069"/>
      <c r="C95" s="2072" t="s">
        <v>1914</v>
      </c>
      <c r="D95" s="179">
        <v>0</v>
      </c>
      <c r="E95" s="2073">
        <v>0</v>
      </c>
      <c r="F95" s="30">
        <v>0</v>
      </c>
    </row>
    <row r="96" spans="2:6" ht="18" customHeight="1" x14ac:dyDescent="0.35">
      <c r="B96" s="2069"/>
      <c r="C96" s="2072" t="s">
        <v>1915</v>
      </c>
      <c r="D96" s="179">
        <v>0</v>
      </c>
      <c r="E96" s="2073">
        <v>0</v>
      </c>
      <c r="F96" s="30">
        <v>0</v>
      </c>
    </row>
    <row r="97" spans="2:6" ht="15" customHeight="1" x14ac:dyDescent="0.25">
      <c r="B97" s="2069"/>
      <c r="C97" s="2089" t="s">
        <v>1916</v>
      </c>
      <c r="D97" s="2059">
        <v>4.7611020076877966E-2</v>
      </c>
      <c r="E97" s="2074">
        <v>4.0365128549999997E-2</v>
      </c>
      <c r="F97" s="2061">
        <v>4.7600366597536865E-2</v>
      </c>
    </row>
    <row r="98" spans="2:6" ht="18" customHeight="1" x14ac:dyDescent="0.35">
      <c r="B98" s="2069"/>
      <c r="C98" s="2072" t="s">
        <v>1917</v>
      </c>
      <c r="D98" s="179">
        <v>4.7611020076877966E-2</v>
      </c>
      <c r="E98" s="2073">
        <v>4.0365128549999997E-2</v>
      </c>
      <c r="F98" s="30">
        <v>4.7600366597536865E-2</v>
      </c>
    </row>
    <row r="99" spans="2:6" ht="18" customHeight="1" x14ac:dyDescent="0.35">
      <c r="B99" s="2069"/>
      <c r="C99" s="2072" t="s">
        <v>1918</v>
      </c>
      <c r="D99" s="179">
        <v>0</v>
      </c>
      <c r="E99" s="2073">
        <v>0</v>
      </c>
      <c r="F99" s="30">
        <v>0</v>
      </c>
    </row>
    <row r="100" spans="2:6" ht="18" customHeight="1" x14ac:dyDescent="0.35">
      <c r="B100" s="2069"/>
      <c r="C100" s="2072" t="s">
        <v>1919</v>
      </c>
      <c r="D100" s="179">
        <v>0</v>
      </c>
      <c r="E100" s="2073">
        <v>0</v>
      </c>
      <c r="F100" s="30">
        <v>0</v>
      </c>
    </row>
    <row r="101" spans="2:6" ht="15" customHeight="1" x14ac:dyDescent="0.25">
      <c r="B101" s="2069"/>
      <c r="C101" s="2089" t="s">
        <v>1920</v>
      </c>
      <c r="D101" s="2059">
        <v>3.5971163869434326</v>
      </c>
      <c r="E101" s="2074">
        <v>0.90971243984396266</v>
      </c>
      <c r="F101" s="2061">
        <v>3.8514285439815463</v>
      </c>
    </row>
    <row r="102" spans="2:6" ht="18" customHeight="1" x14ac:dyDescent="0.35">
      <c r="B102" s="2069"/>
      <c r="C102" s="2072" t="s">
        <v>1921</v>
      </c>
      <c r="D102" s="179">
        <v>3.5971163869434326</v>
      </c>
      <c r="E102" s="2073">
        <v>0.90971243984396266</v>
      </c>
      <c r="F102" s="30">
        <v>3.8514285439815463</v>
      </c>
    </row>
    <row r="103" spans="2:6" ht="18" customHeight="1" x14ac:dyDescent="0.35">
      <c r="B103" s="2069"/>
      <c r="C103" s="2072" t="s">
        <v>1922</v>
      </c>
      <c r="D103" s="179">
        <v>0</v>
      </c>
      <c r="E103" s="2073">
        <v>0</v>
      </c>
      <c r="F103" s="30">
        <v>0</v>
      </c>
    </row>
    <row r="104" spans="2:6" ht="18" customHeight="1" x14ac:dyDescent="0.35">
      <c r="B104" s="2069"/>
      <c r="C104" s="2072" t="s">
        <v>1923</v>
      </c>
      <c r="D104" s="179">
        <v>0</v>
      </c>
      <c r="E104" s="2073">
        <v>0</v>
      </c>
      <c r="F104" s="30">
        <v>0</v>
      </c>
    </row>
    <row r="105" spans="2:6" ht="15" customHeight="1" x14ac:dyDescent="0.25">
      <c r="B105" s="2069"/>
      <c r="C105" s="2089" t="s">
        <v>1924</v>
      </c>
      <c r="D105" s="2059">
        <v>1.9712824418788801</v>
      </c>
      <c r="E105" s="2074">
        <v>2.2763837333431209</v>
      </c>
      <c r="F105" s="2061">
        <v>4.0415275406474471</v>
      </c>
    </row>
    <row r="106" spans="2:6" ht="18" customHeight="1" x14ac:dyDescent="0.35">
      <c r="B106" s="2069"/>
      <c r="C106" s="2072" t="s">
        <v>1925</v>
      </c>
      <c r="D106" s="179">
        <v>0</v>
      </c>
      <c r="E106" s="2073">
        <v>0</v>
      </c>
      <c r="F106" s="30">
        <v>0</v>
      </c>
    </row>
    <row r="107" spans="2:6" ht="18" customHeight="1" x14ac:dyDescent="0.35">
      <c r="B107" s="2069"/>
      <c r="C107" s="2072" t="s">
        <v>1926</v>
      </c>
      <c r="D107" s="179">
        <v>0</v>
      </c>
      <c r="E107" s="2073">
        <v>0</v>
      </c>
      <c r="F107" s="30">
        <v>0</v>
      </c>
    </row>
    <row r="108" spans="2:6" ht="18" customHeight="1" x14ac:dyDescent="0.35">
      <c r="B108" s="2069"/>
      <c r="C108" s="2072" t="s">
        <v>1927</v>
      </c>
      <c r="D108" s="179">
        <v>1.9712824418788801</v>
      </c>
      <c r="E108" s="2073">
        <v>2.2763837333431209</v>
      </c>
      <c r="F108" s="30">
        <v>4.0415275406474471</v>
      </c>
    </row>
    <row r="109" spans="2:6" ht="15" customHeight="1" x14ac:dyDescent="0.25">
      <c r="B109" s="2069"/>
      <c r="C109" s="2089" t="s">
        <v>1928</v>
      </c>
      <c r="D109" s="2059">
        <v>0.22722258548660304</v>
      </c>
      <c r="E109" s="2074">
        <v>0.16730000000000003</v>
      </c>
      <c r="F109" s="2061">
        <v>0</v>
      </c>
    </row>
    <row r="110" spans="2:6" ht="18" customHeight="1" x14ac:dyDescent="0.35">
      <c r="B110" s="2069"/>
      <c r="C110" s="2072" t="s">
        <v>1929</v>
      </c>
      <c r="D110" s="179">
        <v>0</v>
      </c>
      <c r="E110" s="2073">
        <v>0</v>
      </c>
      <c r="F110" s="30">
        <v>0</v>
      </c>
    </row>
    <row r="111" spans="2:6" ht="18" customHeight="1" x14ac:dyDescent="0.35">
      <c r="B111" s="2069"/>
      <c r="C111" s="2072" t="s">
        <v>1930</v>
      </c>
      <c r="D111" s="179">
        <v>0</v>
      </c>
      <c r="E111" s="2073">
        <v>0</v>
      </c>
      <c r="F111" s="30">
        <v>0</v>
      </c>
    </row>
    <row r="112" spans="2:6" ht="18" customHeight="1" x14ac:dyDescent="0.35">
      <c r="B112" s="2069"/>
      <c r="C112" s="2072" t="s">
        <v>1931</v>
      </c>
      <c r="D112" s="179">
        <v>0.22722258548660304</v>
      </c>
      <c r="E112" s="2073">
        <v>0.16730000000000003</v>
      </c>
      <c r="F112" s="30">
        <v>0</v>
      </c>
    </row>
    <row r="113" spans="2:6" ht="15" customHeight="1" x14ac:dyDescent="0.25">
      <c r="B113" s="2069"/>
      <c r="C113" s="2089" t="s">
        <v>1932</v>
      </c>
      <c r="D113" s="2059">
        <v>0</v>
      </c>
      <c r="E113" s="2074">
        <v>0</v>
      </c>
      <c r="F113" s="2061">
        <v>0</v>
      </c>
    </row>
    <row r="114" spans="2:6" ht="18" customHeight="1" x14ac:dyDescent="0.35">
      <c r="B114" s="2069"/>
      <c r="C114" s="2072" t="s">
        <v>1933</v>
      </c>
      <c r="D114" s="179">
        <v>0</v>
      </c>
      <c r="E114" s="2073">
        <v>0</v>
      </c>
      <c r="F114" s="30">
        <v>0</v>
      </c>
    </row>
    <row r="115" spans="2:6" ht="18" customHeight="1" x14ac:dyDescent="0.35">
      <c r="B115" s="2069"/>
      <c r="C115" s="2072" t="s">
        <v>1934</v>
      </c>
      <c r="D115" s="179">
        <v>0</v>
      </c>
      <c r="E115" s="2073">
        <v>0</v>
      </c>
      <c r="F115" s="30">
        <v>0</v>
      </c>
    </row>
    <row r="116" spans="2:6" ht="18" customHeight="1" x14ac:dyDescent="0.35">
      <c r="B116" s="2069"/>
      <c r="C116" s="2072" t="s">
        <v>1935</v>
      </c>
      <c r="D116" s="179">
        <v>0</v>
      </c>
      <c r="E116" s="2073">
        <v>0</v>
      </c>
      <c r="F116" s="30">
        <v>0</v>
      </c>
    </row>
    <row r="117" spans="2:6" ht="15" customHeight="1" x14ac:dyDescent="0.25">
      <c r="B117" s="2069"/>
      <c r="C117" s="2089" t="s">
        <v>1936</v>
      </c>
      <c r="D117" s="2059">
        <v>6.2698079697975711E-4</v>
      </c>
      <c r="E117" s="2074">
        <v>9.5118999999999998E-4</v>
      </c>
      <c r="F117" s="2061">
        <v>1.5532448642384042E-3</v>
      </c>
    </row>
    <row r="118" spans="2:6" ht="18" customHeight="1" x14ac:dyDescent="0.35">
      <c r="B118" s="2069"/>
      <c r="C118" s="2072" t="s">
        <v>1937</v>
      </c>
      <c r="D118" s="179">
        <v>6.2698079697975711E-4</v>
      </c>
      <c r="E118" s="2073">
        <v>9.5118999999999998E-4</v>
      </c>
      <c r="F118" s="30">
        <v>1.5532448642384042E-3</v>
      </c>
    </row>
    <row r="119" spans="2:6" ht="18" customHeight="1" x14ac:dyDescent="0.35">
      <c r="B119" s="2069"/>
      <c r="C119" s="2072" t="s">
        <v>1938</v>
      </c>
      <c r="D119" s="179">
        <v>0</v>
      </c>
      <c r="E119" s="2073">
        <v>0</v>
      </c>
      <c r="F119" s="30">
        <v>0</v>
      </c>
    </row>
    <row r="120" spans="2:6" ht="18" customHeight="1" x14ac:dyDescent="0.35">
      <c r="B120" s="2069"/>
      <c r="C120" s="2072" t="s">
        <v>1939</v>
      </c>
      <c r="D120" s="179">
        <v>0</v>
      </c>
      <c r="E120" s="2073">
        <v>0</v>
      </c>
      <c r="F120" s="30">
        <v>0</v>
      </c>
    </row>
    <row r="121" spans="2:6" ht="15" customHeight="1" x14ac:dyDescent="0.25">
      <c r="B121" s="2069"/>
      <c r="C121" s="2089" t="s">
        <v>1940</v>
      </c>
      <c r="D121" s="2059">
        <v>0</v>
      </c>
      <c r="E121" s="2074">
        <v>0</v>
      </c>
      <c r="F121" s="2061">
        <v>0</v>
      </c>
    </row>
    <row r="122" spans="2:6" ht="18" customHeight="1" x14ac:dyDescent="0.35">
      <c r="B122" s="2069"/>
      <c r="C122" s="2072" t="s">
        <v>1941</v>
      </c>
      <c r="D122" s="179">
        <v>0</v>
      </c>
      <c r="E122" s="2073">
        <v>0</v>
      </c>
      <c r="F122" s="30">
        <v>0</v>
      </c>
    </row>
    <row r="123" spans="2:6" ht="18" customHeight="1" x14ac:dyDescent="0.35">
      <c r="B123" s="2069"/>
      <c r="C123" s="2072" t="s">
        <v>1942</v>
      </c>
      <c r="D123" s="179">
        <v>0</v>
      </c>
      <c r="E123" s="2073">
        <v>0</v>
      </c>
      <c r="F123" s="30">
        <v>0</v>
      </c>
    </row>
    <row r="124" spans="2:6" ht="18" customHeight="1" x14ac:dyDescent="0.35">
      <c r="B124" s="2076"/>
      <c r="C124" s="2082" t="s">
        <v>1943</v>
      </c>
      <c r="D124" s="179">
        <v>0</v>
      </c>
      <c r="E124" s="2073">
        <v>0</v>
      </c>
      <c r="F124" s="30">
        <v>0</v>
      </c>
    </row>
    <row r="125" spans="2:6" ht="15" customHeight="1" x14ac:dyDescent="0.25">
      <c r="B125" s="2090" t="s">
        <v>406</v>
      </c>
      <c r="C125" s="2087"/>
      <c r="D125" s="2083">
        <v>1.7714261577852335</v>
      </c>
      <c r="E125" s="2079">
        <v>1.6619477356257877</v>
      </c>
      <c r="F125" s="2084">
        <v>1.8593377996177092</v>
      </c>
    </row>
    <row r="126" spans="2:6" ht="15" customHeight="1" x14ac:dyDescent="0.25">
      <c r="B126" s="2066"/>
      <c r="C126" s="2067" t="s">
        <v>410</v>
      </c>
      <c r="D126" s="2059">
        <v>0.41906792952085292</v>
      </c>
      <c r="E126" s="2074">
        <v>0.3718696192538668</v>
      </c>
      <c r="F126" s="2061">
        <v>0.51337591480750178</v>
      </c>
    </row>
    <row r="127" spans="2:6" ht="18" customHeight="1" x14ac:dyDescent="0.35">
      <c r="B127" s="2069"/>
      <c r="C127" s="2072" t="s">
        <v>1944</v>
      </c>
      <c r="D127" s="179">
        <v>0</v>
      </c>
      <c r="E127" s="2073">
        <v>0</v>
      </c>
      <c r="F127" s="30">
        <v>0</v>
      </c>
    </row>
    <row r="128" spans="2:6" ht="18" customHeight="1" x14ac:dyDescent="0.35">
      <c r="B128" s="2069"/>
      <c r="C128" s="2072" t="s">
        <v>1945</v>
      </c>
      <c r="D128" s="179">
        <v>0.41906792952085292</v>
      </c>
      <c r="E128" s="2073">
        <v>0.3718696192538668</v>
      </c>
      <c r="F128" s="30">
        <v>0.51337591480750178</v>
      </c>
    </row>
    <row r="129" spans="2:6" ht="18" customHeight="1" x14ac:dyDescent="0.35">
      <c r="B129" s="2069"/>
      <c r="C129" s="2072" t="s">
        <v>1946</v>
      </c>
      <c r="D129" s="179">
        <v>0</v>
      </c>
      <c r="E129" s="2073">
        <v>0</v>
      </c>
      <c r="F129" s="30">
        <v>0</v>
      </c>
    </row>
    <row r="130" spans="2:6" ht="15" customHeight="1" x14ac:dyDescent="0.25">
      <c r="B130" s="2069"/>
      <c r="C130" s="2089" t="s">
        <v>428</v>
      </c>
      <c r="D130" s="2059">
        <v>0.32126317998142256</v>
      </c>
      <c r="E130" s="2074">
        <v>0.32451263506016242</v>
      </c>
      <c r="F130" s="2061">
        <v>0.28879281933940915</v>
      </c>
    </row>
    <row r="131" spans="2:6" ht="18" customHeight="1" x14ac:dyDescent="0.35">
      <c r="B131" s="2069"/>
      <c r="C131" s="2072" t="s">
        <v>1947</v>
      </c>
      <c r="D131" s="179">
        <v>0</v>
      </c>
      <c r="E131" s="2073">
        <v>0</v>
      </c>
      <c r="F131" s="30">
        <v>0</v>
      </c>
    </row>
    <row r="132" spans="2:6" ht="18" customHeight="1" x14ac:dyDescent="0.35">
      <c r="B132" s="2069"/>
      <c r="C132" s="2072" t="s">
        <v>1948</v>
      </c>
      <c r="D132" s="179">
        <v>9.1393836453823679E-2</v>
      </c>
      <c r="E132" s="2073">
        <v>9.4279619032532749E-2</v>
      </c>
      <c r="F132" s="30">
        <v>5.6315177354236919E-2</v>
      </c>
    </row>
    <row r="133" spans="2:6" ht="18" customHeight="1" x14ac:dyDescent="0.35">
      <c r="B133" s="2069"/>
      <c r="C133" s="2072" t="s">
        <v>1949</v>
      </c>
      <c r="D133" s="179">
        <v>0.22986934352759889</v>
      </c>
      <c r="E133" s="2073">
        <v>0.23023301602762966</v>
      </c>
      <c r="F133" s="30">
        <v>0.23247764198517221</v>
      </c>
    </row>
    <row r="134" spans="2:6" ht="15" customHeight="1" x14ac:dyDescent="0.25">
      <c r="B134" s="2069"/>
      <c r="C134" s="2089" t="s">
        <v>445</v>
      </c>
      <c r="D134" s="2059">
        <v>1.0196737391561281</v>
      </c>
      <c r="E134" s="2074">
        <v>0.95413728549318777</v>
      </c>
      <c r="F134" s="2061">
        <v>1.0463096684493693</v>
      </c>
    </row>
    <row r="135" spans="2:6" ht="18" customHeight="1" x14ac:dyDescent="0.35">
      <c r="B135" s="2069"/>
      <c r="C135" s="2072" t="s">
        <v>1950</v>
      </c>
      <c r="D135" s="179">
        <v>0</v>
      </c>
      <c r="E135" s="2073">
        <v>0</v>
      </c>
      <c r="F135" s="30">
        <v>0</v>
      </c>
    </row>
    <row r="136" spans="2:6" ht="18" customHeight="1" x14ac:dyDescent="0.35">
      <c r="B136" s="2069"/>
      <c r="C136" s="2072" t="s">
        <v>1951</v>
      </c>
      <c r="D136" s="179">
        <v>0</v>
      </c>
      <c r="E136" s="2073">
        <v>0</v>
      </c>
      <c r="F136" s="30">
        <v>0</v>
      </c>
    </row>
    <row r="137" spans="2:6" ht="18" customHeight="1" x14ac:dyDescent="0.35">
      <c r="B137" s="2069"/>
      <c r="C137" s="2072" t="s">
        <v>1952</v>
      </c>
      <c r="D137" s="179">
        <v>1.0196737391561281</v>
      </c>
      <c r="E137" s="2073">
        <v>0.95413728549318777</v>
      </c>
      <c r="F137" s="30">
        <v>1.0463096684493693</v>
      </c>
    </row>
    <row r="138" spans="2:6" ht="15" customHeight="1" x14ac:dyDescent="0.25">
      <c r="B138" s="2069"/>
      <c r="C138" s="2089" t="s">
        <v>456</v>
      </c>
      <c r="D138" s="2059">
        <v>6.2730523304344015E-3</v>
      </c>
      <c r="E138" s="2074">
        <v>6.2799390221752816E-3</v>
      </c>
      <c r="F138" s="2061">
        <v>5.7111402250334146E-3</v>
      </c>
    </row>
    <row r="139" spans="2:6" ht="18" customHeight="1" x14ac:dyDescent="0.35">
      <c r="B139" s="2069"/>
      <c r="C139" s="2072" t="s">
        <v>1953</v>
      </c>
      <c r="D139" s="179">
        <v>0</v>
      </c>
      <c r="E139" s="2073">
        <v>0</v>
      </c>
      <c r="F139" s="30">
        <v>0</v>
      </c>
    </row>
    <row r="140" spans="2:6" ht="18" customHeight="1" x14ac:dyDescent="0.35">
      <c r="B140" s="2069"/>
      <c r="C140" s="2072" t="s">
        <v>1954</v>
      </c>
      <c r="D140" s="179">
        <v>3.8931086498058083E-3</v>
      </c>
      <c r="E140" s="2073">
        <v>3.7803964061275518E-3</v>
      </c>
      <c r="F140" s="30">
        <v>3.5638119546775363E-3</v>
      </c>
    </row>
    <row r="141" spans="2:6" ht="18" customHeight="1" x14ac:dyDescent="0.35">
      <c r="B141" s="2069"/>
      <c r="C141" s="2072" t="s">
        <v>1955</v>
      </c>
      <c r="D141" s="179">
        <v>2.3799436806285928E-3</v>
      </c>
      <c r="E141" s="2073">
        <v>2.4995426160477298E-3</v>
      </c>
      <c r="F141" s="30">
        <v>2.1473282703558783E-3</v>
      </c>
    </row>
    <row r="142" spans="2:6" ht="15" customHeight="1" x14ac:dyDescent="0.25">
      <c r="B142" s="2069"/>
      <c r="C142" s="2072" t="s">
        <v>1956</v>
      </c>
      <c r="D142" s="2059">
        <v>5.1482567963954153E-3</v>
      </c>
      <c r="E142" s="2074">
        <v>5.1482567963954153E-3</v>
      </c>
      <c r="F142" s="2061">
        <v>5.1482567963954153E-3</v>
      </c>
    </row>
    <row r="143" spans="2:6" ht="18" customHeight="1" x14ac:dyDescent="0.35">
      <c r="B143" s="2069"/>
      <c r="C143" s="2072" t="s">
        <v>1957</v>
      </c>
      <c r="D143" s="179">
        <v>5.1482567963954153E-3</v>
      </c>
      <c r="E143" s="2073">
        <v>5.1482567963954153E-3</v>
      </c>
      <c r="F143" s="30">
        <v>5.1482567963954153E-3</v>
      </c>
    </row>
    <row r="144" spans="2:6" ht="18" customHeight="1" x14ac:dyDescent="0.35">
      <c r="B144" s="2069"/>
      <c r="C144" s="2072" t="s">
        <v>1958</v>
      </c>
      <c r="D144" s="179">
        <v>0</v>
      </c>
      <c r="E144" s="2073">
        <v>0</v>
      </c>
      <c r="F144" s="30">
        <v>0</v>
      </c>
    </row>
    <row r="145" spans="2:6" ht="18" customHeight="1" x14ac:dyDescent="0.35">
      <c r="B145" s="2076"/>
      <c r="C145" s="2082" t="s">
        <v>1959</v>
      </c>
      <c r="D145" s="179">
        <v>0</v>
      </c>
      <c r="E145" s="2073">
        <v>0</v>
      </c>
      <c r="F145" s="30">
        <v>0</v>
      </c>
    </row>
    <row r="146" spans="2:6" ht="15" customHeight="1" x14ac:dyDescent="0.25">
      <c r="B146" s="57" t="s">
        <v>483</v>
      </c>
      <c r="C146" s="2087"/>
      <c r="D146" s="2083">
        <v>2.2571179512006849</v>
      </c>
      <c r="E146" s="2088">
        <v>2.2571179512006849</v>
      </c>
      <c r="F146" s="2084">
        <v>2.6028767109984461</v>
      </c>
    </row>
    <row r="147" spans="2:6" ht="15" customHeight="1" x14ac:dyDescent="0.25">
      <c r="B147" s="2066"/>
      <c r="C147" s="2067" t="s">
        <v>486</v>
      </c>
      <c r="D147" s="2059">
        <v>1.2923017168343314</v>
      </c>
      <c r="E147" s="2060">
        <v>1.4294593881617876</v>
      </c>
      <c r="F147" s="2061">
        <v>1.4925761454093016</v>
      </c>
    </row>
    <row r="148" spans="2:6" ht="18" customHeight="1" x14ac:dyDescent="0.35">
      <c r="B148" s="2069"/>
      <c r="C148" s="2072" t="s">
        <v>1960</v>
      </c>
      <c r="D148" s="179">
        <v>1.2721711605512047</v>
      </c>
      <c r="E148" s="2073">
        <v>1.4294177546745599</v>
      </c>
      <c r="F148" s="30">
        <v>1.4693258566333824</v>
      </c>
    </row>
    <row r="149" spans="2:6" ht="18" customHeight="1" x14ac:dyDescent="0.35">
      <c r="B149" s="2069"/>
      <c r="C149" s="2072" t="s">
        <v>1961</v>
      </c>
      <c r="D149" s="179">
        <v>0</v>
      </c>
      <c r="E149" s="2073">
        <v>8.8611230997936849E-6</v>
      </c>
      <c r="F149" s="30">
        <v>0</v>
      </c>
    </row>
    <row r="150" spans="2:6" ht="18" customHeight="1" x14ac:dyDescent="0.35">
      <c r="B150" s="2069"/>
      <c r="C150" s="2072" t="s">
        <v>1962</v>
      </c>
      <c r="D150" s="179">
        <v>2.0130556283126707E-2</v>
      </c>
      <c r="E150" s="2073">
        <v>3.2772364128E-5</v>
      </c>
      <c r="F150" s="30">
        <v>2.3250288775919111E-2</v>
      </c>
    </row>
    <row r="151" spans="2:6" ht="15" customHeight="1" x14ac:dyDescent="0.25">
      <c r="B151" s="2069"/>
      <c r="C151" s="2089" t="s">
        <v>502</v>
      </c>
      <c r="D151" s="2059">
        <v>0.38895527902354143</v>
      </c>
      <c r="E151" s="2060">
        <v>0.55536539665542106</v>
      </c>
      <c r="F151" s="2061">
        <v>0.44923361436343329</v>
      </c>
    </row>
    <row r="152" spans="2:6" ht="18" customHeight="1" x14ac:dyDescent="0.35">
      <c r="B152" s="2069"/>
      <c r="C152" s="2072" t="s">
        <v>1963</v>
      </c>
      <c r="D152" s="179">
        <v>0.15158504434079162</v>
      </c>
      <c r="E152" s="2073">
        <v>0.46779009130507737</v>
      </c>
      <c r="F152" s="30">
        <v>0.17507693306955618</v>
      </c>
    </row>
    <row r="153" spans="2:6" ht="18" customHeight="1" x14ac:dyDescent="0.35">
      <c r="B153" s="2069"/>
      <c r="C153" s="2072" t="s">
        <v>1964</v>
      </c>
      <c r="D153" s="179">
        <v>0.23737023468274984</v>
      </c>
      <c r="E153" s="2073">
        <v>8.7575305350343732E-2</v>
      </c>
      <c r="F153" s="30">
        <v>0.2741566812938771</v>
      </c>
    </row>
    <row r="154" spans="2:6" ht="18" customHeight="1" x14ac:dyDescent="0.35">
      <c r="B154" s="2069"/>
      <c r="C154" s="2072" t="s">
        <v>1965</v>
      </c>
      <c r="D154" s="179">
        <v>0</v>
      </c>
      <c r="E154" s="2073">
        <v>0</v>
      </c>
      <c r="F154" s="30">
        <v>0</v>
      </c>
    </row>
    <row r="155" spans="2:6" ht="15" customHeight="1" x14ac:dyDescent="0.25">
      <c r="B155" s="2069"/>
      <c r="C155" s="2089" t="s">
        <v>519</v>
      </c>
      <c r="D155" s="673">
        <v>0.54286095534281187</v>
      </c>
      <c r="E155" s="2060">
        <v>0.55804606731531092</v>
      </c>
      <c r="F155" s="2091">
        <v>0.62295277699156737</v>
      </c>
    </row>
    <row r="156" spans="2:6" ht="18" customHeight="1" x14ac:dyDescent="0.35">
      <c r="B156" s="2069"/>
      <c r="C156" s="2072" t="s">
        <v>1966</v>
      </c>
      <c r="D156" s="179">
        <v>0</v>
      </c>
      <c r="E156" s="2073">
        <v>0</v>
      </c>
      <c r="F156" s="30">
        <v>0</v>
      </c>
    </row>
    <row r="157" spans="2:6" ht="18" customHeight="1" x14ac:dyDescent="0.35">
      <c r="B157" s="2069"/>
      <c r="C157" s="2072" t="s">
        <v>1967</v>
      </c>
      <c r="D157" s="179">
        <v>0.37731141910929594</v>
      </c>
      <c r="E157" s="2073">
        <v>0.39249653108179489</v>
      </c>
      <c r="F157" s="30">
        <v>0.43174720522229643</v>
      </c>
    </row>
    <row r="158" spans="2:6" ht="18" customHeight="1" x14ac:dyDescent="0.35">
      <c r="B158" s="2069"/>
      <c r="C158" s="2072" t="s">
        <v>1968</v>
      </c>
      <c r="D158" s="179">
        <v>0.16554953623351598</v>
      </c>
      <c r="E158" s="2073">
        <v>0.16554953623351598</v>
      </c>
      <c r="F158" s="30">
        <v>0.19120557176927092</v>
      </c>
    </row>
    <row r="159" spans="2:6" ht="15" customHeight="1" x14ac:dyDescent="0.25">
      <c r="B159" s="2069"/>
      <c r="C159" s="2089" t="s">
        <v>529</v>
      </c>
      <c r="D159" s="673">
        <v>3.3000000000000002E-2</v>
      </c>
      <c r="E159" s="2060">
        <v>3.3000000000000002E-2</v>
      </c>
      <c r="F159" s="2091">
        <v>3.8114174234143858E-2</v>
      </c>
    </row>
    <row r="160" spans="2:6" ht="18" customHeight="1" x14ac:dyDescent="0.35">
      <c r="B160" s="2069"/>
      <c r="C160" s="2072" t="s">
        <v>1969</v>
      </c>
      <c r="D160" s="179">
        <v>3.3000000000000002E-2</v>
      </c>
      <c r="E160" s="2073">
        <v>3.3000000000000002E-2</v>
      </c>
      <c r="F160" s="30">
        <v>3.8114174234143858E-2</v>
      </c>
    </row>
    <row r="161" spans="2:23" ht="18" customHeight="1" x14ac:dyDescent="0.35">
      <c r="B161" s="2069"/>
      <c r="C161" s="2072" t="s">
        <v>1970</v>
      </c>
      <c r="D161" s="179">
        <v>0</v>
      </c>
      <c r="E161" s="2073">
        <v>0</v>
      </c>
      <c r="F161" s="30">
        <v>0</v>
      </c>
    </row>
    <row r="162" spans="2:23" ht="18" customHeight="1" x14ac:dyDescent="0.35">
      <c r="B162" s="2076"/>
      <c r="C162" s="2082" t="s">
        <v>1971</v>
      </c>
      <c r="D162" s="179">
        <v>0</v>
      </c>
      <c r="E162" s="2073">
        <v>0</v>
      </c>
      <c r="F162" s="30">
        <v>0</v>
      </c>
    </row>
    <row r="163" spans="2:23" ht="15" customHeight="1" x14ac:dyDescent="0.25">
      <c r="B163" s="2299" t="s">
        <v>1972</v>
      </c>
      <c r="C163" s="2397"/>
      <c r="D163" s="2092">
        <v>107.22953646874861</v>
      </c>
      <c r="E163" s="2093">
        <v>99.283829677079211</v>
      </c>
      <c r="F163" s="2094">
        <v>140.04956251947738</v>
      </c>
    </row>
    <row r="164" spans="2:23" ht="15" customHeight="1" x14ac:dyDescent="0.25">
      <c r="B164" s="2095"/>
      <c r="C164" s="2096" t="s">
        <v>1973</v>
      </c>
      <c r="D164" s="179"/>
      <c r="E164" s="2073"/>
      <c r="F164" s="30"/>
    </row>
    <row r="165" spans="2:23" ht="15" customHeight="1" x14ac:dyDescent="0.25">
      <c r="B165" s="2299" t="s">
        <v>1974</v>
      </c>
      <c r="C165" s="2397"/>
      <c r="D165" s="2078">
        <v>-11.790349165079254</v>
      </c>
      <c r="E165" s="2097">
        <v>-11.847883957087202</v>
      </c>
      <c r="F165" s="2080">
        <v>-11.751390917577334</v>
      </c>
    </row>
    <row r="166" spans="2:23" ht="15" customHeight="1" x14ac:dyDescent="0.25">
      <c r="B166" s="2098"/>
      <c r="C166" s="2067" t="s">
        <v>1975</v>
      </c>
      <c r="D166" s="179">
        <v>-10.446577825333891</v>
      </c>
      <c r="E166" s="2099">
        <v>-10.446577825333891</v>
      </c>
      <c r="F166" s="30">
        <v>-10.446577825333891</v>
      </c>
    </row>
    <row r="167" spans="2:23" ht="15" customHeight="1" x14ac:dyDescent="0.25">
      <c r="B167" s="2100"/>
      <c r="C167" s="2089" t="s">
        <v>1976</v>
      </c>
      <c r="D167" s="179">
        <v>-1.3313091422990766</v>
      </c>
      <c r="E167" s="2099">
        <v>-1.4337197012537992</v>
      </c>
      <c r="F167" s="30">
        <v>-1.3313091422990766</v>
      </c>
    </row>
    <row r="168" spans="2:23" ht="15" customHeight="1" x14ac:dyDescent="0.25">
      <c r="B168" s="2100"/>
      <c r="C168" s="2089" t="s">
        <v>1977</v>
      </c>
      <c r="D168" s="179">
        <v>-5.1420444948206523E-2</v>
      </c>
      <c r="E168" s="2099">
        <v>-2.1306844948206529E-2</v>
      </c>
      <c r="F168" s="30">
        <v>-5.1420444948206523E-2</v>
      </c>
    </row>
    <row r="169" spans="2:23" ht="15" customHeight="1" x14ac:dyDescent="0.25">
      <c r="B169" s="2100"/>
      <c r="C169" s="2089" t="s">
        <v>554</v>
      </c>
      <c r="D169" s="179">
        <v>3.8958247501919986E-2</v>
      </c>
      <c r="E169" s="2099">
        <v>5.3720414448695991E-2</v>
      </c>
      <c r="F169" s="30">
        <v>3.8958247501919986E-2</v>
      </c>
    </row>
    <row r="170" spans="2:23" ht="18" customHeight="1" x14ac:dyDescent="0.35">
      <c r="B170" s="2100"/>
      <c r="C170" s="2072" t="s">
        <v>1978</v>
      </c>
      <c r="D170" s="179">
        <v>3.245248726775999E-2</v>
      </c>
      <c r="E170" s="2073">
        <v>4.4749473544187991E-2</v>
      </c>
      <c r="F170" s="30">
        <v>3.245248726775999E-2</v>
      </c>
    </row>
    <row r="171" spans="2:23" ht="18" customHeight="1" x14ac:dyDescent="0.35">
      <c r="B171" s="2101"/>
      <c r="C171" s="2082" t="s">
        <v>1979</v>
      </c>
      <c r="D171" s="179">
        <v>6.505760234159998E-3</v>
      </c>
      <c r="E171" s="2073">
        <v>8.9709409045079999E-3</v>
      </c>
      <c r="F171" s="30">
        <v>6.505760234159998E-3</v>
      </c>
    </row>
    <row r="172" spans="2:23" ht="15" customHeight="1" x14ac:dyDescent="0.25">
      <c r="B172" s="2299" t="s">
        <v>1980</v>
      </c>
      <c r="C172" s="2397"/>
      <c r="D172" s="2078">
        <v>95.439187303669357</v>
      </c>
      <c r="E172" s="2079">
        <v>87.435945719992006</v>
      </c>
      <c r="F172" s="2080">
        <v>128.29817160190004</v>
      </c>
    </row>
    <row r="173" spans="2:23" ht="15.75" customHeight="1" x14ac:dyDescent="0.25">
      <c r="B173" s="2102"/>
      <c r="C173" s="2103" t="s">
        <v>1973</v>
      </c>
      <c r="D173" s="12"/>
      <c r="E173" s="2104"/>
      <c r="F173" s="2105"/>
    </row>
    <row r="174" spans="2:23" ht="15" customHeight="1" x14ac:dyDescent="0.25">
      <c r="B174" s="3"/>
      <c r="C174" s="3"/>
      <c r="D174" s="3"/>
      <c r="E174" s="2073"/>
      <c r="F174" s="2106"/>
    </row>
    <row r="175" spans="2:23" ht="15.75" customHeight="1" x14ac:dyDescent="0.25">
      <c r="B175" s="3"/>
      <c r="C175" s="3"/>
      <c r="D175" s="3"/>
      <c r="E175" s="2073"/>
      <c r="F175" s="2106"/>
    </row>
    <row r="176" spans="2:23" ht="15" customHeight="1" x14ac:dyDescent="0.25">
      <c r="B176" s="392"/>
      <c r="C176" s="392"/>
      <c r="D176" s="2107">
        <v>2006</v>
      </c>
      <c r="E176" s="2108">
        <v>2011</v>
      </c>
      <c r="F176" s="2107">
        <v>2020</v>
      </c>
      <c r="H176" s="194"/>
      <c r="I176" s="195">
        <v>2006</v>
      </c>
      <c r="J176" s="195">
        <v>2007</v>
      </c>
      <c r="K176" s="195">
        <v>2008</v>
      </c>
      <c r="L176" s="195">
        <v>2009</v>
      </c>
      <c r="M176" s="195">
        <v>2010</v>
      </c>
      <c r="N176" s="195">
        <v>2011</v>
      </c>
      <c r="O176" s="195">
        <v>2012</v>
      </c>
      <c r="P176" s="195">
        <v>2013</v>
      </c>
      <c r="Q176" s="195">
        <v>2014</v>
      </c>
      <c r="R176" s="195">
        <v>2015</v>
      </c>
      <c r="S176" s="195">
        <v>2016</v>
      </c>
      <c r="T176" s="195">
        <v>2017</v>
      </c>
      <c r="U176" s="195">
        <v>2018</v>
      </c>
      <c r="V176" s="195">
        <v>2019</v>
      </c>
      <c r="W176" s="1559">
        <v>2020</v>
      </c>
    </row>
    <row r="177" spans="2:23" ht="15" customHeight="1" x14ac:dyDescent="0.25">
      <c r="B177" s="179"/>
      <c r="C177" s="179" t="s">
        <v>58</v>
      </c>
      <c r="D177" s="179">
        <v>42.475674553317035</v>
      </c>
      <c r="E177" s="2073">
        <v>37.860129294372811</v>
      </c>
      <c r="F177" s="179">
        <v>58.792780404291136</v>
      </c>
      <c r="H177" s="201" t="s">
        <v>58</v>
      </c>
      <c r="I177" s="2109">
        <v>42.179744588914474</v>
      </c>
      <c r="J177" s="2109">
        <v>50.159633983674567</v>
      </c>
      <c r="K177" s="2109">
        <v>50.485323301676758</v>
      </c>
      <c r="L177" s="2109">
        <v>49.045730065705428</v>
      </c>
      <c r="M177" s="2109">
        <v>51.921441838508308</v>
      </c>
      <c r="N177" s="2109">
        <v>37.860129294372811</v>
      </c>
      <c r="O177" s="2109">
        <v>54.163190510478508</v>
      </c>
      <c r="P177" s="2109">
        <v>54.587157573028939</v>
      </c>
      <c r="Q177" s="2109">
        <v>54.964527636444579</v>
      </c>
      <c r="R177" s="2109">
        <v>55.276924419376485</v>
      </c>
      <c r="S177" s="2109">
        <v>56.281792817111608</v>
      </c>
      <c r="T177" s="2109">
        <v>56.885584918576626</v>
      </c>
      <c r="U177" s="2109">
        <v>57.496596273428729</v>
      </c>
      <c r="V177" s="2109">
        <v>58.133859458779312</v>
      </c>
      <c r="W177" s="2110">
        <v>58.792780404291136</v>
      </c>
    </row>
    <row r="178" spans="2:23" ht="15" customHeight="1" x14ac:dyDescent="0.25">
      <c r="B178" s="179"/>
      <c r="C178" s="179" t="s">
        <v>579</v>
      </c>
      <c r="D178" s="179">
        <v>16.870796954329833</v>
      </c>
      <c r="E178" s="2073">
        <v>17.000425590955349</v>
      </c>
      <c r="F178" s="179">
        <v>18.84224894318902</v>
      </c>
      <c r="H178" s="201" t="s">
        <v>579</v>
      </c>
      <c r="I178" s="2109">
        <v>16.870796954329833</v>
      </c>
      <c r="J178" s="2109">
        <v>16.793814891553112</v>
      </c>
      <c r="K178" s="2109">
        <v>16.943946237574483</v>
      </c>
      <c r="L178" s="2109">
        <v>17.094077583595816</v>
      </c>
      <c r="M178" s="2109">
        <v>17.244208929617187</v>
      </c>
      <c r="N178" s="2109">
        <v>17.000425590955349</v>
      </c>
      <c r="O178" s="2109">
        <v>17.573780781280004</v>
      </c>
      <c r="P178" s="2109">
        <v>17.738566707111389</v>
      </c>
      <c r="Q178" s="2109">
        <v>17.903352632942809</v>
      </c>
      <c r="R178" s="2109">
        <v>18.068138558774205</v>
      </c>
      <c r="S178" s="2109">
        <v>18.222960635657177</v>
      </c>
      <c r="T178" s="2109">
        <v>18.377782712540121</v>
      </c>
      <c r="U178" s="2109">
        <v>18.532604789423097</v>
      </c>
      <c r="V178" s="2109">
        <v>18.687426866306048</v>
      </c>
      <c r="W178" s="2110">
        <v>18.84224894318902</v>
      </c>
    </row>
    <row r="179" spans="2:23" ht="15" customHeight="1" x14ac:dyDescent="0.25">
      <c r="B179" s="179"/>
      <c r="C179" s="179" t="s">
        <v>582</v>
      </c>
      <c r="D179" s="179">
        <v>29.669799999999999</v>
      </c>
      <c r="E179" s="2073">
        <v>28.24707569993187</v>
      </c>
      <c r="F179" s="179">
        <v>38.589753745791242</v>
      </c>
      <c r="H179" s="201" t="s">
        <v>582</v>
      </c>
      <c r="I179" s="2111">
        <v>29.669799999999999</v>
      </c>
      <c r="J179" s="2111">
        <v>30.306939553270801</v>
      </c>
      <c r="K179" s="2111">
        <v>30.944079106541608</v>
      </c>
      <c r="L179" s="2111">
        <v>31.581218659812407</v>
      </c>
      <c r="M179" s="2111">
        <v>32.218358213083214</v>
      </c>
      <c r="N179" s="2111">
        <v>28.24707569993187</v>
      </c>
      <c r="O179" s="2111">
        <v>33.492637319624819</v>
      </c>
      <c r="P179" s="2111">
        <v>34.129776872895626</v>
      </c>
      <c r="Q179" s="2111">
        <v>34.766916426166425</v>
      </c>
      <c r="R179" s="2111">
        <v>35.404055979437231</v>
      </c>
      <c r="S179" s="2111">
        <v>36.041195532708038</v>
      </c>
      <c r="T179" s="2111">
        <v>36.678335085978837</v>
      </c>
      <c r="U179" s="2111">
        <v>37.315474639249643</v>
      </c>
      <c r="V179" s="2111">
        <v>37.952614192520436</v>
      </c>
      <c r="W179" s="2112">
        <v>38.589753745791242</v>
      </c>
    </row>
    <row r="180" spans="2:23" ht="15" customHeight="1" x14ac:dyDescent="0.25">
      <c r="B180" s="179"/>
      <c r="C180" s="179" t="s">
        <v>586</v>
      </c>
      <c r="D180" s="179">
        <v>5.8017938791854329</v>
      </c>
      <c r="E180" s="2073">
        <v>7.022468457280195</v>
      </c>
      <c r="F180" s="179">
        <v>8.1941357079120607</v>
      </c>
      <c r="H180" s="201" t="s">
        <v>586</v>
      </c>
      <c r="I180" s="2111">
        <v>5.8017938791854329</v>
      </c>
      <c r="J180" s="2111">
        <v>5.9280910316434721</v>
      </c>
      <c r="K180" s="2111">
        <v>6.123583602931391</v>
      </c>
      <c r="L180" s="2111">
        <v>6.2804537908531035</v>
      </c>
      <c r="M180" s="2111">
        <v>6.4398682903296738</v>
      </c>
      <c r="N180" s="2111">
        <v>7.022468457280195</v>
      </c>
      <c r="O180" s="2111">
        <v>6.7666726243195656</v>
      </c>
      <c r="P180" s="2111">
        <v>6.934241056217024</v>
      </c>
      <c r="Q180" s="2111">
        <v>7.1047113981067058</v>
      </c>
      <c r="R180" s="2111">
        <v>7.2781800446502132</v>
      </c>
      <c r="S180" s="2111">
        <v>7.4547480436026419</v>
      </c>
      <c r="T180" s="2111">
        <v>7.6345184755157991</v>
      </c>
      <c r="U180" s="2111">
        <v>7.8175988729916597</v>
      </c>
      <c r="V180" s="2111">
        <v>8.0041000114670702</v>
      </c>
      <c r="W180" s="2112">
        <v>8.1941357079120607</v>
      </c>
    </row>
    <row r="181" spans="2:23" ht="15" customHeight="1" x14ac:dyDescent="0.25">
      <c r="B181" s="179"/>
      <c r="C181" s="179" t="str">
        <f>B75</f>
        <v>Fossil Fuel Industry</v>
      </c>
      <c r="D181" s="179">
        <v>0.94188463845227166</v>
      </c>
      <c r="E181" s="2073">
        <v>0.83609220289311492</v>
      </c>
      <c r="F181" s="179">
        <v>0.92368868344346611</v>
      </c>
      <c r="H181" s="201" t="s">
        <v>292</v>
      </c>
      <c r="I181" s="730">
        <v>0.94188463845198123</v>
      </c>
      <c r="J181" s="730">
        <v>0.78746263901343827</v>
      </c>
      <c r="K181" s="730">
        <v>0.79794156550805639</v>
      </c>
      <c r="L181" s="730">
        <v>0.80842049200267452</v>
      </c>
      <c r="M181" s="730">
        <v>0.81889941849728998</v>
      </c>
      <c r="N181" s="730">
        <v>0.83609220289311492</v>
      </c>
      <c r="O181" s="730">
        <v>0.83985727148652622</v>
      </c>
      <c r="P181" s="730">
        <v>0.85033619798114457</v>
      </c>
      <c r="Q181" s="730">
        <v>0.86081512447575981</v>
      </c>
      <c r="R181" s="730">
        <v>0.87129405097037793</v>
      </c>
      <c r="S181" s="730">
        <v>0.88177297746499628</v>
      </c>
      <c r="T181" s="730">
        <v>0.8922519039596144</v>
      </c>
      <c r="U181" s="730">
        <v>0.90273083045422964</v>
      </c>
      <c r="V181" s="730">
        <v>0.91320975694884776</v>
      </c>
      <c r="W181" s="2113">
        <v>0.92368868344346611</v>
      </c>
    </row>
    <row r="182" spans="2:23" ht="15" customHeight="1" x14ac:dyDescent="0.25">
      <c r="B182" s="179"/>
      <c r="C182" s="179" t="str">
        <f>B88</f>
        <v>Industrial Processes</v>
      </c>
      <c r="D182" s="179">
        <v>7.4410423344781096</v>
      </c>
      <c r="E182" s="2073">
        <v>4.3985727448193961</v>
      </c>
      <c r="F182" s="179">
        <v>10.244740524234293</v>
      </c>
      <c r="H182" s="201" t="s">
        <v>1907</v>
      </c>
      <c r="I182" s="730">
        <v>7.4410424236811288</v>
      </c>
      <c r="J182" s="730">
        <v>7.6103215182007062</v>
      </c>
      <c r="K182" s="730">
        <v>7.5629247285501258</v>
      </c>
      <c r="L182" s="730">
        <v>8.0111768983214837</v>
      </c>
      <c r="M182" s="730">
        <v>8.2113527537241051</v>
      </c>
      <c r="N182" s="730">
        <v>4.3985727448193961</v>
      </c>
      <c r="O182" s="730">
        <v>8.6117044645292697</v>
      </c>
      <c r="P182" s="730">
        <v>8.811880319931868</v>
      </c>
      <c r="Q182" s="730">
        <v>9.0120561753344894</v>
      </c>
      <c r="R182" s="730">
        <v>9.2122320307370913</v>
      </c>
      <c r="S182" s="730">
        <v>9.4124078861397127</v>
      </c>
      <c r="T182" s="730">
        <v>9.6125837415423181</v>
      </c>
      <c r="U182" s="730">
        <v>9.8127595969449324</v>
      </c>
      <c r="V182" s="730">
        <v>10.027485226517665</v>
      </c>
      <c r="W182" s="2113">
        <v>10.244740524234293</v>
      </c>
    </row>
    <row r="183" spans="2:23" ht="15" customHeight="1" x14ac:dyDescent="0.25">
      <c r="B183" s="179"/>
      <c r="C183" s="179" t="str">
        <f>B125</f>
        <v>Agriculture</v>
      </c>
      <c r="D183" s="179">
        <v>1.7714261577852335</v>
      </c>
      <c r="E183" s="2073">
        <v>1.6619477356257877</v>
      </c>
      <c r="F183" s="179">
        <v>1.8593377996177092</v>
      </c>
      <c r="H183" s="201" t="s">
        <v>406</v>
      </c>
      <c r="I183" s="730">
        <v>1.7714261577852333</v>
      </c>
      <c r="J183" s="730">
        <v>1.5139029807623536</v>
      </c>
      <c r="K183" s="730">
        <v>1.8456153540664655</v>
      </c>
      <c r="L183" s="730">
        <v>1.7870513192900073</v>
      </c>
      <c r="M183" s="730">
        <v>1.8484423382290367</v>
      </c>
      <c r="N183" s="730">
        <v>1.6619477356257877</v>
      </c>
      <c r="O183" s="730">
        <v>1.8498712898730012</v>
      </c>
      <c r="P183" s="730">
        <v>1.7880680909904909</v>
      </c>
      <c r="Q183" s="730">
        <v>1.8511187465206678</v>
      </c>
      <c r="R183" s="730">
        <v>1.7883742254687578</v>
      </c>
      <c r="S183" s="730">
        <v>1.8526808785947622</v>
      </c>
      <c r="T183" s="730">
        <v>1.7891893303721129</v>
      </c>
      <c r="U183" s="730">
        <v>1.8551844921729721</v>
      </c>
      <c r="V183" s="730">
        <v>1.7911286974967606</v>
      </c>
      <c r="W183" s="2113">
        <v>1.8593377996177092</v>
      </c>
    </row>
    <row r="184" spans="2:23" ht="15.75" customHeight="1" x14ac:dyDescent="0.25">
      <c r="B184" s="292"/>
      <c r="C184" s="292" t="str">
        <f>B146</f>
        <v>Waste Management</v>
      </c>
      <c r="D184" s="292">
        <v>2.2571179512006849</v>
      </c>
      <c r="E184" s="2104">
        <v>2.2571179512006849</v>
      </c>
      <c r="F184" s="292">
        <v>2.6028767109984461</v>
      </c>
      <c r="H184" s="209" t="s">
        <v>483</v>
      </c>
      <c r="I184" s="2114">
        <v>2.2571179512006849</v>
      </c>
      <c r="J184" s="2114">
        <v>2.2757751464297691</v>
      </c>
      <c r="K184" s="2114">
        <v>2.2981771806560092</v>
      </c>
      <c r="L184" s="2114">
        <v>2.3205792148822502</v>
      </c>
      <c r="M184" s="2114">
        <v>2.3429812491084907</v>
      </c>
      <c r="N184" s="2114">
        <v>2.2571179512006849</v>
      </c>
      <c r="O184" s="2114">
        <v>2.3978286853693773</v>
      </c>
      <c r="P184" s="2114">
        <v>2.4257104100909164</v>
      </c>
      <c r="Q184" s="2114">
        <v>2.453592134812455</v>
      </c>
      <c r="R184" s="2114">
        <v>2.4814738595339949</v>
      </c>
      <c r="S184" s="2114">
        <v>2.5062526777248353</v>
      </c>
      <c r="T184" s="2114">
        <v>2.5304086860432382</v>
      </c>
      <c r="U184" s="2114">
        <v>2.5545646943616407</v>
      </c>
      <c r="V184" s="2114">
        <v>2.5787207026800432</v>
      </c>
      <c r="W184" s="2115">
        <v>2.6028767109984461</v>
      </c>
    </row>
    <row r="185" spans="2:23" ht="15.75" customHeight="1" x14ac:dyDescent="0.25">
      <c r="B185" s="3"/>
      <c r="C185" s="3"/>
      <c r="D185" s="3"/>
    </row>
    <row r="186" spans="2:23" ht="15" customHeight="1" x14ac:dyDescent="0.25">
      <c r="B186" s="3"/>
      <c r="C186" s="3"/>
      <c r="D186" s="3"/>
      <c r="H186" s="194"/>
      <c r="I186" s="195">
        <v>2006</v>
      </c>
      <c r="J186" s="195">
        <v>2007</v>
      </c>
      <c r="K186" s="195">
        <v>2008</v>
      </c>
      <c r="L186" s="195">
        <v>2009</v>
      </c>
      <c r="M186" s="195">
        <v>2010</v>
      </c>
      <c r="N186" s="195">
        <v>2011</v>
      </c>
      <c r="O186" s="195">
        <v>2012</v>
      </c>
      <c r="P186" s="195">
        <v>2013</v>
      </c>
      <c r="Q186" s="195">
        <v>2014</v>
      </c>
      <c r="R186" s="195">
        <v>2015</v>
      </c>
      <c r="S186" s="195">
        <v>2016</v>
      </c>
      <c r="T186" s="195">
        <v>2017</v>
      </c>
      <c r="U186" s="195">
        <v>2018</v>
      </c>
      <c r="V186" s="195">
        <v>2019</v>
      </c>
      <c r="W186" s="1559">
        <v>2020</v>
      </c>
    </row>
    <row r="187" spans="2:23" ht="15" customHeight="1" x14ac:dyDescent="0.25">
      <c r="H187" s="201" t="s">
        <v>58</v>
      </c>
      <c r="I187" s="2109">
        <v>42.179744588914474</v>
      </c>
      <c r="J187" s="2109">
        <v>50.159633983674567</v>
      </c>
      <c r="K187" s="2109">
        <v>50.485323301676758</v>
      </c>
      <c r="L187" s="2109">
        <v>49.045730065705428</v>
      </c>
      <c r="M187" s="2109">
        <v>51.921441838508308</v>
      </c>
      <c r="N187" s="2109">
        <v>37.860129294372811</v>
      </c>
      <c r="O187" s="2109">
        <v>54.163190510478508</v>
      </c>
      <c r="P187" s="2109">
        <v>54.587157573028939</v>
      </c>
      <c r="Q187" s="2109">
        <v>54.964527636444579</v>
      </c>
      <c r="R187" s="2109">
        <v>55.276924419376485</v>
      </c>
      <c r="S187" s="2109">
        <v>56.281792817111608</v>
      </c>
      <c r="T187" s="2109">
        <v>56.885584918576626</v>
      </c>
      <c r="U187" s="2109">
        <v>57.496596273428729</v>
      </c>
      <c r="V187" s="2109">
        <v>58.133859458779312</v>
      </c>
      <c r="W187" s="2110">
        <v>58.792780404291136</v>
      </c>
    </row>
    <row r="188" spans="2:23" ht="15" customHeight="1" x14ac:dyDescent="0.25">
      <c r="H188" s="201" t="s">
        <v>579</v>
      </c>
      <c r="I188" s="2109">
        <v>16.870796954329833</v>
      </c>
      <c r="J188" s="2109">
        <v>16.793814891553112</v>
      </c>
      <c r="K188" s="2109">
        <v>16.943946237574483</v>
      </c>
      <c r="L188" s="2109">
        <v>17.094077583595816</v>
      </c>
      <c r="M188" s="2109">
        <v>17.244208929617187</v>
      </c>
      <c r="N188" s="2109">
        <v>17.000425590955349</v>
      </c>
      <c r="O188" s="2109">
        <v>17.573780781280004</v>
      </c>
      <c r="P188" s="2109">
        <v>17.738566707111389</v>
      </c>
      <c r="Q188" s="2109">
        <v>17.903352632942809</v>
      </c>
      <c r="R188" s="2109">
        <v>18.068138558774205</v>
      </c>
      <c r="S188" s="2109">
        <v>18.222960635657177</v>
      </c>
      <c r="T188" s="2109">
        <v>18.377782712540121</v>
      </c>
      <c r="U188" s="2109">
        <v>18.532604789423097</v>
      </c>
      <c r="V188" s="2109">
        <v>18.687426866306048</v>
      </c>
      <c r="W188" s="2110">
        <v>18.84224894318902</v>
      </c>
    </row>
    <row r="189" spans="2:23" ht="15" customHeight="1" x14ac:dyDescent="0.25">
      <c r="H189" s="201" t="s">
        <v>582</v>
      </c>
      <c r="I189" s="2111">
        <v>29.669799999999999</v>
      </c>
      <c r="J189" s="2111">
        <v>30.306939553270801</v>
      </c>
      <c r="K189" s="2111">
        <v>30.944079106541608</v>
      </c>
      <c r="L189" s="2111">
        <v>31.581218659812407</v>
      </c>
      <c r="M189" s="2111">
        <v>32.218358213083214</v>
      </c>
      <c r="N189" s="2111">
        <v>28.24707569993187</v>
      </c>
      <c r="O189" s="2111">
        <v>33.492637319624819</v>
      </c>
      <c r="P189" s="2111">
        <v>34.129776872895626</v>
      </c>
      <c r="Q189" s="2111">
        <v>34.766916426166425</v>
      </c>
      <c r="R189" s="2111">
        <v>35.404055979437231</v>
      </c>
      <c r="S189" s="2111">
        <v>36.041195532708038</v>
      </c>
      <c r="T189" s="2111">
        <v>36.678335085978837</v>
      </c>
      <c r="U189" s="2111">
        <v>37.315474639249643</v>
      </c>
      <c r="V189" s="2111">
        <v>37.952614192520436</v>
      </c>
      <c r="W189" s="2112">
        <v>38.589753745791242</v>
      </c>
    </row>
    <row r="190" spans="2:23" ht="15" customHeight="1" x14ac:dyDescent="0.25">
      <c r="H190" s="201" t="s">
        <v>586</v>
      </c>
      <c r="I190" s="2111">
        <v>5.8017938791854329</v>
      </c>
      <c r="J190" s="2111">
        <v>5.9280910316434721</v>
      </c>
      <c r="K190" s="2111">
        <v>6.123583602931391</v>
      </c>
      <c r="L190" s="2111">
        <v>6.2804537908531035</v>
      </c>
      <c r="M190" s="2111">
        <v>6.4398682903296738</v>
      </c>
      <c r="N190" s="2111">
        <v>7.022468457280195</v>
      </c>
      <c r="O190" s="2111">
        <v>6.7666726243195656</v>
      </c>
      <c r="P190" s="2111">
        <v>6.934241056217024</v>
      </c>
      <c r="Q190" s="2111">
        <v>7.1047113981067058</v>
      </c>
      <c r="R190" s="2111">
        <v>7.2781800446502132</v>
      </c>
      <c r="S190" s="2111">
        <v>7.4547480436026419</v>
      </c>
      <c r="T190" s="2111">
        <v>7.6345184755157991</v>
      </c>
      <c r="U190" s="2111">
        <v>7.8175988729916597</v>
      </c>
      <c r="V190" s="2111">
        <v>8.0041000114670702</v>
      </c>
      <c r="W190" s="2112">
        <v>8.1941357079120607</v>
      </c>
    </row>
    <row r="191" spans="2:23" ht="15" customHeight="1" x14ac:dyDescent="0.25">
      <c r="H191" s="201" t="s">
        <v>292</v>
      </c>
      <c r="I191" s="730">
        <v>0.94188463845198123</v>
      </c>
      <c r="J191" s="730">
        <v>0.78746263901343827</v>
      </c>
      <c r="K191" s="730">
        <v>0.79794156550805639</v>
      </c>
      <c r="L191" s="730">
        <v>0.80842049200267452</v>
      </c>
      <c r="M191" s="730">
        <v>0.81889941849728998</v>
      </c>
      <c r="N191" s="730">
        <v>0.83609220289311492</v>
      </c>
      <c r="O191" s="730">
        <v>0.83985727148652622</v>
      </c>
      <c r="P191" s="730">
        <v>0.85033619798114457</v>
      </c>
      <c r="Q191" s="730">
        <v>0.86081512447575981</v>
      </c>
      <c r="R191" s="730">
        <v>0.87129405097037793</v>
      </c>
      <c r="S191" s="730">
        <v>0.88177297746499628</v>
      </c>
      <c r="T191" s="730">
        <v>0.8922519039596144</v>
      </c>
      <c r="U191" s="730">
        <v>0.90273083045422964</v>
      </c>
      <c r="V191" s="730">
        <v>0.91320975694884776</v>
      </c>
      <c r="W191" s="2113">
        <v>0.92368868344346611</v>
      </c>
    </row>
    <row r="192" spans="2:23" ht="15" customHeight="1" x14ac:dyDescent="0.25">
      <c r="H192" s="201" t="s">
        <v>1907</v>
      </c>
      <c r="I192" s="730">
        <v>7.4410424236811288</v>
      </c>
      <c r="J192" s="730">
        <v>7.6103215182007062</v>
      </c>
      <c r="K192" s="730">
        <v>7.5629247285501258</v>
      </c>
      <c r="L192" s="730">
        <v>8.0111768983214837</v>
      </c>
      <c r="M192" s="730">
        <v>8.2113527537241051</v>
      </c>
      <c r="N192" s="730">
        <v>4.3985727448193961</v>
      </c>
      <c r="O192" s="730">
        <v>8.6117044645292697</v>
      </c>
      <c r="P192" s="730">
        <v>8.811880319931868</v>
      </c>
      <c r="Q192" s="730">
        <v>9.0120561753344894</v>
      </c>
      <c r="R192" s="730">
        <v>9.2122320307370913</v>
      </c>
      <c r="S192" s="730">
        <v>9.4124078861397127</v>
      </c>
      <c r="T192" s="730">
        <v>9.6125837415423181</v>
      </c>
      <c r="U192" s="730">
        <v>9.8127595969449324</v>
      </c>
      <c r="V192" s="730">
        <v>10.027485226517665</v>
      </c>
      <c r="W192" s="2113">
        <v>10.244740524234293</v>
      </c>
    </row>
    <row r="193" spans="8:23" ht="15" customHeight="1" x14ac:dyDescent="0.25">
      <c r="H193" s="201" t="s">
        <v>406</v>
      </c>
      <c r="I193" s="730">
        <v>1.7714261577852333</v>
      </c>
      <c r="J193" s="730">
        <v>1.5139029807623536</v>
      </c>
      <c r="K193" s="730">
        <v>1.8456153540664655</v>
      </c>
      <c r="L193" s="730">
        <v>1.7870513192900073</v>
      </c>
      <c r="M193" s="730">
        <v>1.8484423382290367</v>
      </c>
      <c r="N193" s="730">
        <v>1.6619477356257877</v>
      </c>
      <c r="O193" s="730">
        <v>1.8498712898730012</v>
      </c>
      <c r="P193" s="730">
        <v>1.7880680909904909</v>
      </c>
      <c r="Q193" s="730">
        <v>1.8511187465206678</v>
      </c>
      <c r="R193" s="730">
        <v>1.7883742254687578</v>
      </c>
      <c r="S193" s="730">
        <v>1.8526808785947622</v>
      </c>
      <c r="T193" s="730">
        <v>1.7891893303721129</v>
      </c>
      <c r="U193" s="730">
        <v>1.8551844921729721</v>
      </c>
      <c r="V193" s="730">
        <v>1.7911286974967606</v>
      </c>
      <c r="W193" s="2113">
        <v>1.8593377996177092</v>
      </c>
    </row>
    <row r="194" spans="8:23" ht="15.75" customHeight="1" x14ac:dyDescent="0.25">
      <c r="H194" s="209" t="s">
        <v>483</v>
      </c>
      <c r="I194" s="2114">
        <v>2.2571179512006849</v>
      </c>
      <c r="J194" s="2114">
        <v>2.2757751464297691</v>
      </c>
      <c r="K194" s="2114">
        <v>2.2981771806560092</v>
      </c>
      <c r="L194" s="2114">
        <v>2.3205792148822502</v>
      </c>
      <c r="M194" s="2114">
        <v>2.3429812491084907</v>
      </c>
      <c r="N194" s="2114">
        <v>2.2571179512006849</v>
      </c>
      <c r="O194" s="2114">
        <v>2.3978286853693773</v>
      </c>
      <c r="P194" s="2114">
        <v>2.4257104100909164</v>
      </c>
      <c r="Q194" s="2114">
        <v>2.453592134812455</v>
      </c>
      <c r="R194" s="2114">
        <v>2.4814738595339949</v>
      </c>
      <c r="S194" s="2114">
        <v>2.5062526777248353</v>
      </c>
      <c r="T194" s="2114">
        <v>2.5304086860432382</v>
      </c>
      <c r="U194" s="2114">
        <v>2.5545646943616407</v>
      </c>
      <c r="V194" s="2114">
        <v>2.5787207026800432</v>
      </c>
      <c r="W194" s="2115">
        <v>2.6028767109984461</v>
      </c>
    </row>
    <row r="195" spans="8:23" ht="11.25" customHeight="1" x14ac:dyDescent="0.2"/>
    <row r="196" spans="8:23" ht="11.25" customHeight="1" x14ac:dyDescent="0.2"/>
    <row r="197" spans="8:23" ht="11.25" customHeight="1" x14ac:dyDescent="0.2"/>
    <row r="198" spans="8:23" ht="11.25" customHeight="1" x14ac:dyDescent="0.2"/>
    <row r="199" spans="8:23" ht="11.25" customHeight="1" x14ac:dyDescent="0.2"/>
    <row r="200" spans="8:23" ht="11.25" customHeight="1" x14ac:dyDescent="0.2"/>
    <row r="201" spans="8:23" ht="11.25" customHeight="1" x14ac:dyDescent="0.2"/>
    <row r="202" spans="8:23" ht="11.25" customHeight="1" x14ac:dyDescent="0.2"/>
    <row r="203" spans="8:23" ht="11.25" customHeight="1" x14ac:dyDescent="0.2"/>
    <row r="204" spans="8:23" ht="11.25" customHeight="1" x14ac:dyDescent="0.2"/>
    <row r="205" spans="8:23" ht="11.25" customHeight="1" x14ac:dyDescent="0.2"/>
    <row r="206" spans="8:23" ht="11.25" customHeight="1" x14ac:dyDescent="0.2"/>
    <row r="207" spans="8:23" ht="11.25" customHeight="1" x14ac:dyDescent="0.2"/>
    <row r="208" spans="8:23" ht="11.25" customHeight="1" x14ac:dyDescent="0.2"/>
    <row r="209" ht="11.25" customHeight="1" x14ac:dyDescent="0.2"/>
    <row r="210" ht="11.25" customHeight="1" x14ac:dyDescent="0.2"/>
    <row r="211" ht="11.25" customHeight="1" x14ac:dyDescent="0.2"/>
    <row r="212" ht="11.25" customHeight="1" x14ac:dyDescent="0.2"/>
    <row r="213" ht="11.25" customHeight="1" x14ac:dyDescent="0.2"/>
    <row r="214" ht="11.25" customHeight="1" x14ac:dyDescent="0.2"/>
    <row r="215" ht="11.25" customHeight="1" x14ac:dyDescent="0.2"/>
    <row r="216" ht="11.25" customHeight="1" x14ac:dyDescent="0.2"/>
    <row r="217" ht="11.25" customHeight="1" x14ac:dyDescent="0.2"/>
    <row r="218" ht="11.25" customHeight="1" x14ac:dyDescent="0.2"/>
    <row r="219" ht="11.25" customHeight="1" x14ac:dyDescent="0.2"/>
    <row r="220" ht="11.25" customHeight="1" x14ac:dyDescent="0.2"/>
    <row r="221" ht="11.25" customHeight="1" x14ac:dyDescent="0.2"/>
    <row r="222" ht="11.25" customHeight="1" x14ac:dyDescent="0.2"/>
    <row r="223" ht="11.25" customHeight="1" x14ac:dyDescent="0.2"/>
    <row r="224" ht="11.25" customHeight="1" x14ac:dyDescent="0.2"/>
    <row r="225" ht="11.25" customHeight="1" x14ac:dyDescent="0.2"/>
    <row r="226" ht="11.25" customHeight="1" x14ac:dyDescent="0.2"/>
    <row r="227" ht="11.25" customHeight="1" x14ac:dyDescent="0.2"/>
    <row r="228" ht="11.25" customHeight="1" x14ac:dyDescent="0.2"/>
    <row r="229" ht="11.25" customHeight="1" x14ac:dyDescent="0.2"/>
    <row r="230" ht="11.25" customHeight="1" x14ac:dyDescent="0.2"/>
    <row r="231" ht="11.25" customHeight="1" x14ac:dyDescent="0.2"/>
    <row r="232" ht="11.25" customHeight="1" x14ac:dyDescent="0.2"/>
    <row r="233" ht="11.25" customHeight="1" x14ac:dyDescent="0.2"/>
    <row r="234" ht="11.25" customHeight="1" x14ac:dyDescent="0.2"/>
    <row r="235" ht="11.25" customHeight="1" x14ac:dyDescent="0.2"/>
    <row r="236" ht="11.25" customHeight="1" x14ac:dyDescent="0.2"/>
    <row r="237" ht="11.25" customHeight="1" x14ac:dyDescent="0.2"/>
    <row r="238" ht="11.25" customHeight="1" x14ac:dyDescent="0.2"/>
    <row r="239" ht="11.25" customHeight="1" x14ac:dyDescent="0.2"/>
    <row r="240" ht="11.25" customHeight="1" x14ac:dyDescent="0.2"/>
    <row r="241" spans="3:4" ht="11.25" customHeight="1" x14ac:dyDescent="0.2"/>
    <row r="242" spans="3:4" ht="11.25" customHeight="1" x14ac:dyDescent="0.2"/>
    <row r="243" spans="3:4" ht="11.25" customHeight="1" x14ac:dyDescent="0.2"/>
    <row r="244" spans="3:4" ht="15.75" customHeight="1" x14ac:dyDescent="0.25">
      <c r="C244" s="2057" t="s">
        <v>1981</v>
      </c>
    </row>
    <row r="245" spans="3:4" ht="11.25" customHeight="1" x14ac:dyDescent="0.2"/>
    <row r="246" spans="3:4" ht="11.25" customHeight="1" x14ac:dyDescent="0.2">
      <c r="C246" s="2116" t="s">
        <v>694</v>
      </c>
    </row>
    <row r="247" spans="3:4" ht="11.25" customHeight="1" x14ac:dyDescent="0.2"/>
    <row r="248" spans="3:4" ht="12" customHeight="1" x14ac:dyDescent="0.2"/>
    <row r="249" spans="3:4" ht="15" customHeight="1" x14ac:dyDescent="0.25">
      <c r="C249" s="194"/>
      <c r="D249" s="743">
        <v>2011</v>
      </c>
    </row>
    <row r="250" spans="3:4" ht="15" customHeight="1" x14ac:dyDescent="0.25">
      <c r="C250" s="201" t="s">
        <v>53</v>
      </c>
      <c r="D250" s="770">
        <v>21186919</v>
      </c>
    </row>
    <row r="251" spans="3:4" ht="15" customHeight="1" x14ac:dyDescent="0.25">
      <c r="C251" s="201" t="s">
        <v>179</v>
      </c>
      <c r="D251" s="770">
        <v>219804</v>
      </c>
    </row>
    <row r="252" spans="3:4" ht="15" customHeight="1" x14ac:dyDescent="0.25">
      <c r="C252" s="201" t="s">
        <v>77</v>
      </c>
      <c r="D252" s="770">
        <v>2236976</v>
      </c>
    </row>
    <row r="253" spans="3:4" ht="15" customHeight="1" x14ac:dyDescent="0.25">
      <c r="C253" s="201" t="s">
        <v>695</v>
      </c>
      <c r="D253" s="770">
        <v>154641</v>
      </c>
    </row>
    <row r="254" spans="3:4" ht="15" customHeight="1" x14ac:dyDescent="0.25">
      <c r="C254" s="201" t="s">
        <v>696</v>
      </c>
      <c r="D254" s="770">
        <v>14397437</v>
      </c>
    </row>
    <row r="255" spans="3:4" ht="15" customHeight="1" x14ac:dyDescent="0.25">
      <c r="C255" s="201" t="s">
        <v>697</v>
      </c>
      <c r="D255" s="770">
        <v>2540908</v>
      </c>
    </row>
    <row r="256" spans="3:4" ht="15" customHeight="1" x14ac:dyDescent="0.25">
      <c r="C256" s="201" t="s">
        <v>698</v>
      </c>
      <c r="D256" s="770">
        <v>319254</v>
      </c>
    </row>
    <row r="257" spans="3:4" ht="15" customHeight="1" x14ac:dyDescent="0.25">
      <c r="C257" s="201" t="s">
        <v>699</v>
      </c>
      <c r="D257" s="770">
        <v>2070</v>
      </c>
    </row>
    <row r="258" spans="3:4" ht="15" customHeight="1" x14ac:dyDescent="0.25">
      <c r="C258" s="201" t="s">
        <v>700</v>
      </c>
      <c r="D258" s="770">
        <v>167437</v>
      </c>
    </row>
    <row r="259" spans="3:4" ht="15" customHeight="1" x14ac:dyDescent="0.25">
      <c r="C259" s="201" t="s">
        <v>701</v>
      </c>
      <c r="D259" s="770">
        <v>420114</v>
      </c>
    </row>
    <row r="260" spans="3:4" ht="15.75" customHeight="1" x14ac:dyDescent="0.25">
      <c r="C260" s="209" t="s">
        <v>702</v>
      </c>
      <c r="D260" s="2117">
        <v>267727</v>
      </c>
    </row>
    <row r="261" spans="3:4" ht="11.25" customHeight="1" x14ac:dyDescent="0.2"/>
    <row r="262" spans="3:4" ht="11.25" customHeight="1" x14ac:dyDescent="0.2"/>
    <row r="263" spans="3:4" ht="11.25" customHeight="1" x14ac:dyDescent="0.2"/>
    <row r="264" spans="3:4" ht="11.25" customHeight="1" x14ac:dyDescent="0.2"/>
    <row r="265" spans="3:4" ht="11.25" customHeight="1" x14ac:dyDescent="0.2"/>
    <row r="266" spans="3:4" ht="11.25" customHeight="1" x14ac:dyDescent="0.2"/>
    <row r="267" spans="3:4" ht="11.25" customHeight="1" x14ac:dyDescent="0.2"/>
    <row r="268" spans="3:4" ht="11.25" customHeight="1" x14ac:dyDescent="0.2"/>
    <row r="269" spans="3:4" ht="11.25" customHeight="1" x14ac:dyDescent="0.2"/>
    <row r="270" spans="3:4" ht="11.25" customHeight="1" x14ac:dyDescent="0.2"/>
    <row r="271" spans="3:4" ht="11.25" customHeight="1" x14ac:dyDescent="0.2"/>
    <row r="272" spans="3:4" ht="11.25" customHeight="1" x14ac:dyDescent="0.2"/>
    <row r="273" ht="11.25" customHeight="1" x14ac:dyDescent="0.2"/>
    <row r="274" ht="11.25" customHeight="1" x14ac:dyDescent="0.2"/>
    <row r="275" ht="11.25" customHeight="1" x14ac:dyDescent="0.2"/>
    <row r="276" ht="11.25" customHeight="1" x14ac:dyDescent="0.2"/>
    <row r="277" ht="11.25" customHeight="1" x14ac:dyDescent="0.2"/>
    <row r="278" ht="11.25" customHeight="1" x14ac:dyDescent="0.2"/>
    <row r="279" ht="11.25" customHeight="1" x14ac:dyDescent="0.2"/>
    <row r="280" ht="11.25" customHeight="1" x14ac:dyDescent="0.2"/>
    <row r="281" ht="11.25" customHeight="1" x14ac:dyDescent="0.2"/>
    <row r="282" ht="11.25" customHeight="1" x14ac:dyDescent="0.2"/>
    <row r="283" ht="11.25" customHeight="1" x14ac:dyDescent="0.2"/>
    <row r="284" ht="11.25" customHeight="1" x14ac:dyDescent="0.2"/>
    <row r="285" ht="11.25" customHeight="1" x14ac:dyDescent="0.2"/>
    <row r="286" ht="11.25" customHeight="1" x14ac:dyDescent="0.2"/>
    <row r="287" ht="11.25" customHeight="1" x14ac:dyDescent="0.2"/>
    <row r="288" ht="11.25" customHeight="1" x14ac:dyDescent="0.2"/>
    <row r="289" spans="3:28" ht="11.25" customHeight="1" x14ac:dyDescent="0.2"/>
    <row r="290" spans="3:28" ht="11.25" customHeight="1" x14ac:dyDescent="0.2"/>
    <row r="291" spans="3:28" ht="11.25" customHeight="1" x14ac:dyDescent="0.2"/>
    <row r="292" spans="3:28" ht="11.25" customHeight="1" x14ac:dyDescent="0.2"/>
    <row r="293" spans="3:28" ht="12" customHeight="1" x14ac:dyDescent="0.2"/>
    <row r="294" spans="3:28" ht="18.75" customHeight="1" x14ac:dyDescent="0.25">
      <c r="C294" s="3"/>
      <c r="D294" s="721"/>
      <c r="E294" s="767"/>
      <c r="F294" s="734" t="s">
        <v>694</v>
      </c>
      <c r="G294" s="768"/>
      <c r="H294" s="2118"/>
      <c r="I294" s="767"/>
      <c r="J294" s="767"/>
      <c r="K294" s="3"/>
      <c r="L294" s="3"/>
      <c r="M294" s="3"/>
      <c r="N294" s="3"/>
      <c r="O294" s="3"/>
      <c r="P294" s="3"/>
      <c r="Q294" s="3"/>
      <c r="R294" s="3"/>
      <c r="S294" s="3"/>
      <c r="T294" s="3"/>
      <c r="U294" s="3"/>
      <c r="V294" s="3"/>
      <c r="W294" s="3"/>
      <c r="X294" s="3"/>
      <c r="AB294" s="2119" t="s">
        <v>1982</v>
      </c>
    </row>
    <row r="295" spans="3:28" ht="15.75" customHeight="1" x14ac:dyDescent="0.25">
      <c r="C295" s="3"/>
      <c r="D295" s="721"/>
      <c r="E295" s="767"/>
      <c r="F295" s="767"/>
      <c r="G295" s="767"/>
      <c r="H295" s="767"/>
      <c r="I295" s="767"/>
      <c r="J295" s="767"/>
      <c r="K295" s="3"/>
      <c r="L295" s="3"/>
      <c r="M295" s="3"/>
      <c r="N295" s="3"/>
      <c r="O295" s="3"/>
      <c r="P295" s="3"/>
      <c r="Q295" s="3"/>
      <c r="R295" s="3"/>
      <c r="S295" s="3"/>
      <c r="T295" s="3"/>
      <c r="U295" s="3"/>
      <c r="V295" s="3"/>
      <c r="W295" s="3"/>
      <c r="X295" s="3"/>
    </row>
    <row r="296" spans="3:28" ht="15" customHeight="1" x14ac:dyDescent="0.25">
      <c r="C296" s="194"/>
      <c r="D296" s="739">
        <v>1991</v>
      </c>
      <c r="E296" s="739">
        <v>1992</v>
      </c>
      <c r="F296" s="739">
        <v>1993</v>
      </c>
      <c r="G296" s="739">
        <v>1994</v>
      </c>
      <c r="H296" s="739">
        <v>1995</v>
      </c>
      <c r="I296" s="739">
        <v>1996</v>
      </c>
      <c r="J296" s="739">
        <v>1997</v>
      </c>
      <c r="K296" s="739">
        <v>1998</v>
      </c>
      <c r="L296" s="739">
        <v>1999</v>
      </c>
      <c r="M296" s="739">
        <v>2000</v>
      </c>
      <c r="N296" s="739">
        <v>2001</v>
      </c>
      <c r="O296" s="739">
        <v>2002</v>
      </c>
      <c r="P296" s="739">
        <v>2003</v>
      </c>
      <c r="Q296" s="739">
        <v>2004</v>
      </c>
      <c r="R296" s="739">
        <v>2005</v>
      </c>
      <c r="S296" s="739">
        <v>2006</v>
      </c>
      <c r="T296" s="739">
        <v>2007</v>
      </c>
      <c r="U296" s="741">
        <v>2008</v>
      </c>
      <c r="V296" s="739">
        <v>2009</v>
      </c>
      <c r="W296" s="739">
        <v>2010</v>
      </c>
      <c r="X296" s="743">
        <v>2011</v>
      </c>
    </row>
    <row r="297" spans="3:28" ht="15" customHeight="1" x14ac:dyDescent="0.25">
      <c r="C297" s="201" t="s">
        <v>53</v>
      </c>
      <c r="D297" s="747">
        <v>22835671</v>
      </c>
      <c r="E297" s="747">
        <v>23850470</v>
      </c>
      <c r="F297" s="747">
        <v>25126979</v>
      </c>
      <c r="G297" s="747">
        <v>25624758</v>
      </c>
      <c r="H297" s="747">
        <v>27595256</v>
      </c>
      <c r="I297" s="747">
        <v>27992005</v>
      </c>
      <c r="J297" s="747">
        <v>27620925</v>
      </c>
      <c r="K297" s="747">
        <v>29294727</v>
      </c>
      <c r="L297" s="747">
        <v>29687655</v>
      </c>
      <c r="M297" s="747">
        <v>29451065</v>
      </c>
      <c r="N297" s="747">
        <v>28379409</v>
      </c>
      <c r="O297" s="747">
        <v>28712053</v>
      </c>
      <c r="P297" s="747">
        <v>29939086</v>
      </c>
      <c r="Q297" s="747">
        <v>29195458</v>
      </c>
      <c r="R297" s="747">
        <v>29302792</v>
      </c>
      <c r="S297" s="747">
        <v>29408022</v>
      </c>
      <c r="T297" s="747">
        <v>29699186</v>
      </c>
      <c r="U297" s="748">
        <v>27218239</v>
      </c>
      <c r="V297" s="747">
        <v>24162345</v>
      </c>
      <c r="W297" s="747">
        <v>23668204</v>
      </c>
      <c r="X297" s="770">
        <v>21186919</v>
      </c>
    </row>
    <row r="298" spans="3:28" ht="15" customHeight="1" x14ac:dyDescent="0.25">
      <c r="C298" s="201" t="s">
        <v>179</v>
      </c>
      <c r="D298" s="747">
        <v>4078506</v>
      </c>
      <c r="E298" s="747">
        <v>2749511</v>
      </c>
      <c r="F298" s="747">
        <v>4164790</v>
      </c>
      <c r="G298" s="747">
        <v>4275226</v>
      </c>
      <c r="H298" s="747">
        <v>1479469</v>
      </c>
      <c r="I298" s="747">
        <v>1472027</v>
      </c>
      <c r="J298" s="747">
        <v>1565010</v>
      </c>
      <c r="K298" s="747">
        <v>3454350</v>
      </c>
      <c r="L298" s="747">
        <v>4290788</v>
      </c>
      <c r="M298" s="747">
        <v>2388595</v>
      </c>
      <c r="N298" s="747">
        <v>3021639</v>
      </c>
      <c r="O298" s="747">
        <v>2282432</v>
      </c>
      <c r="P298" s="747">
        <v>3572183</v>
      </c>
      <c r="Q298" s="747">
        <v>3296842</v>
      </c>
      <c r="R298" s="747">
        <v>3805569</v>
      </c>
      <c r="S298" s="747">
        <v>580726</v>
      </c>
      <c r="T298" s="747">
        <v>984831</v>
      </c>
      <c r="U298" s="748">
        <v>405840</v>
      </c>
      <c r="V298" s="747">
        <v>329901</v>
      </c>
      <c r="W298" s="747">
        <v>322438</v>
      </c>
      <c r="X298" s="770">
        <v>219804</v>
      </c>
    </row>
    <row r="299" spans="3:28" ht="15" customHeight="1" x14ac:dyDescent="0.25">
      <c r="C299" s="201" t="s">
        <v>77</v>
      </c>
      <c r="D299" s="747">
        <v>1517463</v>
      </c>
      <c r="E299" s="747">
        <v>1077542</v>
      </c>
      <c r="F299" s="747">
        <v>772304</v>
      </c>
      <c r="G299" s="747">
        <v>1172042</v>
      </c>
      <c r="H299" s="747">
        <v>1548884</v>
      </c>
      <c r="I299" s="747">
        <v>987627</v>
      </c>
      <c r="J299" s="747">
        <v>1412585</v>
      </c>
      <c r="K299" s="747">
        <v>1990596</v>
      </c>
      <c r="L299" s="747">
        <v>2125193</v>
      </c>
      <c r="M299" s="747">
        <v>2852876</v>
      </c>
      <c r="N299" s="747">
        <v>1760812</v>
      </c>
      <c r="O299" s="747">
        <v>2214431</v>
      </c>
      <c r="P299" s="747">
        <v>1195642</v>
      </c>
      <c r="Q299" s="747">
        <v>1183301</v>
      </c>
      <c r="R299" s="747">
        <v>1886986</v>
      </c>
      <c r="S299" s="747">
        <v>1770206</v>
      </c>
      <c r="T299" s="747">
        <v>2240927</v>
      </c>
      <c r="U299" s="748">
        <v>1848147</v>
      </c>
      <c r="V299" s="747">
        <v>1767844</v>
      </c>
      <c r="W299" s="747">
        <v>2896978</v>
      </c>
      <c r="X299" s="770">
        <v>2236976</v>
      </c>
    </row>
    <row r="300" spans="3:28" ht="15" customHeight="1" x14ac:dyDescent="0.25">
      <c r="C300" s="201" t="s">
        <v>695</v>
      </c>
      <c r="D300" s="747">
        <v>478704</v>
      </c>
      <c r="E300" s="747">
        <v>506572</v>
      </c>
      <c r="F300" s="747">
        <v>475788</v>
      </c>
      <c r="G300" s="747">
        <v>501762</v>
      </c>
      <c r="H300" s="747">
        <v>685721</v>
      </c>
      <c r="I300" s="747">
        <v>539335</v>
      </c>
      <c r="J300" s="747">
        <v>564036</v>
      </c>
      <c r="K300" s="747">
        <v>82316</v>
      </c>
      <c r="L300" s="747">
        <v>59891</v>
      </c>
      <c r="M300" s="747">
        <v>74572</v>
      </c>
      <c r="N300" s="747">
        <v>439980</v>
      </c>
      <c r="O300" s="747">
        <v>504513</v>
      </c>
      <c r="P300" s="747">
        <v>325355</v>
      </c>
      <c r="Q300" s="747">
        <v>411565</v>
      </c>
      <c r="R300" s="747">
        <v>342466</v>
      </c>
      <c r="S300" s="747">
        <v>332444</v>
      </c>
      <c r="T300" s="747">
        <v>377560</v>
      </c>
      <c r="U300" s="748">
        <v>337823</v>
      </c>
      <c r="V300" s="747">
        <v>269182</v>
      </c>
      <c r="W300" s="747">
        <v>214727</v>
      </c>
      <c r="X300" s="770">
        <v>154641</v>
      </c>
    </row>
    <row r="301" spans="3:28" ht="15" customHeight="1" x14ac:dyDescent="0.25">
      <c r="C301" s="201" t="s">
        <v>696</v>
      </c>
      <c r="D301" s="747">
        <v>9036100</v>
      </c>
      <c r="E301" s="747">
        <v>10663950</v>
      </c>
      <c r="F301" s="747">
        <v>12300816</v>
      </c>
      <c r="G301" s="747">
        <v>11235408</v>
      </c>
      <c r="H301" s="747">
        <v>12937971</v>
      </c>
      <c r="I301" s="747">
        <v>12092768</v>
      </c>
      <c r="J301" s="747">
        <v>13212967</v>
      </c>
      <c r="K301" s="747">
        <v>13330598</v>
      </c>
      <c r="L301" s="747">
        <v>13312335</v>
      </c>
      <c r="M301" s="747">
        <v>13827243</v>
      </c>
      <c r="N301" s="747">
        <v>13656267</v>
      </c>
      <c r="O301" s="747">
        <v>12128005</v>
      </c>
      <c r="P301" s="747">
        <v>13690713</v>
      </c>
      <c r="Q301" s="747">
        <v>14580260</v>
      </c>
      <c r="R301" s="747">
        <v>14703221</v>
      </c>
      <c r="S301" s="747">
        <v>13830411</v>
      </c>
      <c r="T301" s="747">
        <v>14353192</v>
      </c>
      <c r="U301" s="748">
        <v>14678695</v>
      </c>
      <c r="V301" s="747">
        <v>14550119</v>
      </c>
      <c r="W301" s="747">
        <v>13993948</v>
      </c>
      <c r="X301" s="770">
        <v>14397437</v>
      </c>
    </row>
    <row r="302" spans="3:28" ht="15" customHeight="1" x14ac:dyDescent="0.25">
      <c r="C302" s="201" t="s">
        <v>697</v>
      </c>
      <c r="D302" s="747">
        <v>1407287</v>
      </c>
      <c r="E302" s="747">
        <v>1824659</v>
      </c>
      <c r="F302" s="747">
        <v>1658271</v>
      </c>
      <c r="G302" s="747">
        <v>2009536</v>
      </c>
      <c r="H302" s="747">
        <v>1442006</v>
      </c>
      <c r="I302" s="747">
        <v>2457463</v>
      </c>
      <c r="J302" s="747">
        <v>1588375</v>
      </c>
      <c r="K302" s="747">
        <v>1739737</v>
      </c>
      <c r="L302" s="747">
        <v>1424197</v>
      </c>
      <c r="M302" s="747">
        <v>1732619</v>
      </c>
      <c r="N302" s="747">
        <v>1183518</v>
      </c>
      <c r="O302" s="747">
        <v>1660989</v>
      </c>
      <c r="P302" s="747">
        <v>2646984</v>
      </c>
      <c r="Q302" s="747">
        <v>2507521</v>
      </c>
      <c r="R302" s="747">
        <v>1703639</v>
      </c>
      <c r="S302" s="747">
        <v>2104275</v>
      </c>
      <c r="T302" s="747">
        <v>1652216</v>
      </c>
      <c r="U302" s="748">
        <v>1974078</v>
      </c>
      <c r="V302" s="747">
        <v>1888769</v>
      </c>
      <c r="W302" s="747">
        <v>1667397</v>
      </c>
      <c r="X302" s="770">
        <v>2540908</v>
      </c>
    </row>
    <row r="303" spans="3:28" ht="15" customHeight="1" x14ac:dyDescent="0.25">
      <c r="C303" s="201" t="s">
        <v>698</v>
      </c>
      <c r="D303" s="747"/>
      <c r="E303" s="747"/>
      <c r="F303" s="747"/>
      <c r="G303" s="747"/>
      <c r="H303" s="747"/>
      <c r="I303" s="747"/>
      <c r="J303" s="747"/>
      <c r="K303" s="747"/>
      <c r="L303" s="747"/>
      <c r="M303" s="747"/>
      <c r="N303" s="747"/>
      <c r="O303" s="747"/>
      <c r="P303" s="747"/>
      <c r="Q303" s="747"/>
      <c r="R303" s="747"/>
      <c r="S303" s="747"/>
      <c r="T303" s="747"/>
      <c r="U303" s="748"/>
      <c r="V303" s="747"/>
      <c r="W303" s="747">
        <v>1494</v>
      </c>
      <c r="X303" s="770">
        <v>319254</v>
      </c>
    </row>
    <row r="304" spans="3:28" ht="15" customHeight="1" x14ac:dyDescent="0.25">
      <c r="C304" s="201" t="s">
        <v>699</v>
      </c>
      <c r="D304" s="747"/>
      <c r="E304" s="747"/>
      <c r="F304" s="747"/>
      <c r="G304" s="747"/>
      <c r="H304" s="747"/>
      <c r="I304" s="747"/>
      <c r="J304" s="747"/>
      <c r="K304" s="747"/>
      <c r="L304" s="747"/>
      <c r="M304" s="747"/>
      <c r="N304" s="747"/>
      <c r="O304" s="747"/>
      <c r="P304" s="747"/>
      <c r="Q304" s="747"/>
      <c r="R304" s="747"/>
      <c r="S304" s="747"/>
      <c r="T304" s="747"/>
      <c r="U304" s="748"/>
      <c r="V304" s="747"/>
      <c r="W304" s="747">
        <v>80</v>
      </c>
      <c r="X304" s="770">
        <v>2070</v>
      </c>
    </row>
    <row r="305" spans="3:24" ht="15" customHeight="1" x14ac:dyDescent="0.25">
      <c r="C305" s="201" t="s">
        <v>700</v>
      </c>
      <c r="D305" s="747">
        <v>160602</v>
      </c>
      <c r="E305" s="747">
        <v>174801</v>
      </c>
      <c r="F305" s="747">
        <v>175122</v>
      </c>
      <c r="G305" s="747">
        <v>168822</v>
      </c>
      <c r="H305" s="747">
        <v>175144</v>
      </c>
      <c r="I305" s="747">
        <v>167554</v>
      </c>
      <c r="J305" s="747">
        <v>155906</v>
      </c>
      <c r="K305" s="747">
        <v>155647</v>
      </c>
      <c r="L305" s="747">
        <v>171088</v>
      </c>
      <c r="M305" s="747">
        <v>179580</v>
      </c>
      <c r="N305" s="747">
        <v>11939</v>
      </c>
      <c r="O305" s="747">
        <v>182904</v>
      </c>
      <c r="P305" s="747">
        <v>225240</v>
      </c>
      <c r="Q305" s="747">
        <v>192384</v>
      </c>
      <c r="R305" s="747">
        <v>205985</v>
      </c>
      <c r="S305" s="747">
        <v>218066</v>
      </c>
      <c r="T305" s="747">
        <v>203097</v>
      </c>
      <c r="U305" s="748">
        <v>197704</v>
      </c>
      <c r="V305" s="747">
        <v>175058</v>
      </c>
      <c r="W305" s="747">
        <v>164688</v>
      </c>
      <c r="X305" s="770">
        <v>167437</v>
      </c>
    </row>
    <row r="306" spans="3:24" ht="15" customHeight="1" x14ac:dyDescent="0.25">
      <c r="C306" s="201" t="s">
        <v>701</v>
      </c>
      <c r="D306" s="747">
        <v>336551</v>
      </c>
      <c r="E306" s="747">
        <v>329854</v>
      </c>
      <c r="F306" s="747">
        <v>303818</v>
      </c>
      <c r="G306" s="747">
        <v>352064</v>
      </c>
      <c r="H306" s="747">
        <v>501192</v>
      </c>
      <c r="I306" s="747">
        <v>565838</v>
      </c>
      <c r="J306" s="747">
        <v>587592</v>
      </c>
      <c r="K306" s="747">
        <v>605046</v>
      </c>
      <c r="L306" s="747">
        <v>614474</v>
      </c>
      <c r="M306" s="747">
        <v>638830</v>
      </c>
      <c r="N306" s="747">
        <v>361076</v>
      </c>
      <c r="O306" s="747">
        <v>338727</v>
      </c>
      <c r="P306" s="747">
        <v>370811</v>
      </c>
      <c r="Q306" s="747">
        <v>396824</v>
      </c>
      <c r="R306" s="747">
        <v>417380</v>
      </c>
      <c r="S306" s="747">
        <v>408095</v>
      </c>
      <c r="T306" s="747">
        <v>400364</v>
      </c>
      <c r="U306" s="748">
        <v>414781</v>
      </c>
      <c r="V306" s="747">
        <v>375721</v>
      </c>
      <c r="W306" s="747">
        <v>407402</v>
      </c>
      <c r="X306" s="770">
        <v>420114</v>
      </c>
    </row>
    <row r="307" spans="3:24" ht="15.75" customHeight="1" x14ac:dyDescent="0.25">
      <c r="C307" s="774" t="s">
        <v>702</v>
      </c>
      <c r="D307" s="775"/>
      <c r="E307" s="775"/>
      <c r="F307" s="775"/>
      <c r="G307" s="775"/>
      <c r="H307" s="775"/>
      <c r="I307" s="775"/>
      <c r="J307" s="775"/>
      <c r="K307" s="775"/>
      <c r="L307" s="775"/>
      <c r="M307" s="775"/>
      <c r="N307" s="776">
        <v>247700</v>
      </c>
      <c r="O307" s="776">
        <v>255034</v>
      </c>
      <c r="P307" s="776">
        <v>278224</v>
      </c>
      <c r="Q307" s="776">
        <v>288616</v>
      </c>
      <c r="R307" s="776">
        <v>293561</v>
      </c>
      <c r="S307" s="776">
        <v>304635</v>
      </c>
      <c r="T307" s="776">
        <v>286550</v>
      </c>
      <c r="U307" s="777">
        <v>285645</v>
      </c>
      <c r="V307" s="747">
        <v>255893</v>
      </c>
      <c r="W307" s="747">
        <v>269907</v>
      </c>
      <c r="X307" s="770">
        <v>267727</v>
      </c>
    </row>
    <row r="308" spans="3:24" ht="15.75" customHeight="1" x14ac:dyDescent="0.25">
      <c r="C308" s="778" t="s">
        <v>205</v>
      </c>
      <c r="D308" s="779">
        <v>39850884</v>
      </c>
      <c r="E308" s="779">
        <v>41177359</v>
      </c>
      <c r="F308" s="779">
        <v>44977888</v>
      </c>
      <c r="G308" s="779">
        <v>45339618</v>
      </c>
      <c r="H308" s="779">
        <v>46365643</v>
      </c>
      <c r="I308" s="779">
        <v>46274617</v>
      </c>
      <c r="J308" s="780">
        <v>46707396</v>
      </c>
      <c r="K308" s="779">
        <v>50653017</v>
      </c>
      <c r="L308" s="779">
        <v>51685621</v>
      </c>
      <c r="M308" s="779">
        <v>51145380</v>
      </c>
      <c r="N308" s="779">
        <v>49062340</v>
      </c>
      <c r="O308" s="779">
        <v>48279088</v>
      </c>
      <c r="P308" s="779">
        <v>52244237</v>
      </c>
      <c r="Q308" s="779">
        <v>52052770</v>
      </c>
      <c r="R308" s="779">
        <v>52661600</v>
      </c>
      <c r="S308" s="779">
        <v>48956880</v>
      </c>
      <c r="T308" s="779">
        <v>50197924</v>
      </c>
      <c r="U308" s="781">
        <v>47360953</v>
      </c>
      <c r="V308" s="782">
        <f>SUM(V297:V307)</f>
        <v>43774832</v>
      </c>
      <c r="W308" s="783">
        <v>43607266</v>
      </c>
      <c r="X308" s="784">
        <f>SUM(X297:X307)</f>
        <v>41913287</v>
      </c>
    </row>
    <row r="309" spans="3:24" ht="11.25" customHeight="1" x14ac:dyDescent="0.2"/>
    <row r="310" spans="3:24" ht="11.25" customHeight="1" x14ac:dyDescent="0.2"/>
    <row r="311" spans="3:24" ht="11.25" customHeight="1" x14ac:dyDescent="0.2"/>
    <row r="312" spans="3:24" ht="12" customHeight="1" x14ac:dyDescent="0.2"/>
    <row r="313" spans="3:24" ht="15.75" customHeight="1" x14ac:dyDescent="0.25">
      <c r="G313" s="2120" t="s">
        <v>1983</v>
      </c>
      <c r="H313" s="2121"/>
      <c r="I313" s="2121"/>
      <c r="J313" s="2121"/>
      <c r="K313" s="2121"/>
      <c r="L313" s="2122"/>
    </row>
    <row r="314" spans="3:24" ht="11.25" customHeight="1" x14ac:dyDescent="0.2"/>
    <row r="315" spans="3:24" ht="12" customHeight="1" x14ac:dyDescent="0.2"/>
    <row r="316" spans="3:24" ht="13.5" customHeight="1" x14ac:dyDescent="0.2">
      <c r="C316" s="2123" t="s">
        <v>1984</v>
      </c>
      <c r="D316" s="2124" t="s">
        <v>9</v>
      </c>
      <c r="E316" s="2124" t="s">
        <v>1985</v>
      </c>
      <c r="F316" s="2124" t="s">
        <v>1986</v>
      </c>
      <c r="G316" s="2124" t="s">
        <v>1987</v>
      </c>
      <c r="H316" s="2124" t="s">
        <v>1988</v>
      </c>
      <c r="I316" s="2124" t="s">
        <v>1989</v>
      </c>
      <c r="J316" s="2124" t="s">
        <v>1990</v>
      </c>
      <c r="K316" s="2124" t="s">
        <v>1991</v>
      </c>
      <c r="L316" s="2124" t="s">
        <v>1992</v>
      </c>
      <c r="M316" s="2124" t="s">
        <v>1993</v>
      </c>
      <c r="N316" s="2124" t="s">
        <v>1994</v>
      </c>
      <c r="O316" s="2125" t="s">
        <v>1995</v>
      </c>
      <c r="P316" s="2126" t="s">
        <v>1996</v>
      </c>
    </row>
    <row r="317" spans="3:24" ht="11.25" customHeight="1" x14ac:dyDescent="0.2">
      <c r="C317" s="2127" t="s">
        <v>1997</v>
      </c>
      <c r="D317" s="2128" t="s">
        <v>1998</v>
      </c>
      <c r="E317" s="2129">
        <v>289747</v>
      </c>
      <c r="F317" s="2129">
        <v>283345</v>
      </c>
      <c r="G317" s="2129">
        <v>291706</v>
      </c>
      <c r="H317" s="2129">
        <v>297613</v>
      </c>
      <c r="I317" s="2129">
        <v>291315</v>
      </c>
      <c r="J317" s="2129">
        <v>295546</v>
      </c>
      <c r="K317" s="2129">
        <v>293181</v>
      </c>
      <c r="L317" s="2129">
        <v>297200</v>
      </c>
      <c r="M317" s="2129">
        <v>279847</v>
      </c>
      <c r="N317" s="2129">
        <v>243998</v>
      </c>
      <c r="O317" s="2130">
        <v>242944</v>
      </c>
      <c r="P317" s="2131">
        <v>218918</v>
      </c>
    </row>
    <row r="318" spans="3:24" ht="11.25" customHeight="1" x14ac:dyDescent="0.2">
      <c r="C318" s="2127" t="s">
        <v>1999</v>
      </c>
      <c r="D318" s="2128" t="s">
        <v>2000</v>
      </c>
      <c r="E318" s="2129">
        <v>3390</v>
      </c>
      <c r="F318" s="2129">
        <v>5684</v>
      </c>
      <c r="G318" s="2129">
        <v>4132</v>
      </c>
      <c r="H318" s="2129">
        <v>6721</v>
      </c>
      <c r="I318" s="2129">
        <v>6626</v>
      </c>
      <c r="J318" s="2129">
        <v>6968</v>
      </c>
      <c r="K318" s="2129">
        <v>2618</v>
      </c>
      <c r="L318" s="2129">
        <v>4450</v>
      </c>
      <c r="M318" s="2129">
        <v>2972</v>
      </c>
      <c r="N318" s="2129">
        <v>2042</v>
      </c>
      <c r="O318" s="2130">
        <v>2980</v>
      </c>
      <c r="P318" s="2131">
        <v>2026</v>
      </c>
    </row>
    <row r="319" spans="3:24" ht="11.25" customHeight="1" x14ac:dyDescent="0.2">
      <c r="C319" s="2127" t="s">
        <v>2001</v>
      </c>
      <c r="D319" s="2128" t="s">
        <v>2002</v>
      </c>
      <c r="E319" s="2129">
        <v>30073</v>
      </c>
      <c r="F319" s="2129">
        <v>18078</v>
      </c>
      <c r="G319" s="2129">
        <v>23215</v>
      </c>
      <c r="H319" s="2129">
        <v>11400</v>
      </c>
      <c r="I319" s="2129">
        <v>12524</v>
      </c>
      <c r="J319" s="2129">
        <v>21431</v>
      </c>
      <c r="K319" s="2129">
        <v>22841</v>
      </c>
      <c r="L319" s="2129">
        <v>24080</v>
      </c>
      <c r="M319" s="2129">
        <v>20518</v>
      </c>
      <c r="N319" s="2129">
        <v>18887</v>
      </c>
      <c r="O319" s="2130">
        <v>31758</v>
      </c>
      <c r="P319" s="2131">
        <v>21577</v>
      </c>
    </row>
    <row r="320" spans="3:24" ht="11.25" customHeight="1" x14ac:dyDescent="0.2">
      <c r="C320" s="2127" t="s">
        <v>2003</v>
      </c>
      <c r="D320" s="2128" t="s">
        <v>2004</v>
      </c>
      <c r="E320" s="2129">
        <v>144204</v>
      </c>
      <c r="F320" s="2129">
        <v>142612</v>
      </c>
      <c r="G320" s="2129">
        <v>126641</v>
      </c>
      <c r="H320" s="2129">
        <v>142671</v>
      </c>
      <c r="I320" s="2129">
        <v>152028</v>
      </c>
      <c r="J320" s="2129">
        <v>153443</v>
      </c>
      <c r="K320" s="2129">
        <v>144334</v>
      </c>
      <c r="L320" s="2129">
        <v>150493</v>
      </c>
      <c r="M320" s="2129">
        <v>153436</v>
      </c>
      <c r="N320" s="2129">
        <v>152194</v>
      </c>
      <c r="O320" s="2130">
        <v>146265</v>
      </c>
      <c r="P320" s="2131">
        <v>150655</v>
      </c>
    </row>
    <row r="321" spans="3:16" ht="11.25" customHeight="1" x14ac:dyDescent="0.2">
      <c r="C321" s="2127" t="s">
        <v>2005</v>
      </c>
      <c r="D321" s="2128" t="s">
        <v>2006</v>
      </c>
      <c r="E321" s="2129">
        <v>23472</v>
      </c>
      <c r="F321" s="2129">
        <v>28855</v>
      </c>
      <c r="G321" s="2129">
        <v>21385</v>
      </c>
      <c r="H321" s="2129">
        <v>31573</v>
      </c>
      <c r="I321" s="2129">
        <v>28394</v>
      </c>
      <c r="J321" s="2129">
        <v>33496</v>
      </c>
      <c r="K321" s="2129">
        <v>3736</v>
      </c>
      <c r="L321" s="2129">
        <v>6567</v>
      </c>
      <c r="M321" s="2129">
        <v>1909</v>
      </c>
      <c r="N321" s="2129">
        <v>1758</v>
      </c>
      <c r="O321" s="2130">
        <v>872</v>
      </c>
      <c r="P321" s="2131">
        <v>732</v>
      </c>
    </row>
    <row r="322" spans="3:16" ht="11.25" customHeight="1" x14ac:dyDescent="0.2">
      <c r="C322" s="2127" t="s">
        <v>2007</v>
      </c>
      <c r="D322" s="2128" t="s">
        <v>2008</v>
      </c>
      <c r="E322" s="2129">
        <v>46</v>
      </c>
      <c r="F322" s="2129">
        <v>19</v>
      </c>
      <c r="G322" s="2129">
        <v>6</v>
      </c>
      <c r="H322" s="2129">
        <v>9</v>
      </c>
      <c r="I322" s="2129">
        <v>8</v>
      </c>
      <c r="J322" s="2129">
        <v>41</v>
      </c>
      <c r="K322" s="2129">
        <v>5</v>
      </c>
      <c r="L322" s="2129">
        <v>30</v>
      </c>
      <c r="M322" s="2129">
        <v>19</v>
      </c>
      <c r="N322" s="2129">
        <v>17</v>
      </c>
      <c r="O322" s="2130">
        <v>18</v>
      </c>
      <c r="P322" s="2131">
        <v>10</v>
      </c>
    </row>
    <row r="323" spans="3:16" ht="11.25" customHeight="1" x14ac:dyDescent="0.2">
      <c r="C323" s="2127" t="s">
        <v>2009</v>
      </c>
      <c r="D323" s="2128" t="s">
        <v>2010</v>
      </c>
      <c r="E323" s="2129">
        <v>46</v>
      </c>
      <c r="F323" s="2129">
        <v>43</v>
      </c>
      <c r="G323" s="2129">
        <v>42</v>
      </c>
      <c r="H323" s="2129">
        <v>40</v>
      </c>
      <c r="I323" s="2129">
        <v>69</v>
      </c>
      <c r="J323" s="2129">
        <v>76</v>
      </c>
      <c r="K323" s="2129">
        <v>86</v>
      </c>
      <c r="L323" s="2129">
        <v>99</v>
      </c>
      <c r="M323" s="2129">
        <v>119</v>
      </c>
      <c r="N323" s="2129">
        <v>160</v>
      </c>
      <c r="O323" s="2130">
        <v>205</v>
      </c>
      <c r="P323" s="2131">
        <v>301</v>
      </c>
    </row>
    <row r="324" spans="3:16" ht="11.25" customHeight="1" x14ac:dyDescent="0.2">
      <c r="C324" s="2127" t="s">
        <v>2011</v>
      </c>
      <c r="D324" s="2128" t="s">
        <v>2012</v>
      </c>
      <c r="E324" s="2129">
        <v>12334</v>
      </c>
      <c r="F324" s="2129">
        <v>7034</v>
      </c>
      <c r="G324" s="2129">
        <v>7317</v>
      </c>
      <c r="H324" s="2129">
        <v>7128</v>
      </c>
      <c r="I324" s="2129">
        <v>7306</v>
      </c>
      <c r="J324" s="2129">
        <v>7311</v>
      </c>
      <c r="K324" s="2129">
        <v>7608</v>
      </c>
      <c r="L324" s="2129">
        <v>7497</v>
      </c>
      <c r="M324" s="2129">
        <v>7679</v>
      </c>
      <c r="N324" s="2129">
        <v>7409</v>
      </c>
      <c r="O324" s="2130">
        <v>7602</v>
      </c>
      <c r="P324" s="2131">
        <v>6961</v>
      </c>
    </row>
    <row r="325" spans="3:16" ht="12" customHeight="1" x14ac:dyDescent="0.2">
      <c r="C325" s="2132"/>
      <c r="D325" s="2133"/>
      <c r="E325" s="2134"/>
      <c r="F325" s="2134"/>
      <c r="G325" s="2134"/>
      <c r="H325" s="2134"/>
      <c r="I325" s="2134"/>
      <c r="J325" s="2134"/>
      <c r="K325" s="2134"/>
      <c r="L325" s="2134"/>
      <c r="M325" s="2134"/>
      <c r="N325" s="2134"/>
      <c r="O325" s="2135"/>
      <c r="P325" s="2136"/>
    </row>
    <row r="326" spans="3:16" ht="12" customHeight="1" x14ac:dyDescent="0.2"/>
    <row r="327" spans="3:16" ht="11.25" customHeight="1" x14ac:dyDescent="0.2"/>
    <row r="328" spans="3:16" ht="11.25" customHeight="1" x14ac:dyDescent="0.2"/>
    <row r="329" spans="3:16" ht="11.25" customHeight="1" x14ac:dyDescent="0.2"/>
    <row r="330" spans="3:16" ht="11.25" customHeight="1" x14ac:dyDescent="0.2"/>
    <row r="331" spans="3:16" ht="11.25" customHeight="1" x14ac:dyDescent="0.2"/>
    <row r="332" spans="3:16" ht="11.25" customHeight="1" x14ac:dyDescent="0.2"/>
    <row r="333" spans="3:16" ht="11.25" customHeight="1" x14ac:dyDescent="0.2"/>
    <row r="334" spans="3:16" ht="11.25" customHeight="1" x14ac:dyDescent="0.2"/>
    <row r="335" spans="3:16" ht="11.25" customHeight="1" x14ac:dyDescent="0.2"/>
    <row r="336" spans="3:16" ht="11.25" customHeight="1" x14ac:dyDescent="0.2"/>
    <row r="337" ht="11.25" customHeight="1" x14ac:dyDescent="0.2"/>
    <row r="338" ht="11.25" customHeight="1" x14ac:dyDescent="0.2"/>
    <row r="339" ht="11.25" customHeight="1" x14ac:dyDescent="0.2"/>
    <row r="340" ht="11.25" customHeight="1" x14ac:dyDescent="0.2"/>
    <row r="341" ht="11.25" customHeight="1" x14ac:dyDescent="0.2"/>
    <row r="342" ht="11.25" customHeight="1" x14ac:dyDescent="0.2"/>
    <row r="343" ht="11.25" customHeight="1" x14ac:dyDescent="0.2"/>
    <row r="344" ht="11.25" customHeight="1" x14ac:dyDescent="0.2"/>
    <row r="345" ht="11.25" customHeight="1" x14ac:dyDescent="0.2"/>
    <row r="346" ht="11.25" customHeight="1" x14ac:dyDescent="0.2"/>
    <row r="347" ht="11.25" customHeight="1" x14ac:dyDescent="0.2"/>
    <row r="348" ht="11.25" customHeight="1" x14ac:dyDescent="0.2"/>
    <row r="349" ht="11.25" customHeight="1" x14ac:dyDescent="0.2"/>
    <row r="350" ht="11.25" customHeight="1" x14ac:dyDescent="0.2"/>
    <row r="351" ht="11.25" customHeight="1" x14ac:dyDescent="0.2"/>
    <row r="352" ht="11.25" customHeight="1" x14ac:dyDescent="0.2"/>
    <row r="353" ht="11.25" customHeight="1" x14ac:dyDescent="0.2"/>
    <row r="354" ht="11.25" customHeight="1" x14ac:dyDescent="0.2"/>
    <row r="355" ht="11.25" customHeight="1" x14ac:dyDescent="0.2"/>
    <row r="356" ht="11.25" customHeight="1" x14ac:dyDescent="0.2"/>
    <row r="357" ht="11.25" customHeight="1" x14ac:dyDescent="0.2"/>
    <row r="358" ht="11.25" customHeight="1" x14ac:dyDescent="0.2"/>
    <row r="359" ht="11.25" customHeight="1" x14ac:dyDescent="0.2"/>
    <row r="360" ht="11.25" customHeight="1" x14ac:dyDescent="0.2"/>
    <row r="361" ht="11.25" customHeight="1" x14ac:dyDescent="0.2"/>
    <row r="362" ht="11.25" customHeight="1" x14ac:dyDescent="0.2"/>
    <row r="363" ht="11.25" customHeight="1" x14ac:dyDescent="0.2"/>
    <row r="364" ht="11.25" customHeight="1" x14ac:dyDescent="0.2"/>
    <row r="365" ht="11.25" customHeight="1" x14ac:dyDescent="0.2"/>
    <row r="366" ht="11.25" customHeight="1" x14ac:dyDescent="0.2"/>
    <row r="367" ht="11.25" customHeight="1" x14ac:dyDescent="0.2"/>
    <row r="368" ht="11.25" customHeight="1" x14ac:dyDescent="0.2"/>
    <row r="369" ht="11.25" customHeight="1" x14ac:dyDescent="0.2"/>
    <row r="370" ht="11.25" customHeight="1" x14ac:dyDescent="0.2"/>
    <row r="371" ht="11.25" customHeight="1" x14ac:dyDescent="0.2"/>
    <row r="372" ht="11.25" customHeight="1" x14ac:dyDescent="0.2"/>
    <row r="373" ht="11.25" customHeight="1" x14ac:dyDescent="0.2"/>
    <row r="374" ht="11.25" customHeight="1" x14ac:dyDescent="0.2"/>
    <row r="375" ht="11.25" customHeight="1" x14ac:dyDescent="0.2"/>
    <row r="376" ht="11.25" customHeight="1" x14ac:dyDescent="0.2"/>
    <row r="377" ht="11.25" customHeight="1" x14ac:dyDescent="0.2"/>
    <row r="378" ht="11.25" customHeight="1" x14ac:dyDescent="0.2"/>
    <row r="379" ht="11.25" customHeight="1" x14ac:dyDescent="0.2"/>
    <row r="380" ht="11.25" customHeight="1" x14ac:dyDescent="0.2"/>
    <row r="381" ht="11.25" customHeight="1" x14ac:dyDescent="0.2"/>
    <row r="382" ht="11.25" customHeight="1" x14ac:dyDescent="0.2"/>
    <row r="383" ht="11.25" customHeight="1" x14ac:dyDescent="0.2"/>
    <row r="384" ht="11.25" customHeight="1" x14ac:dyDescent="0.2"/>
    <row r="385" ht="11.25" customHeight="1" x14ac:dyDescent="0.2"/>
    <row r="386" ht="11.25" customHeight="1" x14ac:dyDescent="0.2"/>
    <row r="387" ht="11.25" customHeight="1" x14ac:dyDescent="0.2"/>
    <row r="388" ht="11.25" customHeight="1" x14ac:dyDescent="0.2"/>
    <row r="389" ht="11.25" customHeight="1" x14ac:dyDescent="0.2"/>
    <row r="390" ht="11.25" customHeight="1" x14ac:dyDescent="0.2"/>
    <row r="391" ht="11.25" customHeight="1" x14ac:dyDescent="0.2"/>
    <row r="392" ht="11.25" customHeight="1" x14ac:dyDescent="0.2"/>
    <row r="393" ht="11.25" customHeight="1" x14ac:dyDescent="0.2"/>
    <row r="394" ht="11.25" customHeight="1" x14ac:dyDescent="0.2"/>
    <row r="395" ht="11.25" customHeight="1" x14ac:dyDescent="0.2"/>
    <row r="396" ht="11.25" customHeight="1" x14ac:dyDescent="0.2"/>
    <row r="397" ht="11.25" customHeight="1" x14ac:dyDescent="0.2"/>
    <row r="398" ht="11.25" customHeight="1" x14ac:dyDescent="0.2"/>
    <row r="399" ht="11.25" customHeight="1" x14ac:dyDescent="0.2"/>
    <row r="400" ht="11.25" customHeight="1" x14ac:dyDescent="0.2"/>
    <row r="401" ht="11.25" customHeight="1" x14ac:dyDescent="0.2"/>
    <row r="402" ht="11.25" customHeight="1" x14ac:dyDescent="0.2"/>
    <row r="403" ht="11.25" customHeight="1" x14ac:dyDescent="0.2"/>
    <row r="404" ht="11.25" customHeight="1" x14ac:dyDescent="0.2"/>
    <row r="405" ht="11.25" customHeight="1" x14ac:dyDescent="0.2"/>
    <row r="406" ht="11.25" customHeight="1" x14ac:dyDescent="0.2"/>
    <row r="407" ht="11.25" customHeight="1" x14ac:dyDescent="0.2"/>
    <row r="408" ht="11.25" customHeight="1" x14ac:dyDescent="0.2"/>
    <row r="409" ht="11.25" customHeight="1" x14ac:dyDescent="0.2"/>
    <row r="410" ht="11.25" customHeight="1" x14ac:dyDescent="0.2"/>
    <row r="411" ht="11.25" customHeight="1" x14ac:dyDescent="0.2"/>
    <row r="412" ht="11.25" customHeight="1" x14ac:dyDescent="0.2"/>
    <row r="413" ht="11.25" customHeight="1" x14ac:dyDescent="0.2"/>
    <row r="414" ht="11.25" customHeight="1" x14ac:dyDescent="0.2"/>
    <row r="415" ht="11.25" customHeight="1" x14ac:dyDescent="0.2"/>
    <row r="416" ht="11.25" customHeight="1" x14ac:dyDescent="0.2"/>
    <row r="417" ht="11.25" customHeight="1" x14ac:dyDescent="0.2"/>
    <row r="418" ht="11.25" customHeight="1" x14ac:dyDescent="0.2"/>
    <row r="419" ht="11.25" customHeight="1" x14ac:dyDescent="0.2"/>
    <row r="420" ht="11.25" customHeight="1" x14ac:dyDescent="0.2"/>
    <row r="421" ht="11.25" customHeight="1" x14ac:dyDescent="0.2"/>
    <row r="422" ht="11.25" customHeight="1" x14ac:dyDescent="0.2"/>
    <row r="423" ht="11.25" customHeight="1" x14ac:dyDescent="0.2"/>
    <row r="424" ht="11.25" customHeight="1" x14ac:dyDescent="0.2"/>
    <row r="425" ht="11.25" customHeight="1" x14ac:dyDescent="0.2"/>
    <row r="426" ht="11.25" customHeight="1" x14ac:dyDescent="0.2"/>
    <row r="427" ht="11.25" customHeight="1" x14ac:dyDescent="0.2"/>
    <row r="428" ht="11.25" customHeight="1" x14ac:dyDescent="0.2"/>
    <row r="429" ht="11.25" customHeight="1" x14ac:dyDescent="0.2"/>
    <row r="430" ht="11.25" customHeight="1" x14ac:dyDescent="0.2"/>
    <row r="431" ht="11.25" customHeight="1" x14ac:dyDescent="0.2"/>
    <row r="432" ht="11.25" customHeight="1" x14ac:dyDescent="0.2"/>
    <row r="433" ht="11.25" customHeight="1" x14ac:dyDescent="0.2"/>
    <row r="434" ht="11.25" customHeight="1" x14ac:dyDescent="0.2"/>
    <row r="435" ht="11.25" customHeight="1" x14ac:dyDescent="0.2"/>
    <row r="436" ht="11.25" customHeight="1" x14ac:dyDescent="0.2"/>
    <row r="437" ht="11.25" customHeight="1" x14ac:dyDescent="0.2"/>
    <row r="438" ht="11.25" customHeight="1" x14ac:dyDescent="0.2"/>
    <row r="439" ht="11.25" customHeight="1" x14ac:dyDescent="0.2"/>
    <row r="440" ht="11.25" customHeight="1" x14ac:dyDescent="0.2"/>
    <row r="441" ht="11.25" customHeight="1" x14ac:dyDescent="0.2"/>
    <row r="442" ht="11.25" customHeight="1" x14ac:dyDescent="0.2"/>
    <row r="443" ht="11.25" customHeight="1" x14ac:dyDescent="0.2"/>
    <row r="444" ht="11.25" customHeight="1" x14ac:dyDescent="0.2"/>
    <row r="445" ht="11.25" customHeight="1" x14ac:dyDescent="0.2"/>
    <row r="446" ht="11.25" customHeight="1" x14ac:dyDescent="0.2"/>
    <row r="447" ht="11.25" customHeight="1" x14ac:dyDescent="0.2"/>
    <row r="448" ht="11.25" customHeight="1" x14ac:dyDescent="0.2"/>
    <row r="449" ht="11.25" customHeight="1" x14ac:dyDescent="0.2"/>
    <row r="450" ht="11.25" customHeight="1" x14ac:dyDescent="0.2"/>
    <row r="451" ht="11.25" customHeight="1" x14ac:dyDescent="0.2"/>
    <row r="452" ht="11.25" customHeight="1" x14ac:dyDescent="0.2"/>
    <row r="453" ht="11.25" customHeight="1" x14ac:dyDescent="0.2"/>
    <row r="454" ht="11.25" customHeight="1" x14ac:dyDescent="0.2"/>
    <row r="455" ht="11.25" customHeight="1" x14ac:dyDescent="0.2"/>
    <row r="456" ht="11.25" customHeight="1" x14ac:dyDescent="0.2"/>
    <row r="457" ht="11.25" customHeight="1" x14ac:dyDescent="0.2"/>
    <row r="458" ht="11.25" customHeight="1" x14ac:dyDescent="0.2"/>
    <row r="459" ht="11.25" customHeight="1" x14ac:dyDescent="0.2"/>
    <row r="460" ht="11.25" customHeight="1" x14ac:dyDescent="0.2"/>
    <row r="461" ht="11.25" customHeight="1" x14ac:dyDescent="0.2"/>
    <row r="462" ht="11.25" customHeight="1" x14ac:dyDescent="0.2"/>
    <row r="463" ht="11.25" customHeight="1" x14ac:dyDescent="0.2"/>
    <row r="464" ht="11.25" customHeight="1" x14ac:dyDescent="0.2"/>
    <row r="465" ht="11.25" customHeight="1" x14ac:dyDescent="0.2"/>
    <row r="466" ht="11.25" customHeight="1" x14ac:dyDescent="0.2"/>
    <row r="467" ht="11.25" customHeight="1" x14ac:dyDescent="0.2"/>
    <row r="468" ht="11.25" customHeight="1" x14ac:dyDescent="0.2"/>
    <row r="469" ht="11.25" customHeight="1" x14ac:dyDescent="0.2"/>
    <row r="470" ht="11.25" customHeight="1" x14ac:dyDescent="0.2"/>
    <row r="471" ht="11.25" customHeight="1" x14ac:dyDescent="0.2"/>
    <row r="472" ht="11.25" customHeight="1" x14ac:dyDescent="0.2"/>
    <row r="473" ht="11.25" customHeight="1" x14ac:dyDescent="0.2"/>
    <row r="474" ht="11.25" customHeight="1" x14ac:dyDescent="0.2"/>
    <row r="475" ht="11.25" customHeight="1" x14ac:dyDescent="0.2"/>
    <row r="476" ht="11.25" customHeight="1" x14ac:dyDescent="0.2"/>
    <row r="477" ht="11.25" customHeight="1" x14ac:dyDescent="0.2"/>
    <row r="478" ht="11.25" customHeight="1" x14ac:dyDescent="0.2"/>
    <row r="479" ht="11.25" customHeight="1" x14ac:dyDescent="0.2"/>
    <row r="480" ht="11.25" customHeight="1" x14ac:dyDescent="0.2"/>
    <row r="481" ht="11.25" customHeight="1" x14ac:dyDescent="0.2"/>
    <row r="482" ht="11.25" customHeight="1" x14ac:dyDescent="0.2"/>
    <row r="483" ht="11.25" customHeight="1" x14ac:dyDescent="0.2"/>
    <row r="484" ht="11.25" customHeight="1" x14ac:dyDescent="0.2"/>
    <row r="485" ht="11.25" customHeight="1" x14ac:dyDescent="0.2"/>
    <row r="486" ht="11.25" customHeight="1" x14ac:dyDescent="0.2"/>
    <row r="487" ht="11.25" customHeight="1" x14ac:dyDescent="0.2"/>
    <row r="488" ht="11.25" customHeight="1" x14ac:dyDescent="0.2"/>
    <row r="489" ht="11.25" customHeight="1" x14ac:dyDescent="0.2"/>
    <row r="490" ht="11.25" customHeight="1" x14ac:dyDescent="0.2"/>
    <row r="491" ht="11.25" customHeight="1" x14ac:dyDescent="0.2"/>
    <row r="492" ht="11.25" customHeight="1" x14ac:dyDescent="0.2"/>
    <row r="493" ht="11.25" customHeight="1" x14ac:dyDescent="0.2"/>
    <row r="494" ht="11.25" customHeight="1" x14ac:dyDescent="0.2"/>
    <row r="495" ht="11.25" customHeight="1" x14ac:dyDescent="0.2"/>
    <row r="496" ht="11.25" customHeight="1" x14ac:dyDescent="0.2"/>
    <row r="497" ht="11.25" customHeight="1" x14ac:dyDescent="0.2"/>
    <row r="498" ht="11.25" customHeight="1" x14ac:dyDescent="0.2"/>
    <row r="499" ht="11.25" customHeight="1" x14ac:dyDescent="0.2"/>
    <row r="500" ht="11.25" customHeight="1" x14ac:dyDescent="0.2"/>
    <row r="501" ht="11.25" customHeight="1" x14ac:dyDescent="0.2"/>
    <row r="502" ht="11.25" customHeight="1" x14ac:dyDescent="0.2"/>
    <row r="503" ht="11.25" customHeight="1" x14ac:dyDescent="0.2"/>
    <row r="504" ht="11.25" customHeight="1" x14ac:dyDescent="0.2"/>
    <row r="505" ht="11.25" customHeight="1" x14ac:dyDescent="0.2"/>
    <row r="506" ht="11.25" customHeight="1" x14ac:dyDescent="0.2"/>
    <row r="507" ht="11.25" customHeight="1" x14ac:dyDescent="0.2"/>
    <row r="508" ht="11.25" customHeight="1" x14ac:dyDescent="0.2"/>
    <row r="509" ht="11.25" customHeight="1" x14ac:dyDescent="0.2"/>
    <row r="510" ht="11.25" customHeight="1" x14ac:dyDescent="0.2"/>
    <row r="511" ht="11.25" customHeight="1" x14ac:dyDescent="0.2"/>
    <row r="512" ht="11.25" customHeight="1" x14ac:dyDescent="0.2"/>
    <row r="513" ht="11.25" customHeight="1" x14ac:dyDescent="0.2"/>
    <row r="514" ht="11.25" customHeight="1" x14ac:dyDescent="0.2"/>
    <row r="515" ht="11.25" customHeight="1" x14ac:dyDescent="0.2"/>
    <row r="516" ht="11.25" customHeight="1" x14ac:dyDescent="0.2"/>
    <row r="517" ht="11.25" customHeight="1" x14ac:dyDescent="0.2"/>
    <row r="518" ht="11.25" customHeight="1" x14ac:dyDescent="0.2"/>
    <row r="519" ht="11.25" customHeight="1" x14ac:dyDescent="0.2"/>
    <row r="520" ht="11.25" customHeight="1" x14ac:dyDescent="0.2"/>
    <row r="521" ht="11.25" customHeight="1" x14ac:dyDescent="0.2"/>
    <row r="522" ht="11.25" customHeight="1" x14ac:dyDescent="0.2"/>
    <row r="523" ht="11.25" customHeight="1" x14ac:dyDescent="0.2"/>
    <row r="524" ht="11.2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B3:C3"/>
    <mergeCell ref="B4:C4"/>
    <mergeCell ref="B163:C163"/>
    <mergeCell ref="B165:C165"/>
    <mergeCell ref="B172:C172"/>
  </mergeCells>
  <pageMargins left="0.7" right="0.7" top="0.75" bottom="0.75" header="0" footer="0"/>
  <pageSetup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5E6D3471F7F04449211EBF97CCD3EEF" ma:contentTypeVersion="11" ma:contentTypeDescription="Create a new document." ma:contentTypeScope="" ma:versionID="1fa121f0f7dadc83016221ac4c0a73d5">
  <xsd:schema xmlns:xsd="http://www.w3.org/2001/XMLSchema" xmlns:xs="http://www.w3.org/2001/XMLSchema" xmlns:p="http://schemas.microsoft.com/office/2006/metadata/properties" xmlns:ns1="http://schemas.microsoft.com/sharepoint/v3" targetNamespace="http://schemas.microsoft.com/office/2006/metadata/properties" ma:root="true" ma:fieldsID="0f1c3a5fe40b69cf375f6490498fc6a7"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 ma:internalName="PublishingStartDate">
      <xsd:simpleType>
        <xsd:restriction base="dms:Unknown"/>
      </xsd:simpleType>
    </xsd:element>
    <xsd:element name="PublishingExpirationDate" ma:index="5" nillable="true" ma:displayName="Scheduling End Date" ma:description=""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D79CB739-A6ED-45A9-91B6-BB4E11C77C19}"/>
</file>

<file path=customXml/itemProps2.xml><?xml version="1.0" encoding="utf-8"?>
<ds:datastoreItem xmlns:ds="http://schemas.openxmlformats.org/officeDocument/2006/customXml" ds:itemID="{6B221400-72DE-48BC-A140-5DC8BB2F60BB}"/>
</file>

<file path=customXml/itemProps3.xml><?xml version="1.0" encoding="utf-8"?>
<ds:datastoreItem xmlns:ds="http://schemas.openxmlformats.org/officeDocument/2006/customXml" ds:itemID="{FA70585F-5328-4488-955C-DE14D0CD416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27</vt:i4>
      </vt:variant>
      <vt:variant>
        <vt:lpstr>Named Ranges</vt:lpstr>
      </vt:variant>
      <vt:variant>
        <vt:i4>2</vt:i4>
      </vt:variant>
    </vt:vector>
  </HeadingPairs>
  <TitlesOfParts>
    <vt:vector size="29" baseType="lpstr">
      <vt:lpstr>Summary</vt:lpstr>
      <vt:lpstr>EGU Production ALL Units</vt:lpstr>
      <vt:lpstr>EGU Details</vt:lpstr>
      <vt:lpstr>Severstal</vt:lpstr>
      <vt:lpstr>Luke</vt:lpstr>
      <vt:lpstr>Imported Electricity</vt:lpstr>
      <vt:lpstr>Residential</vt:lpstr>
      <vt:lpstr>Commercial</vt:lpstr>
      <vt:lpstr>Industrial</vt:lpstr>
      <vt:lpstr>Transportation</vt:lpstr>
      <vt:lpstr>Natural Gas and Oil</vt:lpstr>
      <vt:lpstr>Mining</vt:lpstr>
      <vt:lpstr>Cement</vt:lpstr>
      <vt:lpstr>LimeT&amp;DSoda</vt:lpstr>
      <vt:lpstr>ODSSubs 100-yr</vt:lpstr>
      <vt:lpstr>ODSSubs 20-yr</vt:lpstr>
      <vt:lpstr>Iron And Steel</vt:lpstr>
      <vt:lpstr>Ammonia &amp; Urea Consumption</vt:lpstr>
      <vt:lpstr>Agricultural</vt:lpstr>
      <vt:lpstr>Agriculture_Liming</vt:lpstr>
      <vt:lpstr>Incinerators</vt:lpstr>
      <vt:lpstr>Landfills</vt:lpstr>
      <vt:lpstr>Wastewater</vt:lpstr>
      <vt:lpstr>OpenBurn</vt:lpstr>
      <vt:lpstr>Land_Use</vt:lpstr>
      <vt:lpstr>long_format_output</vt:lpstr>
      <vt:lpstr>Graphs</vt:lpstr>
      <vt:lpstr>Graphs!_Toc284401718</vt:lpstr>
      <vt:lpstr>Graphs!_Toc352228849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Vimal M Amin -MDE-</cp:lastModifiedBy>
  <dcterms:modified xsi:type="dcterms:W3CDTF">2026-09-22T21:01:06Z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0x010100D5E6D3471F7F04449211EBF97CCD3EEF</vt:lpwstr>
  </property>
</Properties>
</file>